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ink/ink1.xml" ContentType="application/inkml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9.xml" ContentType="application/vnd.openxmlformats-officedocument.drawing+xml"/>
  <Override PartName="/xl/ink/ink2.xml" ContentType="application/inkml+xml"/>
  <Override PartName="/xl/drawings/drawing10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drawings/drawing11.xml" ContentType="application/vnd.openxmlformats-officedocument.drawing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drawings/drawing12.xml" ContentType="application/vnd.openxmlformats-officedocument.drawing+xml"/>
  <Override PartName="/xl/ink/ink26.xml" ContentType="application/inkml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ink/ink27.xml" ContentType="application/inkml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ink/ink28.xml" ContentType="application/inkml+xml"/>
  <Override PartName="/xl/ink/ink29.xml" ContentType="application/inkml+xml"/>
  <Override PartName="/xl/drawings/drawing17.xml" ContentType="application/vnd.openxmlformats-officedocument.drawing+xml"/>
  <Override PartName="/xl/comments2.xml" ContentType="application/vnd.openxmlformats-officedocument.spreadsheetml.comments+xml"/>
  <Override PartName="/xl/ink/ink30.xml" ContentType="application/inkml+xml"/>
  <Override PartName="/xl/ink/ink31.xml" ContentType="application/inkml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32.xml" ContentType="application/inkml+xml"/>
  <Override PartName="/xl/ink/ink33.xml" ContentType="application/inkml+xml"/>
  <Override PartName="/xl/drawings/drawing21.xml" ContentType="application/vnd.openxmlformats-officedocument.drawing+xml"/>
  <Override PartName="/xl/ink/ink34.xml" ContentType="application/inkml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2.xml" ContentType="application/vnd.openxmlformats-officedocument.drawing+xml"/>
  <Override PartName="/xl/ink/ink35.xml" ContentType="application/inkml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3.xml" ContentType="application/vnd.openxmlformats-officedocument.drawing+xml"/>
  <Override PartName="/xl/ink/ink36.xml" ContentType="application/inkml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5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6.xml" ContentType="application/vnd.openxmlformats-officedocument.drawing+xml"/>
  <Override PartName="/xl/ctrlProps/ctrlProp8.xml" ContentType="application/vnd.ms-excel.controlproperties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7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0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1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8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harts/chart2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3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4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9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harts/chart25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6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7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8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9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0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30.xml" ContentType="application/vnd.openxmlformats-officedocument.drawing+xml"/>
  <Override PartName="/xl/charts/chart31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2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1.xml" ContentType="application/vnd.openxmlformats-officedocument.drawing+xml"/>
  <Override PartName="/xl/charts/chart33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achin excel worksheet\"/>
    </mc:Choice>
  </mc:AlternateContent>
  <xr:revisionPtr revIDLastSave="0" documentId="13_ncr:1_{CDCA9780-62E3-4118-87C4-FCA2E8911031}" xr6:coauthVersionLast="47" xr6:coauthVersionMax="47" xr10:uidLastSave="{00000000-0000-0000-0000-000000000000}"/>
  <bookViews>
    <workbookView xWindow="-120" yWindow="-120" windowWidth="24240" windowHeight="13020" tabRatio="762" firstSheet="1" activeTab="19" xr2:uid="{00000000-000D-0000-FFFF-FFFF00000000}"/>
  </bookViews>
  <sheets>
    <sheet name="Session2" sheetId="154" state="hidden" r:id="rId1"/>
    <sheet name="Introduction" sheetId="188" r:id="rId2"/>
    <sheet name="Cheat sheet" sheetId="202" r:id="rId3"/>
    <sheet name="Movement" sheetId="189" state="hidden" r:id="rId4"/>
    <sheet name="General" sheetId="170" state="hidden" r:id="rId5"/>
    <sheet name="Getting comfortable with Keys" sheetId="89" state="hidden" r:id="rId6"/>
    <sheet name="Generic" sheetId="84" state="hidden" r:id="rId7"/>
    <sheet name="Filter and Sort" sheetId="42" state="hidden" r:id="rId8"/>
    <sheet name="Cell Freezing" sheetId="85" state="hidden" r:id="rId9"/>
    <sheet name="Arranging" sheetId="177" state="hidden" r:id="rId10"/>
    <sheet name="Text Functions" sheetId="179" state="hidden" r:id="rId11"/>
    <sheet name="EMI Calculation" sheetId="191" r:id="rId12"/>
    <sheet name="IF Function and Absolute value" sheetId="52" state="hidden" r:id="rId13"/>
    <sheet name="IF Ex1" sheetId="180" state="hidden" r:id="rId14"/>
    <sheet name="IF Ex2" sheetId="181" state="hidden" r:id="rId15"/>
    <sheet name="IF Ex3" sheetId="182" r:id="rId16"/>
    <sheet name="IF Ex4" sheetId="183" state="hidden" r:id="rId17"/>
    <sheet name="IF Ex5" sheetId="184" state="hidden" r:id="rId18"/>
    <sheet name="Sum and Count" sheetId="178" state="hidden" r:id="rId19"/>
    <sheet name="Vlook ups and CAGR" sheetId="88" r:id="rId20"/>
    <sheet name="Frequency" sheetId="78" r:id="rId21"/>
    <sheet name="Vlookup Ex 1 " sheetId="185" r:id="rId22"/>
    <sheet name="Vlookup Ex2" sheetId="186" r:id="rId23"/>
    <sheet name="Multiple Functions" sheetId="81" r:id="rId24"/>
    <sheet name="Depreciation" sheetId="187" state="hidden" r:id="rId25"/>
    <sheet name="Sum with multiple Variants" sheetId="105" r:id="rId26"/>
    <sheet name="Conditional Formatting" sheetId="48" r:id="rId27"/>
    <sheet name="Question" sheetId="175" r:id="rId28"/>
    <sheet name="ConditionalFormatting_2" sheetId="141" state="hidden" r:id="rId29"/>
    <sheet name="Vlook Up and If" sheetId="83" r:id="rId30"/>
    <sheet name="Vlook Up and If (2)" sheetId="158" r:id="rId31"/>
    <sheet name="Emp Details " sheetId="98" r:id="rId32"/>
    <sheet name="Employees" sheetId="99" r:id="rId33"/>
    <sheet name="Employees (2)" sheetId="100" r:id="rId34"/>
    <sheet name="Understanding Charting Rules" sheetId="145" r:id="rId35"/>
    <sheet name="Problem1" sheetId="140" r:id="rId36"/>
    <sheet name="Problem 1" sheetId="203" r:id="rId37"/>
    <sheet name="Problem 1." sheetId="206" r:id="rId38"/>
    <sheet name="Problem2" sheetId="199" r:id="rId39"/>
    <sheet name="Charting Practice" sheetId="148" state="hidden" r:id="rId40"/>
    <sheet name="Charting Practice_1" sheetId="153" r:id="rId41"/>
    <sheet name="Charting Practice 1," sheetId="207" r:id="rId42"/>
    <sheet name="Charting Practice 1,," sheetId="208" r:id="rId43"/>
    <sheet name="Charting Practice 2" sheetId="143" r:id="rId44"/>
    <sheet name="Charting practice 2." sheetId="204" r:id="rId45"/>
    <sheet name="Charting practice 2 " sheetId="205" r:id="rId46"/>
    <sheet name="Charting Practice 3" sheetId="150" r:id="rId47"/>
    <sheet name="Charting Practice 4" sheetId="201" r:id="rId48"/>
    <sheet name="DB" sheetId="173" r:id="rId49"/>
    <sheet name="Charting Practice_5" sheetId="156" state="hidden" r:id="rId50"/>
    <sheet name="Separate " sheetId="198" r:id="rId51"/>
    <sheet name="Final Collation Report" sheetId="193" state="hidden" r:id="rId52"/>
    <sheet name="A" sheetId="194" r:id="rId53"/>
    <sheet name="B" sheetId="195" r:id="rId54"/>
    <sheet name="C" sheetId="196" r:id="rId55"/>
    <sheet name="D" sheetId="197" r:id="rId56"/>
    <sheet name="Dictionary" sheetId="159" r:id="rId57"/>
  </sheets>
  <externalReferences>
    <externalReference r:id="rId58"/>
    <externalReference r:id="rId59"/>
    <externalReference r:id="rId60"/>
  </externalReferences>
  <definedNames>
    <definedName name="__123Graph_AARREARSB" hidden="1">'[1]00DATES'!$D$276:$D$287</definedName>
    <definedName name="__123Graph_AARREARSG" hidden="1">'[1]00DATES'!$D$192:$D$203</definedName>
    <definedName name="__123Graph_AARREARSS" hidden="1">'[1]00DATES'!$D$220:$D$231</definedName>
    <definedName name="__123Graph_AARREARST" hidden="1">'[1]00DATES'!$D$304:$D$315</definedName>
    <definedName name="__123Graph_ARECOVERIESG" hidden="1">'[1]00DATES'!$D$89:$D$100</definedName>
    <definedName name="__123Graph_ARECOVERIESS" hidden="1">'[1]00DATES'!$B$114:$B$125</definedName>
    <definedName name="__123Graph_AREFFO" hidden="1">'[1]00DATES'!$D$90:$D$101</definedName>
    <definedName name="__123Graph_AVISITSFO" hidden="1">'[1]00DATES'!$D$163:$D$174</definedName>
    <definedName name="__123Graph_BARREARSB" hidden="1">'[1]00DATES'!$F$276:$F$287</definedName>
    <definedName name="__123Graph_BARREARSG" hidden="1">'[1]00DATES'!$F$192:$F$203</definedName>
    <definedName name="__123Graph_BARREARSS" hidden="1">'[1]00DATES'!$F$220:$F$231</definedName>
    <definedName name="__123Graph_BARREARST" hidden="1">'[1]00DATES'!$F$304:$F$315</definedName>
    <definedName name="__123Graph_BRECOVERIESG" hidden="1">'[1]00DATES'!$F$89:$F$100</definedName>
    <definedName name="__123Graph_BRECOVERIESS" hidden="1">'[1]00DATES'!$D$114:$D$125</definedName>
    <definedName name="__123Graph_BREFFO" hidden="1">'[1]00DATES'!$F$90:$F$101</definedName>
    <definedName name="__123Graph_BVISITSFO" hidden="1">'[1]00DATES'!$F$163:$F$174</definedName>
    <definedName name="__123Graph_CRECOVERIESG" hidden="1">'[1]00DATES'!$G$89:$G$100</definedName>
    <definedName name="__123Graph_CRECOVERIESS" hidden="1">'[1]00DATES'!$E$114:$E$125</definedName>
    <definedName name="__123Graph_CVISITSFO" hidden="1">'[1]00DATES'!$G$163:$G$174</definedName>
    <definedName name="__123Graph_DARREARSB" hidden="1">'[1]00DATES'!$E$276:$E$287</definedName>
    <definedName name="__123Graph_DARREARSG" hidden="1">'[1]00DATES'!$E$192:$E$203</definedName>
    <definedName name="__123Graph_DARREARSS" hidden="1">'[1]00DATES'!$E$220:$E$231</definedName>
    <definedName name="__123Graph_DARREARST" hidden="1">'[1]00DATES'!$E$304:$E$315</definedName>
    <definedName name="__123Graph_DRECOVERIESG" hidden="1">'[1]00DATES'!$E$89:$E$100</definedName>
    <definedName name="__123Graph_DRECOVERIESS" hidden="1">'[1]00DATES'!$C$114:$C$125</definedName>
    <definedName name="__123Graph_DREFFO" hidden="1">'[1]00DATES'!$E$90:$E$101</definedName>
    <definedName name="__123Graph_DVISITSFO" hidden="1">'[1]00DATES'!$E$163:$E$174</definedName>
    <definedName name="__123Graph_XARREARSB" hidden="1">'[1]00DATES'!$A$276:$A$287</definedName>
    <definedName name="__123Graph_XARREARSG" hidden="1">'[1]00DATES'!$A$192:$A$203</definedName>
    <definedName name="__123Graph_XARREARSS" hidden="1">'[1]00DATES'!$A$220:$A$231</definedName>
    <definedName name="__123Graph_XARREARST" hidden="1">'[1]00DATES'!$A$304:$A$315</definedName>
    <definedName name="__123Graph_XRECOVERIESG" hidden="1">'[1]00DATES'!$A$89:$A$100</definedName>
    <definedName name="__123Graph_XRECOVERIESS" hidden="1">'[1]00DATES'!$A$114:$A$125</definedName>
    <definedName name="__123Graph_XVISITSFO" hidden="1">'[1]00DATES'!$A$163:$A$174</definedName>
    <definedName name="_1__123Graph_A__LTR" hidden="1">'[1]00DATES'!$D$8:$D$19</definedName>
    <definedName name="_10__123Graph_D__LTR" hidden="1">'[1]00DATES'!$E$8:$E$19</definedName>
    <definedName name="_11__123Graph_DO_S_GAS" hidden="1">'[1]00DATES'!$E$39:$E$50</definedName>
    <definedName name="_12__123Graph_DT_OVER" hidden="1">'[1]00DATES'!$E$65:$E$76</definedName>
    <definedName name="_2__123Graph_AO_S_GAS" hidden="1">'[1]00DATES'!$D$39:$D$50</definedName>
    <definedName name="_3__123Graph_AT_OVER" hidden="1">'[1]00DATES'!$D$65:$D$76</definedName>
    <definedName name="_4__123Graph_B__LTR" hidden="1">'[1]00DATES'!$F$8:$F$19</definedName>
    <definedName name="_5__123Graph_BO_S_GAS" hidden="1">'[1]00DATES'!$F$39:$F$50</definedName>
    <definedName name="_6__123Graph_BT_OVER" hidden="1">'[1]00DATES'!$F$65:$F$76</definedName>
    <definedName name="_7__123Graph_C__LTR" hidden="1">'[1]00DATES'!$G$8:$G$19</definedName>
    <definedName name="_8__123Graph_CO_S_GAS" hidden="1">'[1]00DATES'!$G$39:$G$50</definedName>
    <definedName name="_9__123Graph_CT_OVER" hidden="1">'[1]00DATES'!$G$65:$G$76</definedName>
    <definedName name="_xlnm._FilterDatabase" localSheetId="26" hidden="1">'Conditional Formatting'!$B$6:$I$106</definedName>
    <definedName name="_xlnm._FilterDatabase" localSheetId="56" hidden="1">[2]Dictionary!$B$14:$E$14</definedName>
    <definedName name="_xlnm._FilterDatabase" localSheetId="31" hidden="1">'Emp Details '!$B$14:$G$20</definedName>
    <definedName name="_xlnm._FilterDatabase" localSheetId="32" hidden="1">Employees!$A$12:$H$213</definedName>
    <definedName name="_xlnm._FilterDatabase" localSheetId="33" hidden="1">'Employees (2)'!$A$1:$A$81</definedName>
    <definedName name="_xlnm._FilterDatabase" localSheetId="7" hidden="1">'Filter and Sort'!$A$11:$H$11</definedName>
    <definedName name="_xlnm._FilterDatabase" localSheetId="5" hidden="1">'Getting comfortable with Keys'!#REF!</definedName>
    <definedName name="_xlnm._FilterDatabase" localSheetId="12" hidden="1">'IF Function and Absolute value'!$A$2:$Q$102</definedName>
    <definedName name="_xlnm._FilterDatabase" localSheetId="23" hidden="1">'Multiple Functions'!$B$27:$L$209</definedName>
    <definedName name="_xlnm._FilterDatabase" localSheetId="36" hidden="1">'Problem 1'!$B$5:$G$169</definedName>
    <definedName name="_xlnm._FilterDatabase" localSheetId="38" hidden="1">Problem2!$A$1:$A$81</definedName>
    <definedName name="_xlnm._FilterDatabase" localSheetId="25" hidden="1">'Sum with multiple Variants'!$B$38:$H$87</definedName>
    <definedName name="_Order1" hidden="1">255</definedName>
    <definedName name="ACwvu.REPORT." localSheetId="3" hidden="1">[3]Un_Cabin!#REF!</definedName>
    <definedName name="ACwvu.REPORT." localSheetId="38" hidden="1">[3]Un_Cabin!#REF!</definedName>
    <definedName name="ACwvu.REPORT." hidden="1">[3]Un_Cabin!#REF!</definedName>
    <definedName name="anscount" hidden="1">1</definedName>
    <definedName name="AS2DocOpenMode" hidden="1">"AS2DocumentBrowse"</definedName>
    <definedName name="AS2NamedRange" hidden="1">2</definedName>
    <definedName name="Chart1">'Charting Practice 1,'!$I$5:$Q$19</definedName>
    <definedName name="Chart2">'Charting Practice 1,'!$S$5:$AA$19</definedName>
    <definedName name="Chart3">'Charting Practice 1,'!$I$21:$Q$38</definedName>
    <definedName name="Chart4">'Charting Practice 1,'!$S$21:$AA$38</definedName>
    <definedName name="Chart5">'Charting Practice 1,'!$B$4:$G$10</definedName>
    <definedName name="_xlnm.Criteria" localSheetId="7">'Filter and Sort'!$A$5:$H$8</definedName>
    <definedName name="DME_BeforeCloseCompleted" hidden="1">"False"</definedName>
    <definedName name="DME_Dirty" hidden="1">"False"</definedName>
    <definedName name="DME_LocalFile" hidden="1">"True"</definedName>
    <definedName name="DME_ODMALinks1" hidden="1">"::ODMA\DME-MSE\ADMIN-741=C:\DOCUME~1\tduff\LOCALS~1\Temp\Dme\ADMIN-741.xls"</definedName>
    <definedName name="DME_ODMALinksCount" hidden="1">"1"</definedName>
    <definedName name="Finalchart">CHOOSE('Charting Practice 1,,'!$D$4,Chart1,Chart2,Chart3,Chart4,Chart5)</definedName>
    <definedName name="presnt" localSheetId="3" hidden="1">{#N/A,#N/A,TRUE,"SUMMARY";#N/A,#N/A,TRUE,"ASSUM GEN";#N/A,#N/A,TRUE,"ASSUM TRAFFIC";#N/A,#N/A,TRUE,"ASSUM OP. COST";#N/A,#N/A,TRUE,"ASSUM CAPEX";#N/A,#N/A,TRUE,"CAPEX";#N/A,#N/A,TRUE,"DEBT M";#N/A,#N/A,TRUE,"DEBT Y";#N/A,#N/A,TRUE,"REVENUE";#N/A,#N/A,TRUE,"OPERATION";#N/A,#N/A,TRUE,"F. ASSETS";#N/A,#N/A,TRUE,"CASH CON";#N/A,#N/A,TRUE,"CASH OP";#N/A,#N/A,TRUE,"INCOME";#N/A,#N/A,TRUE,"BAL SHEET"}</definedName>
    <definedName name="presnt" hidden="1">{#N/A,#N/A,TRUE,"SUMMARY";#N/A,#N/A,TRUE,"ASSUM GEN";#N/A,#N/A,TRUE,"ASSUM TRAFFIC";#N/A,#N/A,TRUE,"ASSUM OP. COST";#N/A,#N/A,TRUE,"ASSUM CAPEX";#N/A,#N/A,TRUE,"CAPEX";#N/A,#N/A,TRUE,"DEBT M";#N/A,#N/A,TRUE,"DEBT Y";#N/A,#N/A,TRUE,"REVENUE";#N/A,#N/A,TRUE,"OPERATION";#N/A,#N/A,TRUE,"F. ASSETS";#N/A,#N/A,TRUE,"CASH CON";#N/A,#N/A,TRUE,"CASH OP";#N/A,#N/A,TRUE,"INCOME";#N/A,#N/A,TRUE,"BAL SHEET"}</definedName>
    <definedName name="sencount" hidden="1">1</definedName>
    <definedName name="Swvu.REPORT." localSheetId="38" hidden="1">[3]Un_Cabin!#REF!</definedName>
    <definedName name="Swvu.REPORT." hidden="1">[3]Un_Cabin!#REF!</definedName>
    <definedName name="wrn.ALL." localSheetId="3" hidden="1">{#N/A,#N/A,TRUE,"SUMMARY";#N/A,#N/A,TRUE,"ASSUM GEN";#N/A,#N/A,TRUE,"ASSUM TRAFFIC";#N/A,#N/A,TRUE,"ASSUM OP. COST";#N/A,#N/A,TRUE,"ASSUM CAPEX";#N/A,#N/A,TRUE,"CAPEX";#N/A,#N/A,TRUE,"DEBT M";#N/A,#N/A,TRUE,"DEBT Y";#N/A,#N/A,TRUE,"REVENUE";#N/A,#N/A,TRUE,"OPERATION";#N/A,#N/A,TRUE,"F. ASSETS";#N/A,#N/A,TRUE,"CASH CON";#N/A,#N/A,TRUE,"CASH OP";#N/A,#N/A,TRUE,"INCOME";#N/A,#N/A,TRUE,"BAL SHEET"}</definedName>
    <definedName name="wrn.ALL." hidden="1">{#N/A,#N/A,TRUE,"SUMMARY";#N/A,#N/A,TRUE,"ASSUM GEN";#N/A,#N/A,TRUE,"ASSUM TRAFFIC";#N/A,#N/A,TRUE,"ASSUM OP. COST";#N/A,#N/A,TRUE,"ASSUM CAPEX";#N/A,#N/A,TRUE,"CAPEX";#N/A,#N/A,TRUE,"DEBT M";#N/A,#N/A,TRUE,"DEBT Y";#N/A,#N/A,TRUE,"REVENUE";#N/A,#N/A,TRUE,"OPERATION";#N/A,#N/A,TRUE,"F. ASSETS";#N/A,#N/A,TRUE,"CASH CON";#N/A,#N/A,TRUE,"CASH OP";#N/A,#N/A,TRUE,"INCOME";#N/A,#N/A,TRUE,"BAL SHEET"}</definedName>
    <definedName name="wrn.Complete._.Report." localSheetId="3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 localSheetId="3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FINANCIALS." localSheetId="3" hidden="1">{#N/A,#N/A,TRUE,"SUMMARY";#N/A,#N/A,TRUE,"CASH CON";#N/A,#N/A,TRUE,"CASH OP";#N/A,#N/A,TRUE,"INCOME";#N/A,#N/A,TRUE,"BAL SHEET"}</definedName>
    <definedName name="wrn.FINANCIALS." hidden="1">{#N/A,#N/A,TRUE,"SUMMARY";#N/A,#N/A,TRUE,"CASH CON";#N/A,#N/A,TRUE,"CASH OP";#N/A,#N/A,TRUE,"INCOME";#N/A,#N/A,TRUE,"BAL SHEET"}</definedName>
    <definedName name="wrn.TRAFFIC." localSheetId="3" hidden="1">{#N/A,#N/A,TRUE,"TRAFFIC1";#N/A,#N/A,TRUE,"TRAFFIC2"}</definedName>
    <definedName name="wrn.TRAFFIC." hidden="1">{#N/A,#N/A,TRUE,"TRAFFIC1";#N/A,#N/A,TRUE,"TRAFFIC2"}</definedName>
    <definedName name="wvu.REPORT." localSheetId="3" hidden="1">{TRUE,TRUE,-2.75,-17,484.5,255.75,FALSE,TRUE,TRUE,TRUE,0,1,#N/A,23,#N/A,5.96875,16.3529411764706,1,FALSE,FALSE,3,TRUE,1,FALSE,100,"Swvu.REPORT.","ACwvu.REPORT.",#N/A,FALSE,FALSE,0.748031496062992,0.748031496062992,0.94488188976378,0.78740157480315,1,"","&amp;L&amp;""CG Omega,Regular""&amp;9&amp;A of &amp;F&amp;C&amp;""CG Omega,Regular""&amp;9&amp;P&amp;R&amp;""CG Omega,Italic""&amp;9&amp;D &amp;T",TRUE,FALSE,FALSE,FALSE,1,#N/A,1,1,FALSE,FALSE,#N/A,#N/A,FALSE,FALSE,FALSE,9,300,300,FALSE,FALSE,TRUE,TRUE,TRUE}</definedName>
    <definedName name="wvu.REPORT." hidden="1">{TRUE,TRUE,-2.75,-17,484.5,255.75,FALSE,TRUE,TRUE,TRUE,0,1,#N/A,23,#N/A,5.96875,16.3529411764706,1,FALSE,FALSE,3,TRUE,1,FALSE,100,"Swvu.REPORT.","ACwvu.REPORT.",#N/A,FALSE,FALSE,0.748031496062992,0.748031496062992,0.94488188976378,0.78740157480315,1,"","&amp;L&amp;""CG Omega,Regular""&amp;9&amp;A of &amp;F&amp;C&amp;""CG Omega,Regular""&amp;9&amp;P&amp;R&amp;""CG Omega,Italic""&amp;9&amp;D &amp;T",TRUE,FALSE,FALSE,FALSE,1,#N/A,1,1,FALSE,FALSE,#N/A,#N/A,FALSE,FALSE,FALSE,9,300,300,FALSE,FALSE,TRUE,TRUE,TRUE}</definedName>
    <definedName name="Z_83588516_ACED_4DB5_ADF6_8FCCB76D8D57_.wvu.FilterData" localSheetId="26" hidden="1">'Conditional Formatting'!$B$6:$I$106</definedName>
    <definedName name="Z_83588516_ACED_4DB5_ADF6_8FCCB76D8D57_.wvu.FilterData" localSheetId="7" hidden="1">'Filter and Sort'!$A$11:$H$113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1" i="88" l="1"/>
  <c r="U20" i="88"/>
  <c r="T21" i="88"/>
  <c r="T20" i="88"/>
  <c r="E20" i="81"/>
  <c r="E19" i="81"/>
  <c r="E18" i="81"/>
  <c r="E17" i="81"/>
  <c r="E16" i="81"/>
  <c r="E15" i="81"/>
  <c r="E14" i="81"/>
  <c r="E13" i="81"/>
  <c r="E12" i="81"/>
  <c r="E11" i="81"/>
  <c r="G20" i="81"/>
  <c r="G19" i="81"/>
  <c r="G27" i="204"/>
  <c r="F27" i="204"/>
  <c r="E27" i="204"/>
  <c r="E24" i="204"/>
  <c r="D24" i="204"/>
  <c r="D23" i="204"/>
  <c r="C24" i="204"/>
  <c r="F19" i="83"/>
  <c r="C15" i="153" l="1"/>
  <c r="L7" i="98"/>
  <c r="L6" i="98"/>
  <c r="L5" i="98"/>
  <c r="K10" i="98" l="1"/>
  <c r="C5" i="98"/>
  <c r="C7" i="105"/>
  <c r="F17" i="83"/>
  <c r="F16" i="83"/>
  <c r="F15" i="83"/>
  <c r="F14" i="83"/>
  <c r="F13" i="83"/>
  <c r="F12" i="83"/>
  <c r="F11" i="83"/>
  <c r="F10" i="83"/>
  <c r="F9" i="83"/>
  <c r="F8" i="83"/>
  <c r="F7" i="83"/>
  <c r="F18" i="83"/>
  <c r="D16" i="105"/>
  <c r="D32" i="105"/>
  <c r="C32" i="105"/>
  <c r="E31" i="105"/>
  <c r="D31" i="105"/>
  <c r="C31" i="105"/>
  <c r="F32" i="105"/>
  <c r="E32" i="105"/>
  <c r="G18" i="81"/>
  <c r="G17" i="81"/>
  <c r="G16" i="81"/>
  <c r="G13" i="81"/>
  <c r="G12" i="81"/>
  <c r="G14" i="81"/>
  <c r="G15" i="81"/>
  <c r="K9" i="98"/>
  <c r="K8" i="98"/>
  <c r="K7" i="98"/>
  <c r="K6" i="98"/>
  <c r="K5" i="98"/>
  <c r="E102" i="105"/>
  <c r="E7" i="105"/>
  <c r="F10" i="105"/>
  <c r="E10" i="105"/>
  <c r="D10" i="105"/>
  <c r="C10" i="105"/>
  <c r="F9" i="105"/>
  <c r="E9" i="105"/>
  <c r="D9" i="105"/>
  <c r="C9" i="105"/>
  <c r="F8" i="105"/>
  <c r="E8" i="105"/>
  <c r="D8" i="105"/>
  <c r="C8" i="105"/>
  <c r="F7" i="105"/>
  <c r="D7" i="105"/>
  <c r="F6" i="105"/>
  <c r="E6" i="105"/>
  <c r="D6" i="105"/>
  <c r="C6" i="105"/>
  <c r="F5" i="105"/>
  <c r="E5" i="105"/>
  <c r="D5" i="105"/>
  <c r="C5" i="105"/>
  <c r="F4" i="105"/>
  <c r="E4" i="105"/>
  <c r="D4" i="105"/>
  <c r="C4" i="105"/>
  <c r="I20" i="81"/>
  <c r="I19" i="81"/>
  <c r="I18" i="81"/>
  <c r="I17" i="81"/>
  <c r="I16" i="81"/>
  <c r="I15" i="81"/>
  <c r="I14" i="81"/>
  <c r="I13" i="81"/>
  <c r="I12" i="81"/>
  <c r="I11" i="81"/>
  <c r="D12" i="81"/>
  <c r="F24" i="81"/>
  <c r="E24" i="81"/>
  <c r="D24" i="81"/>
  <c r="J9" i="98"/>
  <c r="J8" i="98"/>
  <c r="J6" i="98"/>
  <c r="J7" i="98"/>
  <c r="J5" i="98"/>
  <c r="C24" i="81" l="1"/>
  <c r="D25" i="81"/>
  <c r="H4" i="99" a="1"/>
  <c r="H4" i="99" s="1"/>
  <c r="H3" i="99" a="1"/>
  <c r="H3" i="99" s="1"/>
  <c r="U21" i="88"/>
  <c r="V20" i="88"/>
  <c r="V18" i="88"/>
  <c r="U18" i="88"/>
  <c r="T18" i="88"/>
  <c r="U17" i="88"/>
  <c r="T17" i="88"/>
  <c r="G13" i="88"/>
  <c r="G12" i="88"/>
  <c r="G11" i="88"/>
  <c r="F17" i="98"/>
  <c r="D20" i="98"/>
  <c r="E20" i="98"/>
  <c r="E19" i="98"/>
  <c r="E18" i="98"/>
  <c r="E17" i="98"/>
  <c r="G17" i="83" l="1"/>
  <c r="G16" i="83"/>
  <c r="E29" i="105"/>
  <c r="E28" i="105"/>
  <c r="E27" i="105"/>
  <c r="H16" i="81"/>
  <c r="D64" i="173"/>
  <c r="C57" i="173"/>
  <c r="C65" i="173"/>
  <c r="G22" i="143"/>
  <c r="D22" i="143"/>
  <c r="C22" i="143"/>
  <c r="E22" i="143"/>
  <c r="F22" i="143"/>
  <c r="D21" i="143"/>
  <c r="D23" i="143"/>
  <c r="G3" i="140"/>
  <c r="G2" i="140"/>
  <c r="G7" i="206"/>
  <c r="F8" i="140"/>
  <c r="I19" i="98"/>
  <c r="I18" i="98"/>
  <c r="I17" i="98"/>
  <c r="I16" i="98"/>
  <c r="I15" i="98"/>
  <c r="H18" i="98"/>
  <c r="H17" i="98"/>
  <c r="H16" i="98"/>
  <c r="H15" i="98"/>
  <c r="G16" i="98"/>
  <c r="G19" i="98"/>
  <c r="G18" i="98"/>
  <c r="G17" i="98"/>
  <c r="G15" i="98"/>
  <c r="G14" i="83"/>
  <c r="G13" i="83"/>
  <c r="G12" i="83"/>
  <c r="G11" i="83"/>
  <c r="G9" i="83"/>
  <c r="G10" i="83"/>
  <c r="V17" i="88"/>
  <c r="V19" i="88"/>
  <c r="U19" i="88"/>
  <c r="T19" i="88"/>
  <c r="D15" i="153"/>
  <c r="G6" i="203" l="1"/>
  <c r="E15" i="140"/>
  <c r="E9" i="140"/>
  <c r="F16" i="98"/>
  <c r="F15" i="98"/>
  <c r="I6" i="98"/>
  <c r="I5" i="98"/>
  <c r="L14" i="201"/>
  <c r="I16" i="201"/>
  <c r="I14" i="201"/>
  <c r="D38" i="205"/>
  <c r="E10" i="207"/>
  <c r="E9" i="207"/>
  <c r="E8" i="207"/>
  <c r="E7" i="207"/>
  <c r="E6" i="207"/>
  <c r="E5" i="207"/>
  <c r="I15" i="201" l="1"/>
  <c r="H15" i="201"/>
  <c r="L17" i="201"/>
  <c r="L16" i="201"/>
  <c r="L15" i="201"/>
  <c r="J20" i="201"/>
  <c r="I20" i="201"/>
  <c r="H20" i="201"/>
  <c r="J19" i="201"/>
  <c r="I19" i="201"/>
  <c r="H19" i="201"/>
  <c r="J18" i="201"/>
  <c r="I18" i="201"/>
  <c r="H18" i="201"/>
  <c r="J17" i="201"/>
  <c r="I17" i="201"/>
  <c r="H17" i="201"/>
  <c r="J16" i="201"/>
  <c r="H16" i="201"/>
  <c r="J15" i="201"/>
  <c r="J14" i="201"/>
  <c r="H14" i="201"/>
  <c r="J13" i="201"/>
  <c r="I13" i="201"/>
  <c r="H13" i="201"/>
  <c r="F17" i="150"/>
  <c r="F16" i="150"/>
  <c r="F15" i="150"/>
  <c r="F14" i="150"/>
  <c r="F13" i="150"/>
  <c r="F12" i="150"/>
  <c r="F11" i="150"/>
  <c r="F10" i="150"/>
  <c r="F9" i="150"/>
  <c r="F8" i="150"/>
  <c r="F7" i="150"/>
  <c r="F6" i="150"/>
  <c r="E16" i="153"/>
  <c r="E20" i="153"/>
  <c r="D20" i="153"/>
  <c r="C20" i="153"/>
  <c r="E19" i="153"/>
  <c r="D19" i="153"/>
  <c r="C19" i="153"/>
  <c r="E18" i="153"/>
  <c r="D18" i="153"/>
  <c r="C18" i="153"/>
  <c r="E17" i="153"/>
  <c r="D17" i="153"/>
  <c r="C17" i="153"/>
  <c r="D16" i="153"/>
  <c r="C16" i="153"/>
  <c r="E15" i="153"/>
  <c r="D22" i="205"/>
  <c r="G22" i="205"/>
  <c r="E22" i="205"/>
  <c r="C22" i="205"/>
  <c r="G21" i="205"/>
  <c r="F21" i="205"/>
  <c r="E21" i="205"/>
  <c r="D21" i="205"/>
  <c r="C21" i="205"/>
  <c r="J6" i="205"/>
  <c r="C6" i="143"/>
  <c r="C7" i="143"/>
  <c r="D169" i="206" l="1"/>
  <c r="D168" i="206"/>
  <c r="D167" i="206"/>
  <c r="D166" i="206"/>
  <c r="D165" i="206"/>
  <c r="D164" i="206"/>
  <c r="D163" i="206"/>
  <c r="D162" i="206"/>
  <c r="D161" i="206"/>
  <c r="D160" i="206"/>
  <c r="D159" i="206"/>
  <c r="D158" i="206"/>
  <c r="D157" i="206"/>
  <c r="D156" i="206"/>
  <c r="D155" i="206"/>
  <c r="D154" i="206"/>
  <c r="D153" i="206"/>
  <c r="D152" i="206"/>
  <c r="D151" i="206"/>
  <c r="D150" i="206"/>
  <c r="D149" i="206"/>
  <c r="D148" i="206"/>
  <c r="D147" i="206"/>
  <c r="D146" i="206"/>
  <c r="D145" i="206"/>
  <c r="D144" i="206"/>
  <c r="D143" i="206"/>
  <c r="D142" i="206"/>
  <c r="D141" i="206"/>
  <c r="D140" i="206"/>
  <c r="D139" i="206"/>
  <c r="D138" i="206"/>
  <c r="D137" i="206"/>
  <c r="D136" i="206"/>
  <c r="D135" i="206"/>
  <c r="D134" i="206"/>
  <c r="D133" i="206"/>
  <c r="D132" i="206"/>
  <c r="D131" i="206"/>
  <c r="D130" i="206"/>
  <c r="D129" i="206"/>
  <c r="D128" i="206"/>
  <c r="D127" i="206"/>
  <c r="D126" i="206"/>
  <c r="D125" i="206"/>
  <c r="D124" i="206"/>
  <c r="D123" i="206"/>
  <c r="D122" i="206"/>
  <c r="D121" i="206"/>
  <c r="D120" i="206"/>
  <c r="D119" i="206"/>
  <c r="D118" i="206"/>
  <c r="D117" i="206"/>
  <c r="D116" i="206"/>
  <c r="D115" i="206"/>
  <c r="D114" i="206"/>
  <c r="D113" i="206"/>
  <c r="D112" i="206"/>
  <c r="D111" i="206"/>
  <c r="D110" i="206"/>
  <c r="D109" i="206"/>
  <c r="D108" i="206"/>
  <c r="D107" i="206"/>
  <c r="D106" i="206"/>
  <c r="D105" i="206"/>
  <c r="D104" i="206"/>
  <c r="D103" i="206"/>
  <c r="D102" i="206"/>
  <c r="D101" i="206"/>
  <c r="D100" i="206"/>
  <c r="D99" i="206"/>
  <c r="D98" i="206"/>
  <c r="D97" i="206"/>
  <c r="D96" i="206"/>
  <c r="D95" i="206"/>
  <c r="D94" i="206"/>
  <c r="D93" i="206"/>
  <c r="D92" i="206"/>
  <c r="D91" i="206"/>
  <c r="D90" i="206"/>
  <c r="D89" i="206"/>
  <c r="D88" i="206"/>
  <c r="D87" i="206"/>
  <c r="D86" i="206"/>
  <c r="D85" i="206"/>
  <c r="D84" i="206"/>
  <c r="D83" i="206"/>
  <c r="D82" i="206"/>
  <c r="D81" i="206"/>
  <c r="D80" i="206"/>
  <c r="D79" i="206"/>
  <c r="D78" i="206"/>
  <c r="D77" i="206"/>
  <c r="D76" i="206"/>
  <c r="D75" i="206"/>
  <c r="D74" i="206"/>
  <c r="D73" i="206"/>
  <c r="D72" i="206"/>
  <c r="D71" i="206"/>
  <c r="D70" i="206"/>
  <c r="D69" i="206"/>
  <c r="D68" i="206"/>
  <c r="D67" i="206"/>
  <c r="D66" i="206"/>
  <c r="D65" i="206"/>
  <c r="D64" i="206"/>
  <c r="D63" i="206"/>
  <c r="D62" i="206"/>
  <c r="D61" i="206"/>
  <c r="D60" i="206"/>
  <c r="D59" i="206"/>
  <c r="D58" i="206"/>
  <c r="D57" i="206"/>
  <c r="D56" i="206"/>
  <c r="D55" i="206"/>
  <c r="D54" i="206"/>
  <c r="D53" i="206"/>
  <c r="D52" i="206"/>
  <c r="D51" i="206"/>
  <c r="D50" i="206"/>
  <c r="D49" i="206"/>
  <c r="D48" i="206"/>
  <c r="D47" i="206"/>
  <c r="D46" i="206"/>
  <c r="D45" i="206"/>
  <c r="D44" i="206"/>
  <c r="D43" i="206"/>
  <c r="D42" i="206"/>
  <c r="D41" i="206"/>
  <c r="D40" i="206"/>
  <c r="D39" i="206"/>
  <c r="D38" i="206"/>
  <c r="D37" i="206"/>
  <c r="D36" i="206"/>
  <c r="D35" i="206"/>
  <c r="D34" i="206"/>
  <c r="D33" i="206"/>
  <c r="D32" i="206"/>
  <c r="D31" i="206"/>
  <c r="D30" i="206"/>
  <c r="D29" i="206"/>
  <c r="D28" i="206"/>
  <c r="D27" i="206"/>
  <c r="D26" i="206"/>
  <c r="D25" i="206"/>
  <c r="D24" i="206"/>
  <c r="D23" i="206"/>
  <c r="D22" i="206"/>
  <c r="D21" i="206"/>
  <c r="D20" i="206"/>
  <c r="D19" i="206"/>
  <c r="D18" i="206"/>
  <c r="D17" i="206"/>
  <c r="D16" i="206"/>
  <c r="D15" i="206"/>
  <c r="D14" i="206"/>
  <c r="D13" i="206"/>
  <c r="D12" i="206"/>
  <c r="E39" i="206" s="1"/>
  <c r="D11" i="206"/>
  <c r="D10" i="206"/>
  <c r="D9" i="206"/>
  <c r="D8" i="206"/>
  <c r="D7" i="206"/>
  <c r="D6" i="206"/>
  <c r="D6" i="140"/>
  <c r="D7" i="140"/>
  <c r="D8" i="140"/>
  <c r="D9" i="140"/>
  <c r="D10" i="140"/>
  <c r="E84" i="140" s="1"/>
  <c r="D11" i="140"/>
  <c r="D12" i="140"/>
  <c r="D13" i="140"/>
  <c r="D14" i="140"/>
  <c r="D15" i="140"/>
  <c r="D16" i="140"/>
  <c r="D17" i="140"/>
  <c r="D18" i="140"/>
  <c r="D19" i="140"/>
  <c r="D20" i="140"/>
  <c r="D21" i="140"/>
  <c r="E21" i="140" s="1"/>
  <c r="D22" i="140"/>
  <c r="D23" i="140"/>
  <c r="D24" i="140"/>
  <c r="D25" i="140"/>
  <c r="D26" i="140"/>
  <c r="E26" i="140"/>
  <c r="D27" i="140"/>
  <c r="D28" i="140"/>
  <c r="D29" i="140"/>
  <c r="D30" i="140"/>
  <c r="D31" i="140"/>
  <c r="D32" i="140"/>
  <c r="D33" i="140"/>
  <c r="D34" i="140"/>
  <c r="D35" i="140"/>
  <c r="D36" i="140"/>
  <c r="D37" i="140"/>
  <c r="D38" i="140"/>
  <c r="D39" i="140"/>
  <c r="D40" i="140"/>
  <c r="D41" i="140"/>
  <c r="D42" i="140"/>
  <c r="E42" i="140" s="1"/>
  <c r="D43" i="140"/>
  <c r="D44" i="140"/>
  <c r="D45" i="140"/>
  <c r="D46" i="140"/>
  <c r="D47" i="140"/>
  <c r="D48" i="140"/>
  <c r="D49" i="140"/>
  <c r="D50" i="140"/>
  <c r="E50" i="140"/>
  <c r="D51" i="140"/>
  <c r="D52" i="140"/>
  <c r="D53" i="140"/>
  <c r="D54" i="140"/>
  <c r="D55" i="140"/>
  <c r="E55" i="140"/>
  <c r="D56" i="140"/>
  <c r="D57" i="140"/>
  <c r="D58" i="140"/>
  <c r="D59" i="140"/>
  <c r="D60" i="140"/>
  <c r="D61" i="140"/>
  <c r="D62" i="140"/>
  <c r="D63" i="140"/>
  <c r="D64" i="140"/>
  <c r="D65" i="140"/>
  <c r="D66" i="140"/>
  <c r="D67" i="140"/>
  <c r="D68" i="140"/>
  <c r="D69" i="140"/>
  <c r="D70" i="140"/>
  <c r="D71" i="140"/>
  <c r="D72" i="140"/>
  <c r="D73" i="140"/>
  <c r="D74" i="140"/>
  <c r="E74" i="140" s="1"/>
  <c r="D75" i="140"/>
  <c r="D76" i="140"/>
  <c r="D77" i="140"/>
  <c r="D78" i="140"/>
  <c r="D79" i="140"/>
  <c r="E79" i="140" s="1"/>
  <c r="D80" i="140"/>
  <c r="D81" i="140"/>
  <c r="D82" i="140"/>
  <c r="E82" i="140"/>
  <c r="D83" i="140"/>
  <c r="D84" i="140"/>
  <c r="D85" i="140"/>
  <c r="D86" i="140"/>
  <c r="D87" i="140"/>
  <c r="E87" i="140"/>
  <c r="D88" i="140"/>
  <c r="D89" i="140"/>
  <c r="D90" i="140"/>
  <c r="D91" i="140"/>
  <c r="D92" i="140"/>
  <c r="D93" i="140"/>
  <c r="D94" i="140"/>
  <c r="D95" i="140"/>
  <c r="D96" i="140"/>
  <c r="D97" i="140"/>
  <c r="D98" i="140"/>
  <c r="D99" i="140"/>
  <c r="D100" i="140"/>
  <c r="D101" i="140"/>
  <c r="D102" i="140"/>
  <c r="D103" i="140"/>
  <c r="D104" i="140"/>
  <c r="D105" i="140"/>
  <c r="D106" i="140"/>
  <c r="D107" i="140"/>
  <c r="D108" i="140"/>
  <c r="D109" i="140"/>
  <c r="D110" i="140"/>
  <c r="D111" i="140"/>
  <c r="E111" i="140" s="1"/>
  <c r="D112" i="140"/>
  <c r="D113" i="140"/>
  <c r="D114" i="140"/>
  <c r="D115" i="140"/>
  <c r="D116" i="140"/>
  <c r="D117" i="140"/>
  <c r="D118" i="140"/>
  <c r="D119" i="140"/>
  <c r="E119" i="140"/>
  <c r="D120" i="140"/>
  <c r="D121" i="140"/>
  <c r="D122" i="140"/>
  <c r="D123" i="140"/>
  <c r="D124" i="140"/>
  <c r="D125" i="140"/>
  <c r="D126" i="140"/>
  <c r="D127" i="140"/>
  <c r="D128" i="140"/>
  <c r="D129" i="140"/>
  <c r="D130" i="140"/>
  <c r="D131" i="140"/>
  <c r="D132" i="140"/>
  <c r="D133" i="140"/>
  <c r="D134" i="140"/>
  <c r="D135" i="140"/>
  <c r="D136" i="140"/>
  <c r="D137" i="140"/>
  <c r="D138" i="140"/>
  <c r="D139" i="140"/>
  <c r="D140" i="140"/>
  <c r="D141" i="140"/>
  <c r="D142" i="140"/>
  <c r="D143" i="140"/>
  <c r="E143" i="140" s="1"/>
  <c r="D144" i="140"/>
  <c r="D145" i="140"/>
  <c r="D146" i="140"/>
  <c r="D147" i="140"/>
  <c r="D148" i="140"/>
  <c r="D149" i="140"/>
  <c r="D150" i="140"/>
  <c r="D151" i="140"/>
  <c r="D152" i="140"/>
  <c r="D153" i="140"/>
  <c r="D154" i="140"/>
  <c r="D155" i="140"/>
  <c r="D156" i="140"/>
  <c r="D157" i="140"/>
  <c r="D158" i="140"/>
  <c r="D159" i="140"/>
  <c r="D160" i="140"/>
  <c r="D161" i="140"/>
  <c r="D162" i="140"/>
  <c r="D163" i="140"/>
  <c r="D164" i="140"/>
  <c r="D165" i="140"/>
  <c r="D166" i="140"/>
  <c r="D167" i="140"/>
  <c r="D168" i="140"/>
  <c r="D169" i="140"/>
  <c r="D10" i="99"/>
  <c r="D6" i="99"/>
  <c r="D5" i="99"/>
  <c r="I10" i="98"/>
  <c r="I9" i="98"/>
  <c r="I8" i="98"/>
  <c r="I7" i="98"/>
  <c r="H6" i="98"/>
  <c r="E8" i="99"/>
  <c r="C9" i="99"/>
  <c r="C8" i="99"/>
  <c r="C7" i="99"/>
  <c r="C3" i="99"/>
  <c r="C6" i="99"/>
  <c r="D9" i="99"/>
  <c r="D8" i="99"/>
  <c r="H8" i="98"/>
  <c r="H7" i="98"/>
  <c r="H9" i="98"/>
  <c r="H5" i="98"/>
  <c r="E9" i="83"/>
  <c r="E34" i="83"/>
  <c r="E33" i="83"/>
  <c r="E40" i="83"/>
  <c r="D39" i="83"/>
  <c r="E35" i="83"/>
  <c r="D33" i="83"/>
  <c r="D12" i="83"/>
  <c r="D28" i="105"/>
  <c r="C26" i="105"/>
  <c r="L26" i="81"/>
  <c r="H25" i="81"/>
  <c r="F25" i="81"/>
  <c r="C25" i="81"/>
  <c r="H18" i="81"/>
  <c r="H17" i="81"/>
  <c r="H15" i="81"/>
  <c r="H14" i="81"/>
  <c r="C13" i="186"/>
  <c r="D15" i="186"/>
  <c r="D14" i="186"/>
  <c r="D13" i="186"/>
  <c r="D3" i="99"/>
  <c r="E16" i="98"/>
  <c r="G8" i="98"/>
  <c r="G7" i="98"/>
  <c r="G10" i="98"/>
  <c r="G9" i="98"/>
  <c r="G6" i="98"/>
  <c r="G5" i="98"/>
  <c r="H20" i="81"/>
  <c r="H19" i="81"/>
  <c r="H12" i="81"/>
  <c r="H11" i="81"/>
  <c r="D23" i="205"/>
  <c r="J15" i="205"/>
  <c r="J18" i="205"/>
  <c r="J17" i="205"/>
  <c r="J16" i="205"/>
  <c r="F39" i="205"/>
  <c r="E39" i="205"/>
  <c r="J13" i="205"/>
  <c r="J7" i="205"/>
  <c r="E15" i="98"/>
  <c r="D16" i="98"/>
  <c r="C15" i="98"/>
  <c r="J14" i="205"/>
  <c r="J12" i="205"/>
  <c r="D19" i="98"/>
  <c r="D17" i="98"/>
  <c r="D18" i="98"/>
  <c r="D15" i="98"/>
  <c r="J11" i="205"/>
  <c r="J10" i="205"/>
  <c r="J9" i="205"/>
  <c r="J8" i="205"/>
  <c r="I11" i="205"/>
  <c r="D39" i="205"/>
  <c r="E38" i="205"/>
  <c r="F38" i="205"/>
  <c r="F22" i="205"/>
  <c r="I14" i="205"/>
  <c r="I16" i="205"/>
  <c r="I18" i="205"/>
  <c r="I17" i="205"/>
  <c r="I15" i="205"/>
  <c r="I13" i="205"/>
  <c r="I9" i="205"/>
  <c r="F34" i="205"/>
  <c r="E34" i="205"/>
  <c r="D34" i="205"/>
  <c r="C34" i="205"/>
  <c r="F33" i="205"/>
  <c r="E33" i="205"/>
  <c r="D33" i="205"/>
  <c r="C33" i="205"/>
  <c r="F32" i="205"/>
  <c r="E32" i="205"/>
  <c r="D32" i="205"/>
  <c r="C32" i="205"/>
  <c r="G29" i="205"/>
  <c r="F29" i="205"/>
  <c r="E29" i="205"/>
  <c r="D29" i="205"/>
  <c r="C29" i="205"/>
  <c r="G28" i="205"/>
  <c r="F28" i="205"/>
  <c r="E28" i="205"/>
  <c r="D28" i="205"/>
  <c r="C28" i="205"/>
  <c r="G27" i="205"/>
  <c r="F27" i="205"/>
  <c r="E27" i="205"/>
  <c r="D27" i="205"/>
  <c r="C27" i="205"/>
  <c r="G23" i="205"/>
  <c r="C18" i="205"/>
  <c r="C17" i="205"/>
  <c r="C16" i="205"/>
  <c r="C15" i="205"/>
  <c r="C14" i="205"/>
  <c r="C13" i="205"/>
  <c r="C12" i="205"/>
  <c r="I12" i="205" s="1"/>
  <c r="C11" i="205"/>
  <c r="I10" i="205"/>
  <c r="C10" i="205"/>
  <c r="C9" i="205"/>
  <c r="I8" i="205"/>
  <c r="C8" i="205"/>
  <c r="I7" i="205"/>
  <c r="C7" i="205"/>
  <c r="I6" i="205"/>
  <c r="C6" i="205"/>
  <c r="I5" i="205"/>
  <c r="C5" i="205"/>
  <c r="I6" i="204"/>
  <c r="I18" i="204"/>
  <c r="I17" i="204"/>
  <c r="I16" i="204"/>
  <c r="I15" i="204"/>
  <c r="I14" i="204"/>
  <c r="I13" i="204"/>
  <c r="I12" i="204"/>
  <c r="I11" i="204"/>
  <c r="I10" i="204"/>
  <c r="I9" i="204"/>
  <c r="I8" i="204"/>
  <c r="I7" i="204"/>
  <c r="I5" i="204"/>
  <c r="F34" i="204"/>
  <c r="E34" i="204"/>
  <c r="D34" i="204"/>
  <c r="C34" i="204"/>
  <c r="F33" i="204"/>
  <c r="E33" i="204"/>
  <c r="D33" i="204"/>
  <c r="C33" i="204"/>
  <c r="F32" i="204"/>
  <c r="E32" i="204"/>
  <c r="D32" i="204"/>
  <c r="C32" i="204"/>
  <c r="G29" i="204"/>
  <c r="F29" i="204"/>
  <c r="E29" i="204"/>
  <c r="D29" i="204"/>
  <c r="C29" i="204"/>
  <c r="G28" i="204"/>
  <c r="F28" i="204"/>
  <c r="E28" i="204"/>
  <c r="D28" i="204"/>
  <c r="C28" i="204"/>
  <c r="D27" i="204"/>
  <c r="C27" i="204"/>
  <c r="G23" i="204"/>
  <c r="F23" i="204"/>
  <c r="E23" i="204"/>
  <c r="C23" i="204"/>
  <c r="G22" i="204"/>
  <c r="F22" i="204"/>
  <c r="E22" i="204"/>
  <c r="D22" i="204"/>
  <c r="C22" i="204"/>
  <c r="G21" i="204"/>
  <c r="F21" i="204"/>
  <c r="E21" i="204"/>
  <c r="D21" i="204"/>
  <c r="C21" i="204"/>
  <c r="C18" i="204"/>
  <c r="C17" i="204"/>
  <c r="C16" i="204"/>
  <c r="C15" i="204"/>
  <c r="C14" i="204"/>
  <c r="C13" i="204"/>
  <c r="C12" i="204"/>
  <c r="C11" i="204"/>
  <c r="C10" i="204"/>
  <c r="C9" i="204"/>
  <c r="C8" i="204"/>
  <c r="C7" i="204"/>
  <c r="C6" i="204"/>
  <c r="C5" i="204"/>
  <c r="I5" i="143"/>
  <c r="I18" i="143"/>
  <c r="I17" i="143"/>
  <c r="I16" i="143"/>
  <c r="I15" i="143"/>
  <c r="I14" i="143"/>
  <c r="I13" i="143"/>
  <c r="I12" i="143"/>
  <c r="I11" i="143"/>
  <c r="I10" i="143"/>
  <c r="I9" i="143"/>
  <c r="I8" i="143"/>
  <c r="I6" i="143"/>
  <c r="I7" i="143"/>
  <c r="D34" i="143"/>
  <c r="F12" i="185"/>
  <c r="Q12" i="88"/>
  <c r="P10" i="88"/>
  <c r="F34" i="143"/>
  <c r="E34" i="143"/>
  <c r="C34" i="143"/>
  <c r="G27" i="143"/>
  <c r="G21" i="143"/>
  <c r="G23" i="143"/>
  <c r="F23" i="143"/>
  <c r="E23" i="143"/>
  <c r="E77" i="206" l="1"/>
  <c r="E93" i="206"/>
  <c r="E55" i="206"/>
  <c r="E130" i="206"/>
  <c r="E103" i="206"/>
  <c r="E146" i="140"/>
  <c r="E47" i="140"/>
  <c r="E138" i="140"/>
  <c r="E151" i="140"/>
  <c r="E114" i="140"/>
  <c r="E106" i="140"/>
  <c r="E34" i="206"/>
  <c r="E125" i="206"/>
  <c r="E20" i="206"/>
  <c r="E66" i="206"/>
  <c r="E65" i="206"/>
  <c r="E57" i="206"/>
  <c r="E49" i="206"/>
  <c r="E41" i="206"/>
  <c r="E33" i="206"/>
  <c r="E169" i="206"/>
  <c r="E160" i="206"/>
  <c r="E10" i="206"/>
  <c r="E23" i="206"/>
  <c r="E9" i="206"/>
  <c r="E144" i="206"/>
  <c r="E128" i="206"/>
  <c r="E112" i="206"/>
  <c r="E96" i="206"/>
  <c r="E80" i="206"/>
  <c r="E64" i="206"/>
  <c r="E48" i="206"/>
  <c r="E32" i="206"/>
  <c r="E111" i="206"/>
  <c r="E79" i="206"/>
  <c r="E47" i="206"/>
  <c r="E159" i="206"/>
  <c r="E25" i="206"/>
  <c r="E120" i="206"/>
  <c r="E88" i="206"/>
  <c r="E56" i="206"/>
  <c r="E24" i="206"/>
  <c r="E15" i="206"/>
  <c r="E151" i="206"/>
  <c r="E167" i="206"/>
  <c r="E17" i="206"/>
  <c r="E8" i="206"/>
  <c r="E143" i="206"/>
  <c r="E127" i="206"/>
  <c r="E95" i="206"/>
  <c r="E63" i="206"/>
  <c r="E31" i="206"/>
  <c r="E16" i="206"/>
  <c r="E7" i="206"/>
  <c r="E152" i="206"/>
  <c r="E136" i="206"/>
  <c r="E104" i="206"/>
  <c r="E72" i="206"/>
  <c r="E40" i="206"/>
  <c r="E135" i="206"/>
  <c r="E29" i="206"/>
  <c r="E82" i="206"/>
  <c r="E119" i="206"/>
  <c r="E109" i="206"/>
  <c r="E50" i="206"/>
  <c r="E98" i="206"/>
  <c r="E71" i="206"/>
  <c r="E87" i="206"/>
  <c r="E161" i="206"/>
  <c r="E45" i="206"/>
  <c r="E61" i="206"/>
  <c r="E114" i="206"/>
  <c r="E141" i="206"/>
  <c r="E164" i="206"/>
  <c r="E11" i="206"/>
  <c r="E35" i="206"/>
  <c r="E67" i="206"/>
  <c r="E115" i="206"/>
  <c r="E147" i="206"/>
  <c r="E30" i="206"/>
  <c r="E52" i="206"/>
  <c r="E62" i="206"/>
  <c r="E84" i="206"/>
  <c r="E94" i="206"/>
  <c r="E116" i="206"/>
  <c r="E126" i="206"/>
  <c r="E132" i="206"/>
  <c r="E142" i="206"/>
  <c r="E165" i="206"/>
  <c r="E166" i="206"/>
  <c r="E22" i="206"/>
  <c r="E42" i="206"/>
  <c r="E53" i="206"/>
  <c r="E74" i="206"/>
  <c r="E85" i="206"/>
  <c r="E106" i="206"/>
  <c r="E122" i="206"/>
  <c r="E133" i="206"/>
  <c r="E149" i="206"/>
  <c r="E154" i="206"/>
  <c r="E27" i="206"/>
  <c r="E43" i="206"/>
  <c r="E59" i="206"/>
  <c r="E75" i="206"/>
  <c r="E91" i="206"/>
  <c r="E107" i="206"/>
  <c r="E123" i="206"/>
  <c r="E139" i="206"/>
  <c r="E155" i="206"/>
  <c r="E83" i="206"/>
  <c r="E168" i="206"/>
  <c r="E146" i="206"/>
  <c r="E157" i="206"/>
  <c r="E51" i="206"/>
  <c r="E99" i="206"/>
  <c r="E131" i="206"/>
  <c r="E158" i="206"/>
  <c r="E12" i="206"/>
  <c r="E21" i="206"/>
  <c r="E36" i="206"/>
  <c r="E46" i="206"/>
  <c r="E68" i="206"/>
  <c r="E78" i="206"/>
  <c r="E100" i="206"/>
  <c r="E110" i="206"/>
  <c r="E148" i="206"/>
  <c r="E13" i="206"/>
  <c r="E26" i="206"/>
  <c r="E37" i="206"/>
  <c r="E58" i="206"/>
  <c r="E69" i="206"/>
  <c r="E90" i="206"/>
  <c r="E101" i="206"/>
  <c r="E117" i="206"/>
  <c r="E138" i="206"/>
  <c r="E14" i="206"/>
  <c r="E18" i="206"/>
  <c r="E28" i="206"/>
  <c r="E38" i="206"/>
  <c r="E44" i="206"/>
  <c r="E54" i="206"/>
  <c r="E60" i="206"/>
  <c r="E70" i="206"/>
  <c r="E76" i="206"/>
  <c r="E86" i="206"/>
  <c r="E92" i="206"/>
  <c r="E102" i="206"/>
  <c r="E108" i="206"/>
  <c r="E118" i="206"/>
  <c r="E124" i="206"/>
  <c r="E134" i="206"/>
  <c r="E140" i="206"/>
  <c r="E150" i="206"/>
  <c r="E156" i="206"/>
  <c r="E162" i="206"/>
  <c r="E19" i="206"/>
  <c r="E163" i="206"/>
  <c r="E6" i="206"/>
  <c r="E73" i="206"/>
  <c r="E81" i="206"/>
  <c r="E89" i="206"/>
  <c r="E97" i="206"/>
  <c r="E105" i="206"/>
  <c r="E113" i="206"/>
  <c r="E121" i="206"/>
  <c r="E129" i="206"/>
  <c r="E137" i="206"/>
  <c r="E145" i="206"/>
  <c r="E153" i="206"/>
  <c r="E155" i="140"/>
  <c r="E123" i="140"/>
  <c r="E91" i="140"/>
  <c r="E59" i="140"/>
  <c r="E36" i="140"/>
  <c r="E159" i="140"/>
  <c r="E122" i="140"/>
  <c r="E58" i="140"/>
  <c r="E163" i="140"/>
  <c r="E131" i="140"/>
  <c r="E99" i="140"/>
  <c r="E76" i="140"/>
  <c r="E44" i="140"/>
  <c r="E19" i="140"/>
  <c r="E167" i="140"/>
  <c r="E130" i="140"/>
  <c r="E98" i="140"/>
  <c r="E66" i="140"/>
  <c r="E29" i="140"/>
  <c r="E18" i="140"/>
  <c r="E157" i="140"/>
  <c r="E139" i="140"/>
  <c r="E116" i="140"/>
  <c r="E93" i="140"/>
  <c r="E75" i="140"/>
  <c r="E61" i="140"/>
  <c r="E52" i="140"/>
  <c r="E43" i="140"/>
  <c r="E23" i="140"/>
  <c r="E7" i="140"/>
  <c r="E164" i="140"/>
  <c r="E132" i="140"/>
  <c r="E100" i="140"/>
  <c r="E68" i="140"/>
  <c r="E31" i="140"/>
  <c r="E154" i="140"/>
  <c r="E90" i="140"/>
  <c r="E63" i="140"/>
  <c r="E140" i="140"/>
  <c r="E117" i="140"/>
  <c r="E85" i="140"/>
  <c r="E67" i="140"/>
  <c r="E53" i="140"/>
  <c r="E35" i="140"/>
  <c r="E162" i="140"/>
  <c r="E135" i="140"/>
  <c r="E103" i="140"/>
  <c r="E71" i="140"/>
  <c r="E39" i="140"/>
  <c r="E34" i="140"/>
  <c r="E13" i="140"/>
  <c r="E148" i="140"/>
  <c r="E125" i="140"/>
  <c r="E107" i="140"/>
  <c r="E48" i="140"/>
  <c r="E10" i="140"/>
  <c r="E141" i="140"/>
  <c r="E109" i="140"/>
  <c r="E77" i="140"/>
  <c r="E45" i="140"/>
  <c r="E12" i="140"/>
  <c r="E28" i="140"/>
  <c r="E20" i="140"/>
  <c r="E127" i="140"/>
  <c r="E95" i="140"/>
  <c r="E149" i="140"/>
  <c r="E108" i="140"/>
  <c r="E165" i="140"/>
  <c r="E156" i="140"/>
  <c r="E147" i="140"/>
  <c r="E133" i="140"/>
  <c r="E124" i="140"/>
  <c r="E115" i="140"/>
  <c r="E101" i="140"/>
  <c r="E92" i="140"/>
  <c r="E83" i="140"/>
  <c r="E69" i="140"/>
  <c r="E60" i="140"/>
  <c r="E51" i="140"/>
  <c r="E37" i="140"/>
  <c r="E27" i="140"/>
  <c r="E11" i="140"/>
  <c r="E105" i="140"/>
  <c r="E41" i="140"/>
  <c r="E33" i="140"/>
  <c r="E25" i="140"/>
  <c r="E17" i="140"/>
  <c r="E166" i="140"/>
  <c r="E94" i="140"/>
  <c r="E86" i="140"/>
  <c r="E78" i="140"/>
  <c r="E70" i="140"/>
  <c r="E62" i="140"/>
  <c r="E54" i="140"/>
  <c r="E46" i="140"/>
  <c r="E38" i="140"/>
  <c r="E30" i="140"/>
  <c r="E22" i="140"/>
  <c r="E14" i="140"/>
  <c r="E6" i="140"/>
  <c r="E169" i="140"/>
  <c r="E153" i="140"/>
  <c r="E129" i="140"/>
  <c r="E113" i="140"/>
  <c r="E89" i="140"/>
  <c r="E73" i="140"/>
  <c r="E57" i="140"/>
  <c r="E152" i="140"/>
  <c r="E136" i="140"/>
  <c r="E128" i="140"/>
  <c r="E120" i="140"/>
  <c r="E104" i="140"/>
  <c r="E96" i="140"/>
  <c r="E80" i="140"/>
  <c r="E72" i="140"/>
  <c r="E64" i="140"/>
  <c r="E56" i="140"/>
  <c r="E40" i="140"/>
  <c r="E32" i="140"/>
  <c r="E24" i="140"/>
  <c r="E16" i="140"/>
  <c r="E8" i="140"/>
  <c r="E161" i="140"/>
  <c r="E145" i="140"/>
  <c r="E137" i="140"/>
  <c r="E121" i="140"/>
  <c r="E97" i="140"/>
  <c r="E81" i="140"/>
  <c r="E65" i="140"/>
  <c r="E49" i="140"/>
  <c r="E158" i="140"/>
  <c r="E150" i="140"/>
  <c r="E142" i="140"/>
  <c r="E134" i="140"/>
  <c r="E126" i="140"/>
  <c r="E118" i="140"/>
  <c r="E110" i="140"/>
  <c r="E102" i="140"/>
  <c r="E168" i="140"/>
  <c r="E160" i="140"/>
  <c r="E144" i="140"/>
  <c r="E112" i="140"/>
  <c r="E88" i="140"/>
  <c r="C20" i="98"/>
  <c r="C19" i="98"/>
  <c r="C18" i="98"/>
  <c r="C17" i="98"/>
  <c r="C16" i="98"/>
  <c r="F10" i="98"/>
  <c r="F9" i="98"/>
  <c r="F8" i="98"/>
  <c r="F7" i="98"/>
  <c r="F6" i="98"/>
  <c r="F5" i="98"/>
  <c r="E5" i="98"/>
  <c r="D29" i="143"/>
  <c r="G29" i="143"/>
  <c r="E21" i="143"/>
  <c r="F2" i="206" l="1"/>
  <c r="F136" i="206" s="1"/>
  <c r="F3" i="206"/>
  <c r="F2" i="140"/>
  <c r="F15" i="140" s="1"/>
  <c r="F3" i="140"/>
  <c r="C23" i="143"/>
  <c r="D33" i="143"/>
  <c r="F33" i="143"/>
  <c r="E33" i="143"/>
  <c r="C33" i="143"/>
  <c r="E32" i="143"/>
  <c r="F32" i="143"/>
  <c r="D32" i="143"/>
  <c r="C32" i="143"/>
  <c r="F29" i="143"/>
  <c r="E29" i="143"/>
  <c r="C29" i="143"/>
  <c r="E28" i="143"/>
  <c r="F27" i="143"/>
  <c r="E27" i="143"/>
  <c r="G28" i="143"/>
  <c r="D28" i="143"/>
  <c r="F28" i="143"/>
  <c r="C28" i="143"/>
  <c r="F115" i="206" l="1"/>
  <c r="F97" i="206"/>
  <c r="F8" i="206"/>
  <c r="F132" i="206"/>
  <c r="F106" i="206"/>
  <c r="F143" i="206"/>
  <c r="F153" i="206"/>
  <c r="F16" i="206"/>
  <c r="F100" i="206"/>
  <c r="F126" i="206"/>
  <c r="F94" i="206"/>
  <c r="F146" i="206"/>
  <c r="F166" i="206"/>
  <c r="F158" i="206"/>
  <c r="F138" i="206"/>
  <c r="F48" i="206"/>
  <c r="F151" i="206"/>
  <c r="F62" i="206"/>
  <c r="F43" i="206"/>
  <c r="F49" i="206"/>
  <c r="F81" i="206"/>
  <c r="F69" i="206"/>
  <c r="F57" i="206"/>
  <c r="F134" i="206"/>
  <c r="F54" i="206"/>
  <c r="F165" i="206"/>
  <c r="F105" i="206"/>
  <c r="F9" i="206"/>
  <c r="F73" i="206"/>
  <c r="F111" i="206"/>
  <c r="F79" i="206"/>
  <c r="F160" i="206"/>
  <c r="F91" i="206"/>
  <c r="F23" i="206"/>
  <c r="F11" i="206"/>
  <c r="F32" i="206"/>
  <c r="F124" i="206"/>
  <c r="F38" i="206"/>
  <c r="F61" i="206"/>
  <c r="F63" i="206"/>
  <c r="F87" i="206"/>
  <c r="F157" i="206"/>
  <c r="F110" i="206"/>
  <c r="F152" i="206"/>
  <c r="F85" i="206"/>
  <c r="F112" i="206"/>
  <c r="F164" i="206"/>
  <c r="F74" i="206"/>
  <c r="F101" i="206"/>
  <c r="F36" i="206"/>
  <c r="F71" i="206"/>
  <c r="F70" i="206"/>
  <c r="F155" i="206"/>
  <c r="F31" i="206"/>
  <c r="F117" i="206"/>
  <c r="F144" i="206"/>
  <c r="F92" i="206"/>
  <c r="F17" i="206"/>
  <c r="F60" i="206"/>
  <c r="F45" i="206"/>
  <c r="F6" i="206"/>
  <c r="F64" i="206"/>
  <c r="F147" i="206"/>
  <c r="F40" i="206"/>
  <c r="F19" i="206"/>
  <c r="F150" i="206"/>
  <c r="F20" i="206"/>
  <c r="F42" i="206"/>
  <c r="F70" i="140"/>
  <c r="F9" i="140"/>
  <c r="F85" i="140"/>
  <c r="F51" i="140"/>
  <c r="F150" i="140"/>
  <c r="F124" i="140"/>
  <c r="F35" i="140"/>
  <c r="F161" i="140"/>
  <c r="F137" i="140"/>
  <c r="F36" i="140"/>
  <c r="F69" i="140"/>
  <c r="F160" i="140"/>
  <c r="F38" i="140"/>
  <c r="F58" i="140"/>
  <c r="F56" i="140"/>
  <c r="F130" i="140"/>
  <c r="F59" i="140"/>
  <c r="F156" i="140"/>
  <c r="F14" i="140"/>
  <c r="F158" i="140"/>
  <c r="F22" i="140"/>
  <c r="F168" i="140"/>
  <c r="F16" i="140"/>
  <c r="F76" i="140"/>
  <c r="F71" i="140"/>
  <c r="F83" i="140"/>
  <c r="F65" i="140"/>
  <c r="F149" i="140"/>
  <c r="F105" i="140"/>
  <c r="F31" i="140"/>
  <c r="F43" i="140"/>
  <c r="F28" i="140"/>
  <c r="F6" i="140"/>
  <c r="F159" i="140"/>
  <c r="F33" i="140"/>
  <c r="F13" i="140"/>
  <c r="F147" i="140"/>
  <c r="F141" i="140"/>
  <c r="F17" i="140"/>
  <c r="F10" i="140"/>
  <c r="F122" i="140"/>
  <c r="F144" i="140"/>
  <c r="F46" i="140"/>
  <c r="F169" i="140"/>
  <c r="F131" i="140"/>
  <c r="F90" i="140"/>
  <c r="F62" i="140"/>
  <c r="F96" i="140"/>
  <c r="F60" i="140"/>
  <c r="F7" i="140"/>
  <c r="F108" i="140"/>
  <c r="F140" i="140"/>
  <c r="F110" i="140"/>
  <c r="F98" i="140"/>
  <c r="F125" i="140"/>
  <c r="F78" i="140"/>
  <c r="F152" i="140"/>
  <c r="F139" i="140"/>
  <c r="F54" i="140"/>
  <c r="F24" i="140"/>
  <c r="F66" i="140"/>
  <c r="F128" i="140"/>
  <c r="F135" i="140"/>
  <c r="F93" i="140"/>
  <c r="F68" i="140"/>
  <c r="F86" i="140"/>
  <c r="F123" i="140"/>
  <c r="F142" i="140"/>
  <c r="F19" i="140"/>
  <c r="F32" i="140"/>
  <c r="F164" i="140"/>
  <c r="F115" i="140"/>
  <c r="F163" i="140"/>
  <c r="F27" i="140"/>
  <c r="F95" i="140"/>
  <c r="F94" i="140"/>
  <c r="F67" i="140"/>
  <c r="F89" i="140"/>
  <c r="F166" i="140"/>
  <c r="F75" i="140"/>
  <c r="F92" i="140"/>
  <c r="F48" i="140"/>
  <c r="F162" i="140"/>
  <c r="F153" i="140"/>
  <c r="F61" i="140"/>
  <c r="F112" i="140"/>
  <c r="F44" i="140"/>
  <c r="F165" i="140"/>
  <c r="F127" i="140"/>
  <c r="F63" i="140"/>
  <c r="F25" i="140"/>
  <c r="F30" i="140"/>
  <c r="F129" i="140"/>
  <c r="F103" i="140"/>
  <c r="F104" i="140"/>
  <c r="F45" i="140"/>
  <c r="F37" i="140"/>
  <c r="F81" i="140"/>
  <c r="F64" i="140"/>
  <c r="F120" i="140"/>
  <c r="F118" i="140"/>
  <c r="F41" i="140"/>
  <c r="F132" i="140"/>
  <c r="F113" i="140"/>
  <c r="F167" i="140"/>
  <c r="F155" i="140"/>
  <c r="F12" i="140"/>
  <c r="F145" i="140"/>
  <c r="F126" i="140"/>
  <c r="F157" i="140"/>
  <c r="F77" i="140"/>
  <c r="F117" i="140"/>
  <c r="F136" i="140"/>
  <c r="F97" i="140"/>
  <c r="F23" i="140"/>
  <c r="F107" i="140"/>
  <c r="F100" i="140"/>
  <c r="F34" i="140"/>
  <c r="F154" i="140"/>
  <c r="F137" i="206"/>
  <c r="F131" i="206"/>
  <c r="F24" i="206"/>
  <c r="F59" i="206"/>
  <c r="F121" i="206"/>
  <c r="F50" i="206"/>
  <c r="F26" i="206"/>
  <c r="F7" i="206"/>
  <c r="F53" i="206"/>
  <c r="F135" i="206"/>
  <c r="F46" i="206"/>
  <c r="F51" i="206"/>
  <c r="F120" i="206"/>
  <c r="F169" i="206"/>
  <c r="F133" i="206"/>
  <c r="F123" i="206"/>
  <c r="F113" i="206"/>
  <c r="F56" i="206"/>
  <c r="F83" i="206"/>
  <c r="F66" i="206"/>
  <c r="F95" i="206"/>
  <c r="F34" i="206"/>
  <c r="F84" i="206"/>
  <c r="F65" i="206"/>
  <c r="F127" i="206"/>
  <c r="F12" i="206"/>
  <c r="F129" i="206"/>
  <c r="F82" i="206"/>
  <c r="F88" i="206"/>
  <c r="F72" i="206"/>
  <c r="F21" i="206"/>
  <c r="F41" i="206"/>
  <c r="F30" i="206"/>
  <c r="F76" i="206"/>
  <c r="F99" i="206"/>
  <c r="F125" i="206"/>
  <c r="F141" i="206"/>
  <c r="F18" i="206"/>
  <c r="F156" i="206"/>
  <c r="F154" i="206"/>
  <c r="F159" i="206"/>
  <c r="F68" i="206"/>
  <c r="F102" i="206"/>
  <c r="F103" i="206"/>
  <c r="F55" i="206"/>
  <c r="F77" i="206"/>
  <c r="F130" i="206"/>
  <c r="F39" i="206"/>
  <c r="F93" i="206"/>
  <c r="F108" i="206"/>
  <c r="F168" i="206"/>
  <c r="F114" i="206"/>
  <c r="F14" i="206"/>
  <c r="F118" i="206"/>
  <c r="F98" i="206"/>
  <c r="F37" i="206"/>
  <c r="F58" i="206"/>
  <c r="F119" i="206"/>
  <c r="F96" i="206"/>
  <c r="F107" i="206"/>
  <c r="F78" i="206"/>
  <c r="F104" i="206"/>
  <c r="F148" i="206"/>
  <c r="F13" i="206"/>
  <c r="F22" i="206"/>
  <c r="F116" i="206"/>
  <c r="F109" i="206"/>
  <c r="F44" i="206"/>
  <c r="F128" i="206"/>
  <c r="F142" i="206"/>
  <c r="F140" i="206"/>
  <c r="F162" i="206"/>
  <c r="F33" i="206"/>
  <c r="F52" i="206"/>
  <c r="F86" i="206"/>
  <c r="F80" i="206"/>
  <c r="F90" i="206"/>
  <c r="F167" i="206"/>
  <c r="F28" i="206"/>
  <c r="F10" i="206"/>
  <c r="F27" i="206"/>
  <c r="F161" i="206"/>
  <c r="F15" i="206"/>
  <c r="F75" i="206"/>
  <c r="F145" i="206"/>
  <c r="F139" i="206"/>
  <c r="F47" i="206"/>
  <c r="F122" i="206"/>
  <c r="F89" i="206"/>
  <c r="F149" i="206"/>
  <c r="F67" i="206"/>
  <c r="F29" i="206"/>
  <c r="F25" i="206"/>
  <c r="F35" i="206"/>
  <c r="F163" i="206"/>
  <c r="F111" i="140"/>
  <c r="F106" i="140"/>
  <c r="F119" i="140"/>
  <c r="F138" i="140"/>
  <c r="F21" i="140"/>
  <c r="F26" i="140"/>
  <c r="F87" i="140"/>
  <c r="F74" i="140"/>
  <c r="F114" i="140"/>
  <c r="F151" i="140"/>
  <c r="F47" i="140"/>
  <c r="F42" i="140"/>
  <c r="F82" i="140"/>
  <c r="F79" i="140"/>
  <c r="F84" i="140"/>
  <c r="F50" i="140"/>
  <c r="F146" i="140"/>
  <c r="F55" i="140"/>
  <c r="F143" i="140"/>
  <c r="F39" i="140"/>
  <c r="F40" i="140"/>
  <c r="F88" i="140"/>
  <c r="F109" i="140"/>
  <c r="F80" i="140"/>
  <c r="F99" i="140"/>
  <c r="F148" i="140"/>
  <c r="F57" i="140"/>
  <c r="F72" i="140"/>
  <c r="F20" i="140"/>
  <c r="F121" i="140"/>
  <c r="F18" i="140"/>
  <c r="F11" i="140"/>
  <c r="F102" i="140"/>
  <c r="F29" i="140"/>
  <c r="F101" i="140"/>
  <c r="F49" i="140"/>
  <c r="F91" i="140"/>
  <c r="F133" i="140"/>
  <c r="F134" i="140"/>
  <c r="F53" i="140"/>
  <c r="F73" i="140"/>
  <c r="F116" i="140"/>
  <c r="F52" i="140"/>
  <c r="D27" i="143"/>
  <c r="C27" i="143"/>
  <c r="G26" i="81" l="1"/>
  <c r="E37" i="83"/>
  <c r="G24" i="81"/>
  <c r="D11" i="81"/>
  <c r="D14" i="81"/>
  <c r="D19" i="81"/>
  <c r="D17" i="81"/>
  <c r="D15" i="81"/>
  <c r="D43" i="83"/>
  <c r="E42" i="83"/>
  <c r="D42" i="83"/>
  <c r="D38" i="83"/>
  <c r="E41" i="83"/>
  <c r="E39" i="83"/>
  <c r="E38" i="83"/>
  <c r="F21" i="143" l="1"/>
  <c r="C21" i="143"/>
  <c r="D14" i="203" l="1"/>
  <c r="D15" i="203"/>
  <c r="D8" i="203"/>
  <c r="D12" i="203"/>
  <c r="D11" i="203"/>
  <c r="D9" i="203"/>
  <c r="D10" i="203"/>
  <c r="D6" i="203"/>
  <c r="D16" i="203"/>
  <c r="D13" i="203"/>
  <c r="D7" i="203"/>
  <c r="D169" i="203"/>
  <c r="D168" i="203"/>
  <c r="D167" i="203"/>
  <c r="D166" i="203"/>
  <c r="D165" i="203"/>
  <c r="D164" i="203"/>
  <c r="D163" i="203"/>
  <c r="D162" i="203"/>
  <c r="D161" i="203"/>
  <c r="D160" i="203"/>
  <c r="D159" i="203"/>
  <c r="D158" i="203"/>
  <c r="D157" i="203"/>
  <c r="D156" i="203"/>
  <c r="D155" i="203"/>
  <c r="D154" i="203"/>
  <c r="D153" i="203"/>
  <c r="D152" i="203"/>
  <c r="D151" i="203"/>
  <c r="D150" i="203"/>
  <c r="D149" i="203"/>
  <c r="D148" i="203"/>
  <c r="D147" i="203"/>
  <c r="D146" i="203"/>
  <c r="D145" i="203"/>
  <c r="D144" i="203"/>
  <c r="D143" i="203"/>
  <c r="D142" i="203"/>
  <c r="D141" i="203"/>
  <c r="D140" i="203"/>
  <c r="D139" i="203"/>
  <c r="D138" i="203"/>
  <c r="D137" i="203"/>
  <c r="D136" i="203"/>
  <c r="D135" i="203"/>
  <c r="D134" i="203"/>
  <c r="D133" i="203"/>
  <c r="D132" i="203"/>
  <c r="D131" i="203"/>
  <c r="D130" i="203"/>
  <c r="D129" i="203"/>
  <c r="D128" i="203"/>
  <c r="D127" i="203"/>
  <c r="D126" i="203"/>
  <c r="D125" i="203"/>
  <c r="D124" i="203"/>
  <c r="D123" i="203"/>
  <c r="D122" i="203"/>
  <c r="D121" i="203"/>
  <c r="D120" i="203"/>
  <c r="D119" i="203"/>
  <c r="D118" i="203"/>
  <c r="D117" i="203"/>
  <c r="D116" i="203"/>
  <c r="D115" i="203"/>
  <c r="D114" i="203"/>
  <c r="D113" i="203"/>
  <c r="D112" i="203"/>
  <c r="D111" i="203"/>
  <c r="D110" i="203"/>
  <c r="D109" i="203"/>
  <c r="D108" i="203"/>
  <c r="D107" i="203"/>
  <c r="D106" i="203"/>
  <c r="D105" i="203"/>
  <c r="D104" i="203"/>
  <c r="D103" i="203"/>
  <c r="D102" i="203"/>
  <c r="D101" i="203"/>
  <c r="D100" i="203"/>
  <c r="D99" i="203"/>
  <c r="D98" i="203"/>
  <c r="D97" i="203"/>
  <c r="D96" i="203"/>
  <c r="D95" i="203"/>
  <c r="D94" i="203"/>
  <c r="D93" i="203"/>
  <c r="D92" i="203"/>
  <c r="D91" i="203"/>
  <c r="D90" i="203"/>
  <c r="D89" i="203"/>
  <c r="D88" i="203"/>
  <c r="D87" i="203"/>
  <c r="D86" i="203"/>
  <c r="D85" i="203"/>
  <c r="D84" i="203"/>
  <c r="D83" i="203"/>
  <c r="D82" i="203"/>
  <c r="D81" i="203"/>
  <c r="D80" i="203"/>
  <c r="D79" i="203"/>
  <c r="D78" i="203"/>
  <c r="D77" i="203"/>
  <c r="D76" i="203"/>
  <c r="D75" i="203"/>
  <c r="D74" i="203"/>
  <c r="D73" i="203"/>
  <c r="D72" i="203"/>
  <c r="D71" i="203"/>
  <c r="D70" i="203"/>
  <c r="D69" i="203"/>
  <c r="D68" i="203"/>
  <c r="D67" i="203"/>
  <c r="D66" i="203"/>
  <c r="D65" i="203"/>
  <c r="D64" i="203"/>
  <c r="D63" i="203"/>
  <c r="D62" i="203"/>
  <c r="D61" i="203"/>
  <c r="D60" i="203"/>
  <c r="D59" i="203"/>
  <c r="D58" i="203"/>
  <c r="D57" i="203"/>
  <c r="D56" i="203"/>
  <c r="D55" i="203"/>
  <c r="D54" i="203"/>
  <c r="D53" i="203"/>
  <c r="D52" i="203"/>
  <c r="D51" i="203"/>
  <c r="D50" i="203"/>
  <c r="D49" i="203"/>
  <c r="D48" i="203"/>
  <c r="D37" i="203"/>
  <c r="D44" i="203"/>
  <c r="D27" i="203"/>
  <c r="D28" i="203"/>
  <c r="D45" i="203"/>
  <c r="D38" i="203"/>
  <c r="D30" i="203"/>
  <c r="D36" i="203"/>
  <c r="D23" i="203"/>
  <c r="D46" i="203"/>
  <c r="D17" i="203"/>
  <c r="D25" i="203"/>
  <c r="D32" i="203"/>
  <c r="D26" i="203"/>
  <c r="D47" i="203"/>
  <c r="D41" i="203"/>
  <c r="D31" i="203"/>
  <c r="D35" i="203"/>
  <c r="D40" i="203"/>
  <c r="D34" i="203"/>
  <c r="D24" i="203"/>
  <c r="D22" i="203"/>
  <c r="D21" i="203"/>
  <c r="D43" i="203"/>
  <c r="D29" i="203"/>
  <c r="D39" i="203"/>
  <c r="D42" i="203"/>
  <c r="D18" i="203"/>
  <c r="E18" i="203" s="1"/>
  <c r="D20" i="203"/>
  <c r="D33" i="203"/>
  <c r="D19" i="203"/>
  <c r="D20" i="81"/>
  <c r="D18" i="81"/>
  <c r="D16" i="81"/>
  <c r="D13" i="81"/>
  <c r="G10" i="88"/>
  <c r="G9" i="88"/>
  <c r="G8" i="88"/>
  <c r="E93" i="203" l="1"/>
  <c r="E27" i="203"/>
  <c r="E85" i="203"/>
  <c r="E41" i="203"/>
  <c r="E64" i="203"/>
  <c r="E57" i="203"/>
  <c r="E144" i="203"/>
  <c r="E51" i="203"/>
  <c r="E121" i="203"/>
  <c r="E21" i="203"/>
  <c r="E128" i="203"/>
  <c r="E40" i="203"/>
  <c r="E165" i="203"/>
  <c r="E19" i="203"/>
  <c r="E72" i="203"/>
  <c r="E69" i="203"/>
  <c r="E33" i="203"/>
  <c r="E20" i="203"/>
  <c r="E152" i="203"/>
  <c r="E42" i="203"/>
  <c r="E107" i="203"/>
  <c r="E115" i="203"/>
  <c r="E61" i="203"/>
  <c r="E6" i="203"/>
  <c r="E65" i="203"/>
  <c r="E136" i="203"/>
  <c r="E24" i="203"/>
  <c r="E59" i="203"/>
  <c r="E80" i="203"/>
  <c r="E153" i="203"/>
  <c r="E53" i="203"/>
  <c r="E81" i="203"/>
  <c r="E109" i="203"/>
  <c r="E168" i="203"/>
  <c r="E32" i="203"/>
  <c r="E75" i="203"/>
  <c r="E96" i="203"/>
  <c r="E125" i="203"/>
  <c r="E97" i="203"/>
  <c r="E104" i="203"/>
  <c r="E45" i="203"/>
  <c r="E105" i="203"/>
  <c r="E112" i="203"/>
  <c r="E141" i="203"/>
  <c r="E149" i="203"/>
  <c r="E157" i="203"/>
  <c r="E13" i="203"/>
  <c r="E47" i="203"/>
  <c r="E73" i="203"/>
  <c r="E101" i="203"/>
  <c r="E160" i="203"/>
  <c r="E36" i="203"/>
  <c r="E67" i="203"/>
  <c r="E88" i="203"/>
  <c r="E130" i="203"/>
  <c r="E11" i="203"/>
  <c r="E30" i="203"/>
  <c r="E89" i="203"/>
  <c r="E117" i="203"/>
  <c r="E139" i="203"/>
  <c r="E48" i="203"/>
  <c r="E83" i="203"/>
  <c r="E162" i="203"/>
  <c r="E29" i="203"/>
  <c r="E146" i="203"/>
  <c r="E154" i="203"/>
  <c r="E114" i="203"/>
  <c r="E90" i="203"/>
  <c r="E74" i="203"/>
  <c r="E58" i="203"/>
  <c r="E38" i="203"/>
  <c r="E22" i="203"/>
  <c r="E7" i="203"/>
  <c r="E138" i="203"/>
  <c r="E8" i="203"/>
  <c r="E122" i="203"/>
  <c r="E106" i="203"/>
  <c r="E98" i="203"/>
  <c r="E82" i="203"/>
  <c r="E66" i="203"/>
  <c r="E50" i="203"/>
  <c r="E26" i="203"/>
  <c r="E49" i="203"/>
  <c r="E91" i="203"/>
  <c r="E133" i="203"/>
  <c r="E43" i="203"/>
  <c r="E17" i="203"/>
  <c r="E56" i="203"/>
  <c r="E77" i="203"/>
  <c r="E99" i="203"/>
  <c r="E113" i="203"/>
  <c r="E120" i="203"/>
  <c r="E158" i="203"/>
  <c r="E35" i="203"/>
  <c r="E44" i="203"/>
  <c r="E62" i="203"/>
  <c r="E78" i="203"/>
  <c r="E94" i="203"/>
  <c r="E118" i="203"/>
  <c r="E163" i="203"/>
  <c r="E12" i="203"/>
  <c r="E164" i="203"/>
  <c r="E123" i="203"/>
  <c r="E137" i="203"/>
  <c r="E155" i="203"/>
  <c r="E156" i="203"/>
  <c r="E129" i="203"/>
  <c r="E147" i="203"/>
  <c r="E161" i="203"/>
  <c r="E15" i="203"/>
  <c r="E126" i="203"/>
  <c r="E16" i="203"/>
  <c r="E39" i="203"/>
  <c r="E46" i="203"/>
  <c r="E54" i="203"/>
  <c r="E70" i="203"/>
  <c r="E86" i="203"/>
  <c r="E102" i="203"/>
  <c r="E110" i="203"/>
  <c r="E131" i="203"/>
  <c r="E145" i="203"/>
  <c r="E150" i="203"/>
  <c r="E169" i="203"/>
  <c r="E142" i="203"/>
  <c r="E10" i="203"/>
  <c r="E9" i="203"/>
  <c r="E134" i="203"/>
  <c r="E148" i="203"/>
  <c r="E166" i="203"/>
  <c r="E14" i="203"/>
  <c r="E34" i="203"/>
  <c r="E25" i="203"/>
  <c r="E28" i="203"/>
  <c r="E52" i="203"/>
  <c r="E60" i="203"/>
  <c r="E68" i="203"/>
  <c r="E76" i="203"/>
  <c r="E84" i="203"/>
  <c r="E92" i="203"/>
  <c r="E100" i="203"/>
  <c r="E108" i="203"/>
  <c r="E116" i="203"/>
  <c r="E124" i="203"/>
  <c r="E132" i="203"/>
  <c r="E140" i="203"/>
  <c r="E31" i="203"/>
  <c r="E23" i="203"/>
  <c r="E37" i="203"/>
  <c r="E55" i="203"/>
  <c r="E63" i="203"/>
  <c r="E71" i="203"/>
  <c r="E79" i="203"/>
  <c r="E87" i="203"/>
  <c r="E95" i="203"/>
  <c r="E103" i="203"/>
  <c r="E111" i="203"/>
  <c r="E119" i="203"/>
  <c r="E127" i="203"/>
  <c r="E135" i="203"/>
  <c r="E143" i="203"/>
  <c r="E151" i="203"/>
  <c r="E159" i="203"/>
  <c r="E167" i="203"/>
  <c r="G11" i="81"/>
  <c r="E9" i="158"/>
  <c r="D7" i="99"/>
  <c r="B8" i="99"/>
  <c r="B7" i="99"/>
  <c r="E36" i="83"/>
  <c r="D36" i="83"/>
  <c r="D34" i="83"/>
  <c r="F26" i="81"/>
  <c r="H26" i="81"/>
  <c r="I25" i="81"/>
  <c r="E16" i="83"/>
  <c r="E7" i="99"/>
  <c r="E6" i="99"/>
  <c r="C5" i="99"/>
  <c r="B6" i="99"/>
  <c r="B5" i="99"/>
  <c r="F2" i="203" l="1"/>
  <c r="F18" i="203" s="1"/>
  <c r="F3" i="203"/>
  <c r="G19" i="203" s="1"/>
  <c r="G3" i="203"/>
  <c r="G2" i="203"/>
  <c r="F21" i="105"/>
  <c r="E21" i="105"/>
  <c r="D21" i="105"/>
  <c r="C21" i="105"/>
  <c r="F20" i="105"/>
  <c r="E20" i="105"/>
  <c r="D20" i="105"/>
  <c r="C20" i="105"/>
  <c r="F19" i="105"/>
  <c r="E19" i="105"/>
  <c r="D19" i="105"/>
  <c r="C19" i="105"/>
  <c r="F18" i="105"/>
  <c r="E18" i="105"/>
  <c r="C18" i="105"/>
  <c r="D18" i="105"/>
  <c r="E32" i="83"/>
  <c r="D32" i="83"/>
  <c r="E31" i="83"/>
  <c r="D31" i="83"/>
  <c r="E30" i="83"/>
  <c r="D30" i="83"/>
  <c r="E29" i="83"/>
  <c r="D29" i="83"/>
  <c r="E28" i="83"/>
  <c r="D28" i="83"/>
  <c r="E27" i="83"/>
  <c r="D27" i="83"/>
  <c r="E26" i="83"/>
  <c r="D26" i="83"/>
  <c r="E25" i="83"/>
  <c r="D25" i="83"/>
  <c r="E24" i="83"/>
  <c r="D24" i="83"/>
  <c r="E23" i="83"/>
  <c r="D23" i="83"/>
  <c r="E22" i="83"/>
  <c r="D22" i="83"/>
  <c r="E21" i="83"/>
  <c r="D21" i="83"/>
  <c r="E20" i="83"/>
  <c r="D20" i="83"/>
  <c r="E19" i="83"/>
  <c r="D19" i="83"/>
  <c r="E18" i="83"/>
  <c r="D18" i="83"/>
  <c r="E17" i="83"/>
  <c r="D4" i="99"/>
  <c r="D16" i="83"/>
  <c r="F17" i="105"/>
  <c r="E17" i="105"/>
  <c r="D17" i="105"/>
  <c r="C17" i="105"/>
  <c r="F16" i="105"/>
  <c r="E16" i="105"/>
  <c r="C16" i="105"/>
  <c r="F15" i="105"/>
  <c r="E15" i="105"/>
  <c r="D15" i="105"/>
  <c r="C15" i="105"/>
  <c r="F14" i="81"/>
  <c r="E25" i="81"/>
  <c r="F19" i="203" l="1"/>
  <c r="F113" i="203"/>
  <c r="F80" i="203"/>
  <c r="G153" i="203"/>
  <c r="G76" i="203"/>
  <c r="G65" i="203"/>
  <c r="G98" i="203"/>
  <c r="G162" i="203"/>
  <c r="G137" i="203"/>
  <c r="G46" i="203"/>
  <c r="G64" i="203"/>
  <c r="G124" i="203"/>
  <c r="G149" i="203"/>
  <c r="F116" i="203"/>
  <c r="G115" i="203"/>
  <c r="G104" i="203"/>
  <c r="G122" i="203"/>
  <c r="G167" i="203"/>
  <c r="G67" i="203"/>
  <c r="G141" i="203"/>
  <c r="G33" i="203"/>
  <c r="G22" i="203"/>
  <c r="G101" i="203"/>
  <c r="G165" i="203"/>
  <c r="G158" i="203"/>
  <c r="G161" i="203"/>
  <c r="G111" i="203"/>
  <c r="G150" i="203"/>
  <c r="G113" i="203"/>
  <c r="G80" i="203"/>
  <c r="G14" i="203"/>
  <c r="G125" i="203"/>
  <c r="G30" i="203"/>
  <c r="G84" i="203"/>
  <c r="G59" i="203"/>
  <c r="G133" i="203"/>
  <c r="G139" i="203"/>
  <c r="G66" i="203"/>
  <c r="G35" i="203"/>
  <c r="G155" i="203"/>
  <c r="G89" i="203"/>
  <c r="G107" i="203"/>
  <c r="G10" i="203"/>
  <c r="G71" i="203"/>
  <c r="G132" i="203"/>
  <c r="G45" i="203"/>
  <c r="G9" i="203"/>
  <c r="G82" i="203"/>
  <c r="G79" i="203"/>
  <c r="G127" i="203"/>
  <c r="G17" i="203"/>
  <c r="G143" i="203"/>
  <c r="G147" i="203"/>
  <c r="G58" i="203"/>
  <c r="G146" i="203"/>
  <c r="G164" i="203"/>
  <c r="F94" i="203"/>
  <c r="G97" i="203"/>
  <c r="G134" i="203"/>
  <c r="G120" i="203"/>
  <c r="G128" i="203"/>
  <c r="G56" i="203"/>
  <c r="G54" i="203"/>
  <c r="G15" i="203"/>
  <c r="G39" i="203"/>
  <c r="G48" i="203"/>
  <c r="G154" i="203"/>
  <c r="G24" i="203"/>
  <c r="G119" i="203"/>
  <c r="G38" i="203"/>
  <c r="G81" i="203"/>
  <c r="G92" i="203"/>
  <c r="G36" i="203"/>
  <c r="G55" i="203"/>
  <c r="G73" i="203"/>
  <c r="G18" i="203"/>
  <c r="G21" i="203"/>
  <c r="G47" i="203"/>
  <c r="G57" i="203"/>
  <c r="G123" i="203"/>
  <c r="G166" i="203"/>
  <c r="G110" i="203"/>
  <c r="G49" i="203"/>
  <c r="F38" i="203"/>
  <c r="G130" i="203"/>
  <c r="G60" i="203"/>
  <c r="G142" i="203"/>
  <c r="G20" i="203"/>
  <c r="G62" i="203"/>
  <c r="G23" i="203"/>
  <c r="G116" i="203"/>
  <c r="G145" i="203"/>
  <c r="G138" i="203"/>
  <c r="G160" i="203"/>
  <c r="F87" i="203"/>
  <c r="F162" i="203"/>
  <c r="F127" i="203"/>
  <c r="F86" i="203"/>
  <c r="F163" i="203"/>
  <c r="F46" i="203"/>
  <c r="F92" i="203"/>
  <c r="F79" i="203"/>
  <c r="F167" i="203"/>
  <c r="F96" i="203"/>
  <c r="F143" i="203"/>
  <c r="F44" i="203"/>
  <c r="F42" i="203"/>
  <c r="G27" i="203"/>
  <c r="G85" i="203"/>
  <c r="G41" i="203"/>
  <c r="G93" i="203"/>
  <c r="F130" i="203"/>
  <c r="F53" i="203"/>
  <c r="F95" i="203"/>
  <c r="F134" i="203"/>
  <c r="G53" i="203"/>
  <c r="G44" i="203"/>
  <c r="G135" i="203"/>
  <c r="G72" i="203"/>
  <c r="G52" i="203"/>
  <c r="G11" i="203"/>
  <c r="G16" i="203"/>
  <c r="G140" i="203"/>
  <c r="G75" i="203"/>
  <c r="G86" i="203"/>
  <c r="G40" i="203"/>
  <c r="G7" i="203"/>
  <c r="G87" i="203"/>
  <c r="G91" i="203"/>
  <c r="G12" i="203"/>
  <c r="G42" i="203"/>
  <c r="G26" i="203"/>
  <c r="G31" i="203"/>
  <c r="G8" i="203"/>
  <c r="G100" i="203"/>
  <c r="G83" i="203"/>
  <c r="F21" i="203"/>
  <c r="F112" i="203"/>
  <c r="F147" i="203"/>
  <c r="F71" i="203"/>
  <c r="F89" i="203"/>
  <c r="F110" i="203"/>
  <c r="F40" i="203"/>
  <c r="G131" i="203"/>
  <c r="G151" i="203"/>
  <c r="G108" i="203"/>
  <c r="G152" i="203"/>
  <c r="G50" i="203"/>
  <c r="G112" i="203"/>
  <c r="G70" i="203"/>
  <c r="G28" i="203"/>
  <c r="F24" i="203"/>
  <c r="G99" i="203"/>
  <c r="G95" i="203"/>
  <c r="G129" i="203"/>
  <c r="G51" i="203"/>
  <c r="G43" i="203"/>
  <c r="F148" i="203"/>
  <c r="F120" i="203"/>
  <c r="F43" i="203"/>
  <c r="F118" i="203"/>
  <c r="F82" i="203"/>
  <c r="F129" i="203"/>
  <c r="F75" i="203"/>
  <c r="F153" i="203"/>
  <c r="F70" i="203"/>
  <c r="F141" i="203"/>
  <c r="F13" i="203"/>
  <c r="F125" i="203"/>
  <c r="F17" i="203"/>
  <c r="F159" i="203"/>
  <c r="F16" i="203"/>
  <c r="F29" i="203"/>
  <c r="G90" i="203"/>
  <c r="F160" i="203"/>
  <c r="F83" i="203"/>
  <c r="F108" i="203"/>
  <c r="F149" i="203"/>
  <c r="F76" i="203"/>
  <c r="F126" i="203"/>
  <c r="F157" i="203"/>
  <c r="F81" i="203"/>
  <c r="F52" i="203"/>
  <c r="G13" i="203"/>
  <c r="G126" i="203"/>
  <c r="G169" i="203"/>
  <c r="G106" i="203"/>
  <c r="F20" i="203"/>
  <c r="G29" i="203"/>
  <c r="G148" i="203"/>
  <c r="G32" i="203"/>
  <c r="G163" i="203"/>
  <c r="G69" i="203"/>
  <c r="G136" i="203"/>
  <c r="G77" i="203"/>
  <c r="G114" i="203"/>
  <c r="G37" i="203"/>
  <c r="G121" i="203"/>
  <c r="G168" i="203"/>
  <c r="G94" i="203"/>
  <c r="G159" i="203"/>
  <c r="G34" i="203"/>
  <c r="G96" i="203"/>
  <c r="G102" i="203"/>
  <c r="F156" i="203"/>
  <c r="F63" i="203"/>
  <c r="F15" i="203"/>
  <c r="F66" i="203"/>
  <c r="F22" i="203"/>
  <c r="F78" i="203"/>
  <c r="F123" i="203"/>
  <c r="F99" i="203"/>
  <c r="F104" i="203"/>
  <c r="F131" i="203"/>
  <c r="F91" i="203"/>
  <c r="F140" i="203"/>
  <c r="F28" i="203"/>
  <c r="F67" i="203"/>
  <c r="F109" i="203"/>
  <c r="G68" i="203"/>
  <c r="G117" i="203"/>
  <c r="G25" i="203"/>
  <c r="G88" i="203"/>
  <c r="G109" i="203"/>
  <c r="G78" i="203"/>
  <c r="G118" i="203"/>
  <c r="G61" i="203"/>
  <c r="G157" i="203"/>
  <c r="G105" i="203"/>
  <c r="G156" i="203"/>
  <c r="G144" i="203"/>
  <c r="G103" i="203"/>
  <c r="G74" i="203"/>
  <c r="G63" i="203"/>
  <c r="F88" i="203"/>
  <c r="F101" i="203"/>
  <c r="F150" i="203"/>
  <c r="F25" i="203"/>
  <c r="F154" i="203"/>
  <c r="F54" i="203"/>
  <c r="F35" i="203"/>
  <c r="F119" i="203"/>
  <c r="F48" i="203"/>
  <c r="F142" i="203"/>
  <c r="F98" i="203"/>
  <c r="F9" i="203"/>
  <c r="F59" i="203"/>
  <c r="F138" i="203"/>
  <c r="F114" i="203"/>
  <c r="F14" i="203"/>
  <c r="F161" i="203"/>
  <c r="F111" i="203"/>
  <c r="F73" i="203"/>
  <c r="F77" i="203"/>
  <c r="F139" i="203"/>
  <c r="F169" i="203"/>
  <c r="F97" i="203"/>
  <c r="F102" i="203"/>
  <c r="F105" i="203"/>
  <c r="F39" i="203"/>
  <c r="F74" i="203"/>
  <c r="F12" i="203"/>
  <c r="F37" i="203"/>
  <c r="F30" i="203"/>
  <c r="F61" i="203"/>
  <c r="F121" i="203"/>
  <c r="F41" i="203"/>
  <c r="F57" i="203"/>
  <c r="F51" i="203"/>
  <c r="F107" i="203"/>
  <c r="F69" i="203"/>
  <c r="F6" i="203"/>
  <c r="F65" i="203"/>
  <c r="F152" i="203"/>
  <c r="F128" i="203"/>
  <c r="F85" i="203"/>
  <c r="F27" i="203"/>
  <c r="F72" i="203"/>
  <c r="F93" i="203"/>
  <c r="F115" i="203"/>
  <c r="F136" i="203"/>
  <c r="F64" i="203"/>
  <c r="F144" i="203"/>
  <c r="F165" i="203"/>
  <c r="F58" i="203"/>
  <c r="F100" i="203"/>
  <c r="F50" i="203"/>
  <c r="F60" i="203"/>
  <c r="F106" i="203"/>
  <c r="F84" i="203"/>
  <c r="F10" i="203"/>
  <c r="F146" i="203"/>
  <c r="F145" i="203"/>
  <c r="F164" i="203"/>
  <c r="F55" i="203"/>
  <c r="F117" i="203"/>
  <c r="F33" i="203"/>
  <c r="F32" i="203"/>
  <c r="F36" i="203"/>
  <c r="F151" i="203"/>
  <c r="F26" i="203"/>
  <c r="F8" i="203"/>
  <c r="F68" i="203"/>
  <c r="F34" i="203"/>
  <c r="F168" i="203"/>
  <c r="F7" i="203"/>
  <c r="F155" i="203"/>
  <c r="F90" i="203"/>
  <c r="F49" i="203"/>
  <c r="F132" i="203"/>
  <c r="F103" i="203"/>
  <c r="F47" i="203"/>
  <c r="F62" i="203"/>
  <c r="F166" i="203"/>
  <c r="F122" i="203"/>
  <c r="F158" i="203"/>
  <c r="F45" i="203"/>
  <c r="F137" i="203"/>
  <c r="F135" i="203"/>
  <c r="F133" i="203"/>
  <c r="F31" i="203"/>
  <c r="F23" i="203"/>
  <c r="F11" i="203"/>
  <c r="F56" i="203"/>
  <c r="F124" i="203"/>
  <c r="D17" i="83"/>
  <c r="E15" i="83"/>
  <c r="D15" i="83"/>
  <c r="E14" i="83"/>
  <c r="D14" i="83"/>
  <c r="E13" i="83"/>
  <c r="D13" i="83"/>
  <c r="E12" i="83"/>
  <c r="E11" i="83"/>
  <c r="D11" i="83"/>
  <c r="E10" i="83"/>
  <c r="D10" i="83"/>
  <c r="D9" i="83"/>
  <c r="E8" i="83"/>
  <c r="D8" i="83"/>
  <c r="E7" i="83"/>
  <c r="D7" i="83"/>
  <c r="E5" i="99"/>
  <c r="E4" i="99"/>
  <c r="E3" i="99"/>
  <c r="C4" i="99"/>
  <c r="B4" i="99"/>
  <c r="B3" i="99"/>
  <c r="J25" i="81"/>
  <c r="E10" i="158"/>
  <c r="L25" i="81"/>
  <c r="K25" i="81"/>
  <c r="F12" i="81"/>
  <c r="F19" i="81"/>
  <c r="F17" i="81"/>
  <c r="F15" i="81"/>
  <c r="G25" i="81"/>
  <c r="D2" i="100"/>
  <c r="E90" i="158"/>
  <c r="D90" i="158"/>
  <c r="E89" i="158"/>
  <c r="D89" i="158"/>
  <c r="E88" i="158"/>
  <c r="D88" i="158"/>
  <c r="E87" i="158"/>
  <c r="D87" i="158"/>
  <c r="E86" i="158"/>
  <c r="D86" i="158"/>
  <c r="E85" i="158"/>
  <c r="D85" i="158"/>
  <c r="E84" i="158"/>
  <c r="D84" i="158"/>
  <c r="E83" i="158"/>
  <c r="D83" i="158"/>
  <c r="E82" i="158"/>
  <c r="D82" i="158"/>
  <c r="E81" i="158"/>
  <c r="D81" i="158"/>
  <c r="E80" i="158"/>
  <c r="D80" i="158"/>
  <c r="E79" i="158"/>
  <c r="D79" i="158"/>
  <c r="E78" i="158"/>
  <c r="D78" i="158"/>
  <c r="E77" i="158"/>
  <c r="D77" i="158"/>
  <c r="E76" i="158"/>
  <c r="D76" i="158"/>
  <c r="E75" i="158"/>
  <c r="D75" i="158"/>
  <c r="E74" i="158"/>
  <c r="D74" i="158"/>
  <c r="E73" i="158"/>
  <c r="D73" i="158"/>
  <c r="E72" i="158"/>
  <c r="D72" i="158"/>
  <c r="E71" i="158"/>
  <c r="D71" i="158"/>
  <c r="E70" i="158"/>
  <c r="D70" i="158"/>
  <c r="E69" i="158"/>
  <c r="D69" i="158"/>
  <c r="E68" i="158"/>
  <c r="D68" i="158"/>
  <c r="E67" i="158"/>
  <c r="D67" i="158"/>
  <c r="E66" i="158"/>
  <c r="D66" i="158"/>
  <c r="E65" i="158"/>
  <c r="D65" i="158"/>
  <c r="E64" i="158"/>
  <c r="D64" i="158"/>
  <c r="E63" i="158"/>
  <c r="D63" i="158"/>
  <c r="E62" i="158"/>
  <c r="D62" i="158"/>
  <c r="E61" i="158"/>
  <c r="D61" i="158"/>
  <c r="E60" i="158"/>
  <c r="D60" i="158"/>
  <c r="E59" i="158"/>
  <c r="D59" i="158"/>
  <c r="E58" i="158"/>
  <c r="D58" i="158"/>
  <c r="E57" i="158"/>
  <c r="D57" i="158"/>
  <c r="E56" i="158"/>
  <c r="D56" i="158"/>
  <c r="E55" i="158"/>
  <c r="D55" i="158"/>
  <c r="E54" i="158"/>
  <c r="D54" i="158"/>
  <c r="E53" i="158"/>
  <c r="D53" i="158"/>
  <c r="D9" i="158"/>
  <c r="E44" i="158" l="1"/>
  <c r="D44" i="158"/>
  <c r="E43" i="158"/>
  <c r="D43" i="158"/>
  <c r="E42" i="158"/>
  <c r="D42" i="158"/>
  <c r="E41" i="158"/>
  <c r="D41" i="158"/>
  <c r="E40" i="158"/>
  <c r="D40" i="158"/>
  <c r="E39" i="158"/>
  <c r="D39" i="158"/>
  <c r="E38" i="158"/>
  <c r="D38" i="158"/>
  <c r="E37" i="158"/>
  <c r="D37" i="158"/>
  <c r="E36" i="158"/>
  <c r="D36" i="158"/>
  <c r="E35" i="158"/>
  <c r="D35" i="158"/>
  <c r="E34" i="158"/>
  <c r="D34" i="158"/>
  <c r="E33" i="158"/>
  <c r="D33" i="158"/>
  <c r="E32" i="158"/>
  <c r="D32" i="158"/>
  <c r="E31" i="158"/>
  <c r="D31" i="158"/>
  <c r="E30" i="158"/>
  <c r="D30" i="158"/>
  <c r="E29" i="158"/>
  <c r="D29" i="158"/>
  <c r="E28" i="158"/>
  <c r="D28" i="158"/>
  <c r="E27" i="158"/>
  <c r="D27" i="158"/>
  <c r="E26" i="158"/>
  <c r="D26" i="158"/>
  <c r="E25" i="158"/>
  <c r="D25" i="158"/>
  <c r="E24" i="158"/>
  <c r="D24" i="158"/>
  <c r="E23" i="158"/>
  <c r="D23" i="158"/>
  <c r="E22" i="158"/>
  <c r="D22" i="158"/>
  <c r="E21" i="158"/>
  <c r="D21" i="158"/>
  <c r="E20" i="158"/>
  <c r="D20" i="158"/>
  <c r="E19" i="158"/>
  <c r="D19" i="158"/>
  <c r="E18" i="158"/>
  <c r="D18" i="158"/>
  <c r="E17" i="158"/>
  <c r="D17" i="158"/>
  <c r="E16" i="158"/>
  <c r="D16" i="158"/>
  <c r="E15" i="158"/>
  <c r="D15" i="158"/>
  <c r="E14" i="158"/>
  <c r="D14" i="158"/>
  <c r="E13" i="158"/>
  <c r="D13" i="158"/>
  <c r="E12" i="158"/>
  <c r="D12" i="158"/>
  <c r="E11" i="158"/>
  <c r="D11" i="158"/>
  <c r="D10" i="158"/>
  <c r="E8" i="158"/>
  <c r="D8" i="158"/>
  <c r="E7" i="158"/>
  <c r="D7" i="158"/>
  <c r="E26" i="81" l="1"/>
  <c r="D26" i="81"/>
  <c r="F20" i="81"/>
  <c r="F18" i="81"/>
  <c r="F16" i="81"/>
  <c r="F13" i="78"/>
  <c r="F12" i="78"/>
  <c r="F11" i="78"/>
  <c r="F10" i="78"/>
  <c r="F9" i="78"/>
  <c r="F8" i="78"/>
  <c r="F7" i="78"/>
  <c r="F6" i="78"/>
  <c r="F5" i="78"/>
  <c r="E10" i="98"/>
  <c r="E9" i="98"/>
  <c r="E8" i="98"/>
  <c r="E7" i="98"/>
  <c r="E6" i="98"/>
  <c r="D10" i="98"/>
  <c r="D9" i="98"/>
  <c r="D8" i="98"/>
  <c r="D7" i="98"/>
  <c r="D6" i="98"/>
  <c r="C10" i="98"/>
  <c r="C9" i="98"/>
  <c r="C8" i="98"/>
  <c r="C7" i="98"/>
  <c r="C6" i="98"/>
  <c r="D5" i="98"/>
  <c r="D12" i="186" l="1"/>
  <c r="D11" i="186"/>
  <c r="F13" i="81"/>
  <c r="F11" i="81"/>
  <c r="I26" i="81"/>
  <c r="J26" i="81"/>
  <c r="K26" i="81"/>
  <c r="V13" i="88"/>
  <c r="U13" i="88"/>
  <c r="T13" i="88"/>
  <c r="V12" i="88"/>
  <c r="U12" i="88"/>
  <c r="T12" i="88"/>
  <c r="V11" i="88"/>
  <c r="U11" i="88"/>
  <c r="T11" i="88"/>
  <c r="V10" i="88"/>
  <c r="U10" i="88"/>
  <c r="T10" i="88"/>
  <c r="V9" i="88"/>
  <c r="U9" i="88"/>
  <c r="T9" i="88"/>
  <c r="Q13" i="88"/>
  <c r="P13" i="88"/>
  <c r="O13" i="88"/>
  <c r="P12" i="88"/>
  <c r="O12" i="88"/>
  <c r="Q11" i="88"/>
  <c r="P11" i="88"/>
  <c r="O11" i="88"/>
  <c r="Q10" i="88"/>
  <c r="O10" i="88"/>
  <c r="Q9" i="88"/>
  <c r="P9" i="88"/>
  <c r="O9" i="88"/>
  <c r="F108" i="185"/>
  <c r="F107" i="185"/>
  <c r="F106" i="185"/>
  <c r="F105" i="185"/>
  <c r="F104" i="185"/>
  <c r="F103" i="185"/>
  <c r="F102" i="185"/>
  <c r="F101" i="185"/>
  <c r="F100" i="185"/>
  <c r="F99" i="185"/>
  <c r="F98" i="185"/>
  <c r="F97" i="185"/>
  <c r="F96" i="185"/>
  <c r="F95" i="185"/>
  <c r="F94" i="185"/>
  <c r="F93" i="185"/>
  <c r="F92" i="185"/>
  <c r="F91" i="185"/>
  <c r="F90" i="185"/>
  <c r="F89" i="185"/>
  <c r="F88" i="185"/>
  <c r="F87" i="185"/>
  <c r="F86" i="185"/>
  <c r="F85" i="185"/>
  <c r="F84" i="185"/>
  <c r="F83" i="185"/>
  <c r="F82" i="185"/>
  <c r="F81" i="185"/>
  <c r="F80" i="185"/>
  <c r="F79" i="185"/>
  <c r="F78" i="185"/>
  <c r="F77" i="185"/>
  <c r="F76" i="185"/>
  <c r="F75" i="185"/>
  <c r="F74" i="185"/>
  <c r="F73" i="185"/>
  <c r="F72" i="185"/>
  <c r="F71" i="185"/>
  <c r="F70" i="185"/>
  <c r="F69" i="185"/>
  <c r="F68" i="185"/>
  <c r="F67" i="185"/>
  <c r="F66" i="185"/>
  <c r="F65" i="185"/>
  <c r="F64" i="185"/>
  <c r="F63" i="185"/>
  <c r="F62" i="185"/>
  <c r="F61" i="185"/>
  <c r="F60" i="185"/>
  <c r="F59" i="185"/>
  <c r="F58" i="185"/>
  <c r="F57" i="185"/>
  <c r="F56" i="185"/>
  <c r="F55" i="185"/>
  <c r="F54" i="185"/>
  <c r="F53" i="185"/>
  <c r="F52" i="185"/>
  <c r="F51" i="185"/>
  <c r="F50" i="185"/>
  <c r="F49" i="185"/>
  <c r="F48" i="185"/>
  <c r="F47" i="185"/>
  <c r="F46" i="185"/>
  <c r="F45" i="185"/>
  <c r="F44" i="185"/>
  <c r="F43" i="185"/>
  <c r="F42" i="185"/>
  <c r="F41" i="185"/>
  <c r="F40" i="185"/>
  <c r="F39" i="185"/>
  <c r="F38" i="185"/>
  <c r="F37" i="185"/>
  <c r="F36" i="185"/>
  <c r="F35" i="185"/>
  <c r="F34" i="185"/>
  <c r="F33" i="185"/>
  <c r="F32" i="185"/>
  <c r="F31" i="185"/>
  <c r="F30" i="185"/>
  <c r="F29" i="185"/>
  <c r="F28" i="185"/>
  <c r="F27" i="185"/>
  <c r="F26" i="185"/>
  <c r="F25" i="185"/>
  <c r="F24" i="185"/>
  <c r="F23" i="185"/>
  <c r="F22" i="185"/>
  <c r="F21" i="185"/>
  <c r="F20" i="185"/>
  <c r="F19" i="185"/>
  <c r="F18" i="185"/>
  <c r="F17" i="185"/>
  <c r="F16" i="185"/>
  <c r="F15" i="185"/>
  <c r="F14" i="185"/>
  <c r="F13" i="185"/>
  <c r="F11" i="185"/>
  <c r="F10" i="185"/>
  <c r="F9" i="185"/>
  <c r="C15" i="186"/>
  <c r="C14" i="186"/>
  <c r="C12" i="186"/>
  <c r="C11" i="186"/>
  <c r="C26" i="81"/>
  <c r="J13" i="88" l="1"/>
  <c r="J12" i="88"/>
  <c r="J11" i="88"/>
  <c r="J10" i="88"/>
  <c r="J9" i="88"/>
  <c r="O27" i="88" l="1"/>
  <c r="N27" i="88"/>
  <c r="P19" i="88"/>
  <c r="P18" i="88"/>
  <c r="D204" i="100"/>
  <c r="D203" i="100"/>
  <c r="D202" i="100"/>
  <c r="D201" i="100"/>
  <c r="D200" i="100"/>
  <c r="D199" i="100"/>
  <c r="D198" i="100"/>
  <c r="D197" i="100"/>
  <c r="D196" i="100"/>
  <c r="D195" i="100"/>
  <c r="D194" i="100"/>
  <c r="D193" i="100"/>
  <c r="D192" i="100"/>
  <c r="D191" i="100"/>
  <c r="D190" i="100"/>
  <c r="D189" i="100"/>
  <c r="D188" i="100"/>
  <c r="D187" i="100"/>
  <c r="D186" i="100"/>
  <c r="D185" i="100"/>
  <c r="D184" i="100"/>
  <c r="D183" i="100"/>
  <c r="D182" i="100"/>
  <c r="D181" i="100"/>
  <c r="D180" i="100"/>
  <c r="D179" i="100"/>
  <c r="D178" i="100"/>
  <c r="D177" i="100"/>
  <c r="D176" i="100"/>
  <c r="D175" i="100"/>
  <c r="D174" i="100"/>
  <c r="D173" i="100"/>
  <c r="D172" i="100"/>
  <c r="D171" i="100"/>
  <c r="D170" i="100"/>
  <c r="D169" i="100"/>
  <c r="D168" i="100"/>
  <c r="D167" i="100"/>
  <c r="D166" i="100"/>
  <c r="D165" i="100"/>
  <c r="D164" i="100"/>
  <c r="D163" i="100"/>
  <c r="D162" i="100"/>
  <c r="D161" i="100"/>
  <c r="D160" i="100"/>
  <c r="D159" i="100"/>
  <c r="D158" i="100"/>
  <c r="D157" i="100"/>
  <c r="D156" i="100"/>
  <c r="D155" i="100"/>
  <c r="D154" i="100"/>
  <c r="D153" i="100"/>
  <c r="D152" i="100"/>
  <c r="D151" i="100"/>
  <c r="D150" i="100"/>
  <c r="D149" i="100"/>
  <c r="D148" i="100"/>
  <c r="D147" i="100"/>
  <c r="D146" i="100"/>
  <c r="D145" i="100"/>
  <c r="D144" i="100"/>
  <c r="D143" i="100"/>
  <c r="D142" i="100"/>
  <c r="D141" i="100"/>
  <c r="D140" i="100"/>
  <c r="D139" i="100"/>
  <c r="D138" i="100"/>
  <c r="D137" i="100"/>
  <c r="D136" i="100"/>
  <c r="D135" i="100"/>
  <c r="D134" i="100"/>
  <c r="D133" i="100"/>
  <c r="D132" i="100"/>
  <c r="D131" i="100"/>
  <c r="D130" i="100"/>
  <c r="D129" i="100"/>
  <c r="D128" i="100"/>
  <c r="D127" i="100"/>
  <c r="D126" i="100"/>
  <c r="D125" i="100"/>
  <c r="D124" i="100"/>
  <c r="D123" i="100"/>
  <c r="D122" i="100"/>
  <c r="D121" i="100"/>
  <c r="D120" i="100"/>
  <c r="D119" i="100"/>
  <c r="D118" i="100"/>
  <c r="D117" i="100"/>
  <c r="D116" i="100"/>
  <c r="D115" i="100"/>
  <c r="D114" i="100"/>
  <c r="D113" i="100"/>
  <c r="D112" i="100"/>
  <c r="D111" i="100"/>
  <c r="D110" i="100"/>
  <c r="D109" i="100"/>
  <c r="D108" i="100"/>
  <c r="D107" i="100"/>
  <c r="D106" i="100"/>
  <c r="D105" i="100"/>
  <c r="D104" i="100"/>
  <c r="D103" i="100"/>
  <c r="D102" i="100"/>
  <c r="D101" i="100"/>
  <c r="D100" i="100"/>
  <c r="D99" i="100"/>
  <c r="D98" i="100"/>
  <c r="D97" i="100"/>
  <c r="D96" i="100"/>
  <c r="D95" i="100"/>
  <c r="D94" i="100"/>
  <c r="D93" i="100"/>
  <c r="D92" i="100"/>
  <c r="D91" i="100"/>
  <c r="D90" i="100"/>
  <c r="D89" i="100"/>
  <c r="D88" i="100"/>
  <c r="D87" i="100"/>
  <c r="D86" i="100"/>
  <c r="D85" i="100"/>
  <c r="D84" i="100"/>
  <c r="D83" i="100"/>
  <c r="D82" i="100"/>
  <c r="D81" i="100"/>
  <c r="D80" i="100"/>
  <c r="D79" i="100"/>
  <c r="D78" i="100"/>
  <c r="D77" i="100"/>
  <c r="D76" i="100"/>
  <c r="D75" i="100"/>
  <c r="D74" i="100"/>
  <c r="D73" i="100"/>
  <c r="D72" i="100"/>
  <c r="D71" i="100"/>
  <c r="D70" i="100"/>
  <c r="D69" i="100"/>
  <c r="D68" i="100"/>
  <c r="D67" i="100"/>
  <c r="D66" i="100"/>
  <c r="D65" i="100"/>
  <c r="D64" i="100"/>
  <c r="D63" i="100"/>
  <c r="D62" i="100"/>
  <c r="D61" i="100"/>
  <c r="D60" i="100"/>
  <c r="D59" i="100"/>
  <c r="D58" i="100"/>
  <c r="D57" i="100"/>
  <c r="D56" i="100"/>
  <c r="D55" i="100"/>
  <c r="D54" i="100"/>
  <c r="D53" i="100"/>
  <c r="D52" i="100"/>
  <c r="D51" i="100"/>
  <c r="D50" i="100"/>
  <c r="D49" i="100"/>
  <c r="D48" i="100"/>
  <c r="D47" i="100"/>
  <c r="D46" i="100"/>
  <c r="D45" i="100"/>
  <c r="D44" i="100"/>
  <c r="D43" i="100"/>
  <c r="D42" i="100"/>
  <c r="D41" i="100"/>
  <c r="D40" i="100"/>
  <c r="D39" i="100"/>
  <c r="D38" i="100"/>
  <c r="D37" i="100"/>
  <c r="D36" i="100"/>
  <c r="D35" i="100"/>
  <c r="D34" i="100"/>
  <c r="D33" i="100"/>
  <c r="D32" i="100"/>
  <c r="D31" i="100"/>
  <c r="D30" i="100"/>
  <c r="D29" i="100"/>
  <c r="D28" i="100"/>
  <c r="D27" i="100"/>
  <c r="D26" i="100"/>
  <c r="D25" i="100"/>
  <c r="D24" i="100"/>
  <c r="D23" i="100"/>
  <c r="D22" i="100"/>
  <c r="D21" i="100"/>
  <c r="D20" i="100"/>
  <c r="D19" i="100"/>
  <c r="D18" i="100"/>
  <c r="D17" i="100"/>
  <c r="D16" i="100"/>
  <c r="D15" i="100"/>
  <c r="D14" i="100"/>
  <c r="D13" i="100"/>
  <c r="D12" i="100"/>
  <c r="D11" i="100"/>
  <c r="D10" i="100"/>
  <c r="D9" i="100"/>
  <c r="D8" i="100"/>
  <c r="D7" i="100"/>
  <c r="D6" i="100"/>
  <c r="D5" i="100"/>
  <c r="D4" i="100"/>
  <c r="D3" i="100"/>
  <c r="C61" i="173" l="1"/>
  <c r="C60" i="173"/>
  <c r="C59" i="173"/>
  <c r="C58" i="173"/>
  <c r="C69" i="173"/>
  <c r="C68" i="173"/>
  <c r="C67" i="173"/>
  <c r="C66" i="173"/>
  <c r="B14" i="201" l="1"/>
  <c r="B15" i="201" s="1"/>
  <c r="B16" i="201" s="1"/>
  <c r="B17" i="201" s="1"/>
  <c r="B18" i="201" s="1"/>
  <c r="B19" i="201" s="1"/>
  <c r="B20" i="201" s="1"/>
  <c r="B10" i="187" l="1"/>
  <c r="E34" i="197" l="1"/>
  <c r="E27" i="197"/>
  <c r="E23" i="197"/>
  <c r="E22" i="197"/>
  <c r="E21" i="197"/>
  <c r="E20" i="197"/>
  <c r="E19" i="197"/>
  <c r="D16" i="197"/>
  <c r="E15" i="197"/>
  <c r="E14" i="197"/>
  <c r="E13" i="197"/>
  <c r="E11" i="197"/>
  <c r="E10" i="197"/>
  <c r="E9" i="197"/>
  <c r="E8" i="197"/>
  <c r="E7" i="197"/>
  <c r="E6" i="197"/>
  <c r="E5" i="197"/>
  <c r="D37" i="196"/>
  <c r="E44" i="196" s="1"/>
  <c r="E34" i="196"/>
  <c r="F44" i="196" s="1"/>
  <c r="E27" i="196"/>
  <c r="E23" i="196"/>
  <c r="E22" i="196"/>
  <c r="E21" i="196"/>
  <c r="E20" i="196"/>
  <c r="E19" i="196"/>
  <c r="D16" i="196"/>
  <c r="E15" i="196"/>
  <c r="E14" i="196"/>
  <c r="E13" i="196"/>
  <c r="E11" i="196"/>
  <c r="E10" i="196"/>
  <c r="E9" i="196"/>
  <c r="D37" i="195"/>
  <c r="E44" i="195" s="1"/>
  <c r="E34" i="195"/>
  <c r="E27" i="195"/>
  <c r="E23" i="195"/>
  <c r="E21" i="195"/>
  <c r="D16" i="195"/>
  <c r="E15" i="195"/>
  <c r="E14" i="195"/>
  <c r="E13" i="195"/>
  <c r="E11" i="195"/>
  <c r="E10" i="195"/>
  <c r="E9" i="195"/>
  <c r="E8" i="195"/>
  <c r="E7" i="195"/>
  <c r="E6" i="195"/>
  <c r="E5" i="195"/>
  <c r="E34" i="194"/>
  <c r="E27" i="194"/>
  <c r="E24" i="194"/>
  <c r="E23" i="194"/>
  <c r="E21" i="194"/>
  <c r="E20" i="194"/>
  <c r="E19" i="194"/>
  <c r="D16" i="194"/>
  <c r="E15" i="194"/>
  <c r="E14" i="194"/>
  <c r="E13" i="194"/>
  <c r="E11" i="194"/>
  <c r="E10" i="194"/>
  <c r="E9" i="194"/>
  <c r="E8" i="194"/>
  <c r="E7" i="194"/>
  <c r="E6" i="194"/>
  <c r="E5" i="194"/>
  <c r="E16" i="194" l="1"/>
  <c r="E29" i="194" s="1"/>
  <c r="E16" i="197"/>
  <c r="E16" i="196"/>
  <c r="E16" i="195"/>
  <c r="D37" i="197"/>
  <c r="E44" i="197" s="1"/>
  <c r="F44" i="197" s="1"/>
  <c r="E24" i="196"/>
  <c r="E29" i="196" s="1"/>
  <c r="F45" i="196" s="1"/>
  <c r="E24" i="197"/>
  <c r="E24" i="195"/>
  <c r="F44" i="195"/>
  <c r="D44" i="195"/>
  <c r="D44" i="196"/>
  <c r="D44" i="197"/>
  <c r="D37" i="194"/>
  <c r="E29" i="195" l="1"/>
  <c r="F45" i="195" s="1"/>
  <c r="E29" i="197"/>
  <c r="F45" i="197" s="1"/>
  <c r="E44" i="194"/>
  <c r="F44" i="194" s="1"/>
  <c r="F45" i="194" s="1"/>
  <c r="D44" i="194"/>
  <c r="D47" i="195"/>
  <c r="D48" i="195"/>
  <c r="F48" i="195" s="1"/>
  <c r="D47" i="196"/>
  <c r="D48" i="197" l="1"/>
  <c r="F48" i="197" s="1"/>
  <c r="D47" i="197"/>
  <c r="F47" i="196"/>
  <c r="F47" i="195"/>
  <c r="D49" i="195"/>
  <c r="F49" i="195" s="1"/>
  <c r="D48" i="196"/>
  <c r="D50" i="195"/>
  <c r="F50" i="195" s="1"/>
  <c r="F47" i="197"/>
  <c r="D48" i="194"/>
  <c r="F48" i="194" s="1"/>
  <c r="D47" i="194"/>
  <c r="D49" i="197"/>
  <c r="F49" i="197" s="1"/>
  <c r="F48" i="196" l="1"/>
  <c r="F53" i="195"/>
  <c r="F47" i="194"/>
  <c r="D49" i="196"/>
  <c r="F49" i="196" s="1"/>
  <c r="D49" i="194"/>
  <c r="F49" i="194" s="1"/>
  <c r="D50" i="197"/>
  <c r="F50" i="197" s="1"/>
  <c r="F53" i="197" s="1"/>
  <c r="D51" i="195"/>
  <c r="F55" i="197" l="1"/>
  <c r="F54" i="197"/>
  <c r="F56" i="197" s="1"/>
  <c r="F59" i="197" s="1"/>
  <c r="F55" i="195"/>
  <c r="F54" i="195"/>
  <c r="F56" i="195" s="1"/>
  <c r="F59" i="195" s="1"/>
  <c r="D50" i="196"/>
  <c r="F50" i="196" s="1"/>
  <c r="F53" i="196" s="1"/>
  <c r="D51" i="197"/>
  <c r="D50" i="194"/>
  <c r="F50" i="194" s="1"/>
  <c r="F53" i="194" s="1"/>
  <c r="D51" i="196" l="1"/>
  <c r="F54" i="194"/>
  <c r="F55" i="194"/>
  <c r="F56" i="194" s="1"/>
  <c r="F59" i="194" s="1"/>
  <c r="D51" i="194"/>
  <c r="F55" i="196"/>
  <c r="F54" i="196"/>
  <c r="F56" i="196" s="1"/>
  <c r="F59" i="196" s="1"/>
  <c r="E103" i="105" l="1"/>
  <c r="E108" i="105"/>
  <c r="E107" i="105"/>
  <c r="E106" i="105"/>
  <c r="E105" i="105"/>
  <c r="E104" i="105"/>
  <c r="G96" i="105"/>
  <c r="G99" i="105"/>
  <c r="G95" i="105"/>
  <c r="E99" i="105"/>
  <c r="E98" i="105"/>
  <c r="E97" i="105"/>
  <c r="E96" i="105"/>
  <c r="E95" i="105"/>
  <c r="G98" i="105"/>
  <c r="G97" i="105"/>
  <c r="J29" i="178"/>
  <c r="J28" i="178"/>
  <c r="J27" i="178"/>
  <c r="J26" i="178"/>
  <c r="J25" i="178"/>
  <c r="J24" i="178"/>
  <c r="J23" i="178"/>
  <c r="K14" i="178"/>
  <c r="K13" i="178"/>
  <c r="K12" i="178"/>
  <c r="K11" i="178"/>
  <c r="K10" i="178"/>
  <c r="K9" i="178"/>
  <c r="K8" i="178"/>
  <c r="J14" i="178"/>
  <c r="J13" i="178"/>
  <c r="J12" i="178"/>
  <c r="J11" i="178"/>
  <c r="J10" i="178"/>
  <c r="J9" i="178"/>
  <c r="J8" i="178"/>
  <c r="H26" i="182"/>
  <c r="H25" i="182"/>
  <c r="H24" i="182"/>
  <c r="H23" i="182"/>
  <c r="H22" i="182"/>
  <c r="H21" i="182"/>
  <c r="H20" i="182"/>
  <c r="H19" i="182"/>
  <c r="H15" i="182"/>
  <c r="H14" i="182"/>
  <c r="H13" i="182"/>
  <c r="H12" i="182"/>
  <c r="H11" i="182"/>
  <c r="H10" i="182"/>
  <c r="H9" i="182"/>
  <c r="H8" i="182"/>
  <c r="E14" i="181"/>
  <c r="E13" i="181"/>
  <c r="E12" i="181"/>
  <c r="E11" i="181"/>
  <c r="E10" i="181"/>
  <c r="E9" i="181"/>
  <c r="E8" i="181"/>
  <c r="F21" i="180"/>
  <c r="F20" i="180"/>
  <c r="F19" i="180"/>
  <c r="F18" i="180"/>
  <c r="F17" i="180"/>
  <c r="F16" i="180"/>
  <c r="F12" i="180"/>
  <c r="F11" i="180"/>
  <c r="F10" i="180"/>
  <c r="F9" i="180"/>
  <c r="F8" i="180"/>
  <c r="W7" i="52"/>
  <c r="Q102" i="52"/>
  <c r="Q101" i="52"/>
  <c r="Q100" i="52"/>
  <c r="Q99" i="52"/>
  <c r="Q98" i="52"/>
  <c r="Q97" i="52"/>
  <c r="Q96" i="52"/>
  <c r="Q95" i="52"/>
  <c r="Q94" i="52"/>
  <c r="Q93" i="52"/>
  <c r="Q92" i="52"/>
  <c r="Q91" i="52"/>
  <c r="Q90" i="52"/>
  <c r="Q89" i="52"/>
  <c r="Q88" i="52"/>
  <c r="Q87" i="52"/>
  <c r="Q86" i="52"/>
  <c r="Q85" i="52"/>
  <c r="Q84" i="52"/>
  <c r="Q83" i="52"/>
  <c r="Q82" i="52"/>
  <c r="Q81" i="52"/>
  <c r="Q80" i="52"/>
  <c r="Q79" i="52"/>
  <c r="Q78" i="52"/>
  <c r="Q77" i="52"/>
  <c r="Q76" i="52"/>
  <c r="Q75" i="52"/>
  <c r="Q74" i="52"/>
  <c r="Q73" i="52"/>
  <c r="Q72" i="52"/>
  <c r="Q71" i="52"/>
  <c r="Q70" i="52"/>
  <c r="Q69" i="52"/>
  <c r="Q68" i="52"/>
  <c r="Q67" i="52"/>
  <c r="Q66" i="52"/>
  <c r="Q65" i="52"/>
  <c r="Q64" i="52"/>
  <c r="Q63" i="52"/>
  <c r="Q62" i="52"/>
  <c r="Q61" i="52"/>
  <c r="Q60" i="52"/>
  <c r="Q59" i="52"/>
  <c r="Q58" i="52"/>
  <c r="Q57" i="52"/>
  <c r="Q56" i="52"/>
  <c r="Q55" i="52"/>
  <c r="Q54" i="52"/>
  <c r="Q53" i="52"/>
  <c r="Q52" i="52"/>
  <c r="Q51" i="52"/>
  <c r="Q50" i="52"/>
  <c r="Q49" i="52"/>
  <c r="Q48" i="52"/>
  <c r="Q47" i="52"/>
  <c r="Q46" i="52"/>
  <c r="Q45" i="52"/>
  <c r="Q44" i="52"/>
  <c r="Q43" i="52"/>
  <c r="Q42" i="52"/>
  <c r="Q41" i="52"/>
  <c r="Q40" i="52"/>
  <c r="Q39" i="52"/>
  <c r="Q38" i="52"/>
  <c r="Q37" i="52"/>
  <c r="Q36" i="52"/>
  <c r="Q35" i="52"/>
  <c r="Q34" i="52"/>
  <c r="Q33" i="52"/>
  <c r="Q32" i="52"/>
  <c r="Q31" i="52"/>
  <c r="Q30" i="52"/>
  <c r="Q29" i="52"/>
  <c r="Q28" i="52"/>
  <c r="Q27" i="52"/>
  <c r="Q26" i="52"/>
  <c r="Q25" i="52"/>
  <c r="Q24" i="52"/>
  <c r="Q23" i="52"/>
  <c r="Q22" i="52"/>
  <c r="Q21" i="52"/>
  <c r="Q20" i="52"/>
  <c r="Q19" i="52"/>
  <c r="Q18" i="52"/>
  <c r="Q17" i="52"/>
  <c r="Q16" i="52"/>
  <c r="Q15" i="52"/>
  <c r="Q14" i="52"/>
  <c r="Q13" i="52"/>
  <c r="Q12" i="52"/>
  <c r="Q11" i="52"/>
  <c r="Q10" i="52"/>
  <c r="Q9" i="52"/>
  <c r="Q8" i="52"/>
  <c r="Q7" i="52"/>
  <c r="Q6" i="52"/>
  <c r="Q5" i="52"/>
  <c r="Q4" i="52"/>
  <c r="Q3" i="52"/>
  <c r="P102" i="52"/>
  <c r="P101" i="52"/>
  <c r="P100" i="52"/>
  <c r="P99" i="52"/>
  <c r="P98" i="52"/>
  <c r="P97" i="52"/>
  <c r="P96" i="52"/>
  <c r="P95" i="52"/>
  <c r="P94" i="52"/>
  <c r="P93" i="52"/>
  <c r="P92" i="52"/>
  <c r="P91" i="52"/>
  <c r="P90" i="52"/>
  <c r="P89" i="52"/>
  <c r="P88" i="52"/>
  <c r="P87" i="52"/>
  <c r="P86" i="52"/>
  <c r="P85" i="52"/>
  <c r="P84" i="52"/>
  <c r="P83" i="52"/>
  <c r="P82" i="52"/>
  <c r="P81" i="52"/>
  <c r="P80" i="52"/>
  <c r="P79" i="52"/>
  <c r="P78" i="52"/>
  <c r="P77" i="52"/>
  <c r="P76" i="52"/>
  <c r="P75" i="52"/>
  <c r="P74" i="52"/>
  <c r="P73" i="52"/>
  <c r="P72" i="52"/>
  <c r="P71" i="52"/>
  <c r="P70" i="52"/>
  <c r="P69" i="52"/>
  <c r="P68" i="52"/>
  <c r="P67" i="52"/>
  <c r="P66" i="52"/>
  <c r="P65" i="52"/>
  <c r="P64" i="52"/>
  <c r="P63" i="52"/>
  <c r="P62" i="52"/>
  <c r="P61" i="52"/>
  <c r="P60" i="52"/>
  <c r="P59" i="52"/>
  <c r="P58" i="52"/>
  <c r="P57" i="52"/>
  <c r="P56" i="52"/>
  <c r="P55" i="52"/>
  <c r="P54" i="52"/>
  <c r="P53" i="52"/>
  <c r="P52" i="52"/>
  <c r="P51" i="52"/>
  <c r="P50" i="52"/>
  <c r="P49" i="52"/>
  <c r="P48" i="52"/>
  <c r="P47" i="52"/>
  <c r="P46" i="52"/>
  <c r="P45" i="52"/>
  <c r="P44" i="52"/>
  <c r="P43" i="52"/>
  <c r="P42" i="52"/>
  <c r="P41" i="52"/>
  <c r="P40" i="52"/>
  <c r="P39" i="52"/>
  <c r="P38" i="52"/>
  <c r="P37" i="52"/>
  <c r="P36" i="52"/>
  <c r="P35" i="52"/>
  <c r="P34" i="52"/>
  <c r="P33" i="52"/>
  <c r="P32" i="52"/>
  <c r="P31" i="52"/>
  <c r="P30" i="52"/>
  <c r="P29" i="52"/>
  <c r="P28" i="52"/>
  <c r="P27" i="52"/>
  <c r="P26" i="52"/>
  <c r="P25" i="52"/>
  <c r="P24" i="52"/>
  <c r="P23" i="52"/>
  <c r="P22" i="52"/>
  <c r="P21" i="52"/>
  <c r="P20" i="52"/>
  <c r="P19" i="52"/>
  <c r="P18" i="52"/>
  <c r="P17" i="52"/>
  <c r="P16" i="52"/>
  <c r="P15" i="52"/>
  <c r="P14" i="52"/>
  <c r="P13" i="52"/>
  <c r="P12" i="52"/>
  <c r="P11" i="52"/>
  <c r="P10" i="52"/>
  <c r="P9" i="52"/>
  <c r="P8" i="52"/>
  <c r="P7" i="52"/>
  <c r="P6" i="52"/>
  <c r="P5" i="52"/>
  <c r="P4" i="52"/>
  <c r="P3" i="52"/>
  <c r="O102" i="52"/>
  <c r="O101" i="52"/>
  <c r="O100" i="52"/>
  <c r="O99" i="52"/>
  <c r="O98" i="52"/>
  <c r="O97" i="52"/>
  <c r="O96" i="52"/>
  <c r="O95" i="52"/>
  <c r="O94" i="52"/>
  <c r="O93" i="52"/>
  <c r="O92" i="52"/>
  <c r="O91" i="52"/>
  <c r="O90" i="52"/>
  <c r="O89" i="52"/>
  <c r="O88" i="52"/>
  <c r="O87" i="52"/>
  <c r="O86" i="52"/>
  <c r="O85" i="52"/>
  <c r="O84" i="52"/>
  <c r="O83" i="52"/>
  <c r="O82" i="52"/>
  <c r="O81" i="52"/>
  <c r="O80" i="52"/>
  <c r="O79" i="52"/>
  <c r="O78" i="52"/>
  <c r="O77" i="52"/>
  <c r="O76" i="52"/>
  <c r="O75" i="52"/>
  <c r="O74" i="52"/>
  <c r="O73" i="52"/>
  <c r="O72" i="52"/>
  <c r="O71" i="52"/>
  <c r="O70" i="52"/>
  <c r="O69" i="52"/>
  <c r="O68" i="52"/>
  <c r="O67" i="52"/>
  <c r="O66" i="52"/>
  <c r="O65" i="52"/>
  <c r="O64" i="52"/>
  <c r="O63" i="52"/>
  <c r="O62" i="52"/>
  <c r="O61" i="52"/>
  <c r="O60" i="52"/>
  <c r="O59" i="52"/>
  <c r="O58" i="52"/>
  <c r="O57" i="52"/>
  <c r="O56" i="52"/>
  <c r="O55" i="52"/>
  <c r="O54" i="52"/>
  <c r="O53" i="52"/>
  <c r="O52" i="52"/>
  <c r="O51" i="52"/>
  <c r="O50" i="52"/>
  <c r="O49" i="52"/>
  <c r="O48" i="52"/>
  <c r="O47" i="52"/>
  <c r="O46" i="52"/>
  <c r="O45" i="52"/>
  <c r="O44" i="52"/>
  <c r="O43" i="52"/>
  <c r="O42" i="52"/>
  <c r="O41" i="52"/>
  <c r="O40" i="52"/>
  <c r="O39" i="52"/>
  <c r="O38" i="52"/>
  <c r="O37" i="52"/>
  <c r="O36" i="52"/>
  <c r="O35" i="52"/>
  <c r="O34" i="52"/>
  <c r="O33" i="52"/>
  <c r="O32" i="52"/>
  <c r="O31" i="52"/>
  <c r="O30" i="52"/>
  <c r="O29" i="52"/>
  <c r="O28" i="52"/>
  <c r="O27" i="52"/>
  <c r="O26" i="52"/>
  <c r="O25" i="52"/>
  <c r="O24" i="52"/>
  <c r="O23" i="52"/>
  <c r="O22" i="52"/>
  <c r="O21" i="52"/>
  <c r="O20" i="52"/>
  <c r="O19" i="52"/>
  <c r="O18" i="52"/>
  <c r="O17" i="52"/>
  <c r="O16" i="52"/>
  <c r="O15" i="52"/>
  <c r="O14" i="52"/>
  <c r="O13" i="52"/>
  <c r="O12" i="52"/>
  <c r="O11" i="52"/>
  <c r="O10" i="52"/>
  <c r="O9" i="52"/>
  <c r="O8" i="52"/>
  <c r="O7" i="52"/>
  <c r="O6" i="52"/>
  <c r="O5" i="52"/>
  <c r="O4" i="52"/>
  <c r="O3" i="52"/>
  <c r="N102" i="52"/>
  <c r="N101" i="52"/>
  <c r="N100" i="52"/>
  <c r="N99" i="52"/>
  <c r="N98" i="52"/>
  <c r="N97" i="52"/>
  <c r="N96" i="52"/>
  <c r="N95" i="52"/>
  <c r="N94" i="52"/>
  <c r="N93" i="52"/>
  <c r="N92" i="52"/>
  <c r="N91" i="52"/>
  <c r="N90" i="52"/>
  <c r="N89" i="52"/>
  <c r="N88" i="52"/>
  <c r="N87" i="52"/>
  <c r="N86" i="52"/>
  <c r="N85" i="52"/>
  <c r="N84" i="52"/>
  <c r="N83" i="52"/>
  <c r="N82" i="52"/>
  <c r="N81" i="52"/>
  <c r="N80" i="52"/>
  <c r="N79" i="52"/>
  <c r="N78" i="52"/>
  <c r="N77" i="52"/>
  <c r="N76" i="52"/>
  <c r="N75" i="52"/>
  <c r="N74" i="52"/>
  <c r="N73" i="52"/>
  <c r="N72" i="52"/>
  <c r="N71" i="52"/>
  <c r="N70" i="52"/>
  <c r="N69" i="52"/>
  <c r="N68" i="52"/>
  <c r="N67" i="52"/>
  <c r="N66" i="52"/>
  <c r="N65" i="52"/>
  <c r="N64" i="52"/>
  <c r="N63" i="52"/>
  <c r="N62" i="52"/>
  <c r="N61" i="52"/>
  <c r="N60" i="52"/>
  <c r="N59" i="52"/>
  <c r="N58" i="52"/>
  <c r="N57" i="52"/>
  <c r="N56" i="52"/>
  <c r="N55" i="52"/>
  <c r="N54" i="52"/>
  <c r="N53" i="52"/>
  <c r="N52" i="52"/>
  <c r="N51" i="52"/>
  <c r="N50" i="52"/>
  <c r="N49" i="52"/>
  <c r="N48" i="52"/>
  <c r="N47" i="52"/>
  <c r="N46" i="52"/>
  <c r="N45" i="52"/>
  <c r="N44" i="52"/>
  <c r="N43" i="52"/>
  <c r="N42" i="52"/>
  <c r="N41" i="52"/>
  <c r="N40" i="52"/>
  <c r="N39" i="52"/>
  <c r="N38" i="52"/>
  <c r="N37" i="52"/>
  <c r="N36" i="52"/>
  <c r="N35" i="52"/>
  <c r="N34" i="52"/>
  <c r="N33" i="52"/>
  <c r="N32" i="52"/>
  <c r="N31" i="52"/>
  <c r="N30" i="52"/>
  <c r="N29" i="52"/>
  <c r="N28" i="52"/>
  <c r="N27" i="52"/>
  <c r="N26" i="52"/>
  <c r="N25" i="52"/>
  <c r="N24" i="52"/>
  <c r="N23" i="52"/>
  <c r="N22" i="52"/>
  <c r="N21" i="52"/>
  <c r="N20" i="52"/>
  <c r="N19" i="52"/>
  <c r="N18" i="52"/>
  <c r="N17" i="52"/>
  <c r="N16" i="52"/>
  <c r="N15" i="52"/>
  <c r="N14" i="52"/>
  <c r="N13" i="52"/>
  <c r="N12" i="52"/>
  <c r="N11" i="52"/>
  <c r="N10" i="52"/>
  <c r="N9" i="52"/>
  <c r="N8" i="52"/>
  <c r="N7" i="52"/>
  <c r="N6" i="52"/>
  <c r="N5" i="52"/>
  <c r="N4" i="52"/>
  <c r="N3" i="52"/>
  <c r="L67" i="191" l="1"/>
  <c r="L59" i="191"/>
  <c r="L57" i="191"/>
  <c r="L51" i="191"/>
  <c r="L49" i="191"/>
  <c r="L43" i="191"/>
  <c r="L41" i="191"/>
  <c r="L35" i="191"/>
  <c r="L33" i="191"/>
  <c r="L27" i="191"/>
  <c r="L25" i="191"/>
  <c r="L19" i="191"/>
  <c r="L17" i="191"/>
  <c r="K13" i="191"/>
  <c r="K14" i="191" s="1"/>
  <c r="K15" i="191" s="1"/>
  <c r="K16" i="191" s="1"/>
  <c r="K17" i="191" s="1"/>
  <c r="K18" i="191" s="1"/>
  <c r="K19" i="191" s="1"/>
  <c r="K20" i="191" s="1"/>
  <c r="K21" i="191" s="1"/>
  <c r="K22" i="191" s="1"/>
  <c r="K23" i="191" s="1"/>
  <c r="K24" i="191" s="1"/>
  <c r="K25" i="191" s="1"/>
  <c r="K26" i="191" s="1"/>
  <c r="K27" i="191" s="1"/>
  <c r="K28" i="191" s="1"/>
  <c r="K29" i="191" s="1"/>
  <c r="K30" i="191" s="1"/>
  <c r="K31" i="191" s="1"/>
  <c r="K32" i="191" s="1"/>
  <c r="K33" i="191" s="1"/>
  <c r="K34" i="191" s="1"/>
  <c r="K35" i="191" s="1"/>
  <c r="K36" i="191" s="1"/>
  <c r="K37" i="191" s="1"/>
  <c r="K38" i="191" s="1"/>
  <c r="K39" i="191" s="1"/>
  <c r="K40" i="191" s="1"/>
  <c r="K41" i="191" s="1"/>
  <c r="K42" i="191" s="1"/>
  <c r="K43" i="191" s="1"/>
  <c r="K44" i="191" s="1"/>
  <c r="K45" i="191" s="1"/>
  <c r="K46" i="191" s="1"/>
  <c r="K47" i="191" s="1"/>
  <c r="K48" i="191" s="1"/>
  <c r="K49" i="191" s="1"/>
  <c r="K50" i="191" s="1"/>
  <c r="K51" i="191" s="1"/>
  <c r="K52" i="191" s="1"/>
  <c r="K53" i="191" s="1"/>
  <c r="K54" i="191" s="1"/>
  <c r="K55" i="191" s="1"/>
  <c r="K56" i="191" s="1"/>
  <c r="K57" i="191" s="1"/>
  <c r="K58" i="191" s="1"/>
  <c r="K59" i="191" s="1"/>
  <c r="K60" i="191" s="1"/>
  <c r="K61" i="191" s="1"/>
  <c r="K62" i="191" s="1"/>
  <c r="K63" i="191" s="1"/>
  <c r="K64" i="191" s="1"/>
  <c r="K65" i="191" s="1"/>
  <c r="K66" i="191" s="1"/>
  <c r="K67" i="191" s="1"/>
  <c r="K68" i="191" s="1"/>
  <c r="K69" i="191" s="1"/>
  <c r="K70" i="191" s="1"/>
  <c r="K71" i="191" s="1"/>
  <c r="K72" i="191" s="1"/>
  <c r="F13" i="191"/>
  <c r="D14" i="191"/>
  <c r="D15" i="191" s="1"/>
  <c r="D16" i="191" s="1"/>
  <c r="D17" i="191" s="1"/>
  <c r="D18" i="191" s="1"/>
  <c r="D19" i="191" s="1"/>
  <c r="D20" i="191" s="1"/>
  <c r="D21" i="191" s="1"/>
  <c r="D22" i="191" s="1"/>
  <c r="D23" i="191" s="1"/>
  <c r="D24" i="191" s="1"/>
  <c r="D25" i="191" s="1"/>
  <c r="D26" i="191" s="1"/>
  <c r="D27" i="191" s="1"/>
  <c r="D28" i="191" s="1"/>
  <c r="D29" i="191" s="1"/>
  <c r="D30" i="191" s="1"/>
  <c r="D31" i="191" s="1"/>
  <c r="D32" i="191" s="1"/>
  <c r="D33" i="191" s="1"/>
  <c r="D34" i="191" s="1"/>
  <c r="D35" i="191" s="1"/>
  <c r="D36" i="191" s="1"/>
  <c r="D37" i="191" s="1"/>
  <c r="D38" i="191" s="1"/>
  <c r="D39" i="191" s="1"/>
  <c r="D40" i="191" s="1"/>
  <c r="D41" i="191" s="1"/>
  <c r="D42" i="191" s="1"/>
  <c r="D43" i="191" s="1"/>
  <c r="D44" i="191" s="1"/>
  <c r="D45" i="191" s="1"/>
  <c r="D46" i="191" s="1"/>
  <c r="D47" i="191" s="1"/>
  <c r="D48" i="191" s="1"/>
  <c r="D49" i="191" s="1"/>
  <c r="D50" i="191" s="1"/>
  <c r="D51" i="191" s="1"/>
  <c r="D52" i="191" s="1"/>
  <c r="D53" i="191" s="1"/>
  <c r="D54" i="191" s="1"/>
  <c r="D55" i="191" s="1"/>
  <c r="D56" i="191" s="1"/>
  <c r="D57" i="191" s="1"/>
  <c r="D58" i="191" s="1"/>
  <c r="D59" i="191" s="1"/>
  <c r="D60" i="191" s="1"/>
  <c r="D61" i="191" s="1"/>
  <c r="D62" i="191" s="1"/>
  <c r="D63" i="191" s="1"/>
  <c r="D64" i="191" s="1"/>
  <c r="D65" i="191" s="1"/>
  <c r="D66" i="191" s="1"/>
  <c r="D67" i="191" s="1"/>
  <c r="D68" i="191" s="1"/>
  <c r="D69" i="191" s="1"/>
  <c r="D70" i="191" s="1"/>
  <c r="D71" i="191" s="1"/>
  <c r="D72" i="191" s="1"/>
  <c r="C9" i="191"/>
  <c r="L72" i="191" s="1"/>
  <c r="C5" i="85"/>
  <c r="C6" i="85" s="1"/>
  <c r="C4" i="85"/>
  <c r="H24" i="179"/>
  <c r="H23" i="179"/>
  <c r="H22" i="179"/>
  <c r="H21" i="179"/>
  <c r="H20" i="179"/>
  <c r="H19" i="179"/>
  <c r="H18" i="179"/>
  <c r="H17" i="179"/>
  <c r="H16" i="179"/>
  <c r="H15" i="179"/>
  <c r="H14" i="179"/>
  <c r="H13" i="179"/>
  <c r="H12" i="179"/>
  <c r="H11" i="179"/>
  <c r="H10" i="179"/>
  <c r="H9" i="179"/>
  <c r="H8" i="179"/>
  <c r="H7" i="179"/>
  <c r="H6" i="179"/>
  <c r="H5" i="179"/>
  <c r="G24" i="179"/>
  <c r="G23" i="179"/>
  <c r="G22" i="179"/>
  <c r="G21" i="179"/>
  <c r="G20" i="179"/>
  <c r="G19" i="179"/>
  <c r="G18" i="179"/>
  <c r="G17" i="179"/>
  <c r="G16" i="179"/>
  <c r="G15" i="179"/>
  <c r="G14" i="179"/>
  <c r="G13" i="179"/>
  <c r="G12" i="179"/>
  <c r="G11" i="179"/>
  <c r="G10" i="179"/>
  <c r="G9" i="179"/>
  <c r="G8" i="179"/>
  <c r="G7" i="179"/>
  <c r="G6" i="179"/>
  <c r="G5" i="179"/>
  <c r="F24" i="179"/>
  <c r="F23" i="179"/>
  <c r="F22" i="179"/>
  <c r="F21" i="179"/>
  <c r="F20" i="179"/>
  <c r="F19" i="179"/>
  <c r="F18" i="179"/>
  <c r="F17" i="179"/>
  <c r="F16" i="179"/>
  <c r="F15" i="179"/>
  <c r="F14" i="179"/>
  <c r="F13" i="179"/>
  <c r="F12" i="179"/>
  <c r="F11" i="179"/>
  <c r="F10" i="179"/>
  <c r="F9" i="179"/>
  <c r="F8" i="179"/>
  <c r="F7" i="179"/>
  <c r="F6" i="179"/>
  <c r="F5" i="179"/>
  <c r="E24" i="179"/>
  <c r="E23" i="179"/>
  <c r="E22" i="179"/>
  <c r="E21" i="179"/>
  <c r="E20" i="179"/>
  <c r="E19" i="179"/>
  <c r="E18" i="179"/>
  <c r="E17" i="179"/>
  <c r="E16" i="179"/>
  <c r="E15" i="179"/>
  <c r="E14" i="179"/>
  <c r="E13" i="179"/>
  <c r="E12" i="179"/>
  <c r="E11" i="179"/>
  <c r="E10" i="179"/>
  <c r="E9" i="179"/>
  <c r="E8" i="179"/>
  <c r="E7" i="179"/>
  <c r="E6" i="179"/>
  <c r="E5" i="179"/>
  <c r="D20" i="179"/>
  <c r="D19" i="179"/>
  <c r="D18" i="179"/>
  <c r="D12" i="179"/>
  <c r="D11" i="179"/>
  <c r="D10" i="179"/>
  <c r="C24" i="179"/>
  <c r="D24" i="179" s="1"/>
  <c r="C23" i="179"/>
  <c r="D23" i="179" s="1"/>
  <c r="C22" i="179"/>
  <c r="D22" i="179" s="1"/>
  <c r="C21" i="179"/>
  <c r="D21" i="179" s="1"/>
  <c r="C20" i="179"/>
  <c r="C19" i="179"/>
  <c r="C18" i="179"/>
  <c r="C17" i="179"/>
  <c r="D17" i="179" s="1"/>
  <c r="C16" i="179"/>
  <c r="D16" i="179" s="1"/>
  <c r="C15" i="179"/>
  <c r="D15" i="179" s="1"/>
  <c r="C14" i="179"/>
  <c r="D14" i="179" s="1"/>
  <c r="C13" i="179"/>
  <c r="D13" i="179" s="1"/>
  <c r="C12" i="179"/>
  <c r="C11" i="179"/>
  <c r="C10" i="179"/>
  <c r="C9" i="179"/>
  <c r="D9" i="179" s="1"/>
  <c r="C8" i="179"/>
  <c r="D8" i="179" s="1"/>
  <c r="C7" i="179"/>
  <c r="D7" i="179" s="1"/>
  <c r="C6" i="179"/>
  <c r="D6" i="179" s="1"/>
  <c r="C5" i="179"/>
  <c r="D5" i="179" s="1"/>
  <c r="D22" i="170"/>
  <c r="O9" i="170"/>
  <c r="O8" i="170"/>
  <c r="O6" i="170"/>
  <c r="N9" i="170"/>
  <c r="N8" i="170"/>
  <c r="N6" i="170"/>
  <c r="N13" i="170"/>
  <c r="L65" i="191" l="1"/>
  <c r="L18" i="191"/>
  <c r="L26" i="191"/>
  <c r="L34" i="191"/>
  <c r="L42" i="191"/>
  <c r="L50" i="191"/>
  <c r="L58" i="191"/>
  <c r="L66" i="191"/>
  <c r="L20" i="191"/>
  <c r="L28" i="191"/>
  <c r="L36" i="191"/>
  <c r="L44" i="191"/>
  <c r="L52" i="191"/>
  <c r="L60" i="191"/>
  <c r="L68" i="191"/>
  <c r="L13" i="191"/>
  <c r="N13" i="191" s="1"/>
  <c r="O13" i="191" s="1"/>
  <c r="L21" i="191"/>
  <c r="L29" i="191"/>
  <c r="L37" i="191"/>
  <c r="L45" i="191"/>
  <c r="L53" i="191"/>
  <c r="L61" i="191"/>
  <c r="L69" i="191"/>
  <c r="L14" i="191"/>
  <c r="L22" i="191"/>
  <c r="L30" i="191"/>
  <c r="L38" i="191"/>
  <c r="L46" i="191"/>
  <c r="L54" i="191"/>
  <c r="L62" i="191"/>
  <c r="L70" i="191"/>
  <c r="L15" i="191"/>
  <c r="L23" i="191"/>
  <c r="L31" i="191"/>
  <c r="L39" i="191"/>
  <c r="L47" i="191"/>
  <c r="L55" i="191"/>
  <c r="L63" i="191"/>
  <c r="L71" i="191"/>
  <c r="L16" i="191"/>
  <c r="L24" i="191"/>
  <c r="L32" i="191"/>
  <c r="L40" i="191"/>
  <c r="L48" i="191"/>
  <c r="L56" i="191"/>
  <c r="L64" i="191"/>
  <c r="M14" i="191"/>
  <c r="N14" i="191" s="1"/>
  <c r="O14" i="191" s="1"/>
  <c r="H9" i="191"/>
  <c r="E24" i="85"/>
  <c r="A25" i="187"/>
  <c r="A11" i="187"/>
  <c r="A26" i="187" s="1"/>
  <c r="M34" i="186"/>
  <c r="M33" i="186"/>
  <c r="M32" i="186"/>
  <c r="M31" i="186"/>
  <c r="M30" i="186"/>
  <c r="M29" i="186"/>
  <c r="M28" i="186"/>
  <c r="M27" i="186"/>
  <c r="M26" i="186"/>
  <c r="M25" i="186"/>
  <c r="M24" i="186"/>
  <c r="M23" i="186"/>
  <c r="M22" i="186"/>
  <c r="M21" i="186"/>
  <c r="M20" i="186"/>
  <c r="M19" i="186"/>
  <c r="M18" i="186"/>
  <c r="M17" i="186"/>
  <c r="M16" i="186"/>
  <c r="M15" i="186"/>
  <c r="M14" i="186"/>
  <c r="M13" i="186"/>
  <c r="M12" i="186"/>
  <c r="M11" i="186"/>
  <c r="M10" i="186"/>
  <c r="M9" i="186"/>
  <c r="M8" i="186"/>
  <c r="A12" i="187" l="1"/>
  <c r="A13" i="187" s="1"/>
  <c r="E71" i="191"/>
  <c r="E63" i="191"/>
  <c r="E55" i="191"/>
  <c r="E47" i="191"/>
  <c r="E39" i="191"/>
  <c r="E31" i="191"/>
  <c r="E23" i="191"/>
  <c r="E15" i="191"/>
  <c r="E70" i="191"/>
  <c r="E62" i="191"/>
  <c r="E54" i="191"/>
  <c r="E46" i="191"/>
  <c r="E38" i="191"/>
  <c r="E30" i="191"/>
  <c r="E22" i="191"/>
  <c r="E14" i="191"/>
  <c r="E72" i="191"/>
  <c r="E56" i="191"/>
  <c r="E48" i="191"/>
  <c r="E32" i="191"/>
  <c r="E69" i="191"/>
  <c r="E61" i="191"/>
  <c r="E53" i="191"/>
  <c r="E45" i="191"/>
  <c r="E37" i="191"/>
  <c r="E29" i="191"/>
  <c r="E21" i="191"/>
  <c r="E13" i="191"/>
  <c r="G13" i="191" s="1"/>
  <c r="H13" i="191" s="1"/>
  <c r="F14" i="191" s="1"/>
  <c r="G14" i="191" s="1"/>
  <c r="H14" i="191" s="1"/>
  <c r="E64" i="191"/>
  <c r="E40" i="191"/>
  <c r="E16" i="191"/>
  <c r="E68" i="191"/>
  <c r="E60" i="191"/>
  <c r="E52" i="191"/>
  <c r="E44" i="191"/>
  <c r="E36" i="191"/>
  <c r="E28" i="191"/>
  <c r="E20" i="191"/>
  <c r="E67" i="191"/>
  <c r="E59" i="191"/>
  <c r="E51" i="191"/>
  <c r="E43" i="191"/>
  <c r="E35" i="191"/>
  <c r="E27" i="191"/>
  <c r="E19" i="191"/>
  <c r="E66" i="191"/>
  <c r="E58" i="191"/>
  <c r="E50" i="191"/>
  <c r="E42" i="191"/>
  <c r="E34" i="191"/>
  <c r="E26" i="191"/>
  <c r="E18" i="191"/>
  <c r="E24" i="191"/>
  <c r="E65" i="191"/>
  <c r="E57" i="191"/>
  <c r="E49" i="191"/>
  <c r="E41" i="191"/>
  <c r="E33" i="191"/>
  <c r="E25" i="191"/>
  <c r="E17" i="191"/>
  <c r="M15" i="191"/>
  <c r="N15" i="191" s="1"/>
  <c r="O15" i="191" s="1"/>
  <c r="F15" i="191"/>
  <c r="G15" i="191" s="1"/>
  <c r="H15" i="191" s="1"/>
  <c r="A28" i="187"/>
  <c r="A14" i="187"/>
  <c r="A27" i="187"/>
  <c r="M16" i="191" l="1"/>
  <c r="N16" i="191" s="1"/>
  <c r="O16" i="191" s="1"/>
  <c r="F16" i="191"/>
  <c r="G16" i="191" s="1"/>
  <c r="H16" i="191" s="1"/>
  <c r="A15" i="187"/>
  <c r="A29" i="187"/>
  <c r="M17" i="191" l="1"/>
  <c r="N17" i="191" s="1"/>
  <c r="O17" i="191" s="1"/>
  <c r="F17" i="191"/>
  <c r="G17" i="191" s="1"/>
  <c r="H17" i="191"/>
  <c r="A16" i="187"/>
  <c r="A30" i="187"/>
  <c r="M18" i="191" l="1"/>
  <c r="N18" i="191" s="1"/>
  <c r="O18" i="191" s="1"/>
  <c r="F18" i="191"/>
  <c r="G18" i="191" s="1"/>
  <c r="H18" i="191" s="1"/>
  <c r="A17" i="187"/>
  <c r="A31" i="187"/>
  <c r="M19" i="191" l="1"/>
  <c r="N19" i="191" s="1"/>
  <c r="O19" i="191" s="1"/>
  <c r="F19" i="191"/>
  <c r="G19" i="191" s="1"/>
  <c r="H19" i="191" s="1"/>
  <c r="A32" i="187"/>
  <c r="A18" i="187"/>
  <c r="M20" i="191" l="1"/>
  <c r="N20" i="191" s="1"/>
  <c r="O20" i="191"/>
  <c r="F20" i="191"/>
  <c r="G20" i="191" s="1"/>
  <c r="H20" i="191"/>
  <c r="A19" i="187"/>
  <c r="A34" i="187" s="1"/>
  <c r="A33" i="187"/>
  <c r="O21" i="191" l="1"/>
  <c r="M21" i="191"/>
  <c r="N21" i="191" s="1"/>
  <c r="F21" i="191"/>
  <c r="G21" i="191" s="1"/>
  <c r="H21" i="191"/>
  <c r="E18" i="184"/>
  <c r="H25" i="183"/>
  <c r="F25" i="183"/>
  <c r="H24" i="183"/>
  <c r="F24" i="183"/>
  <c r="H23" i="183"/>
  <c r="F23" i="183"/>
  <c r="H22" i="183"/>
  <c r="F22" i="183"/>
  <c r="H21" i="183"/>
  <c r="F21" i="183"/>
  <c r="H20" i="183"/>
  <c r="F20" i="183"/>
  <c r="H19" i="183"/>
  <c r="F19" i="183"/>
  <c r="H18" i="183"/>
  <c r="F18" i="183"/>
  <c r="H17" i="183"/>
  <c r="F17" i="183"/>
  <c r="G13" i="183"/>
  <c r="G12" i="183"/>
  <c r="G11" i="183"/>
  <c r="G10" i="183"/>
  <c r="G9" i="183"/>
  <c r="G8" i="183"/>
  <c r="G3354" i="178"/>
  <c r="D3354" i="178"/>
  <c r="G3353" i="178"/>
  <c r="D3353" i="178"/>
  <c r="G3352" i="178"/>
  <c r="D3352" i="178"/>
  <c r="G3351" i="178"/>
  <c r="D3351" i="178"/>
  <c r="G3350" i="178"/>
  <c r="D3350" i="178"/>
  <c r="G3349" i="178"/>
  <c r="D3349" i="178"/>
  <c r="G3348" i="178"/>
  <c r="D3348" i="178"/>
  <c r="G3347" i="178"/>
  <c r="D3347" i="178"/>
  <c r="G3346" i="178"/>
  <c r="D3346" i="178"/>
  <c r="G3345" i="178"/>
  <c r="D3345" i="178"/>
  <c r="G3344" i="178"/>
  <c r="D3344" i="178"/>
  <c r="G3343" i="178"/>
  <c r="D3343" i="178"/>
  <c r="G3342" i="178"/>
  <c r="D3342" i="178"/>
  <c r="G3341" i="178"/>
  <c r="D3341" i="178"/>
  <c r="G3340" i="178"/>
  <c r="D3340" i="178"/>
  <c r="G3339" i="178"/>
  <c r="D3339" i="178"/>
  <c r="G3338" i="178"/>
  <c r="D3338" i="178"/>
  <c r="G3337" i="178"/>
  <c r="D3337" i="178"/>
  <c r="G3336" i="178"/>
  <c r="D3336" i="178"/>
  <c r="G3335" i="178"/>
  <c r="D3335" i="178"/>
  <c r="G3334" i="178"/>
  <c r="D3334" i="178"/>
  <c r="G3333" i="178"/>
  <c r="D3333" i="178"/>
  <c r="G3332" i="178"/>
  <c r="D3332" i="178"/>
  <c r="G3331" i="178"/>
  <c r="D3331" i="178"/>
  <c r="G3330" i="178"/>
  <c r="D3330" i="178"/>
  <c r="G3329" i="178"/>
  <c r="D3329" i="178"/>
  <c r="G3328" i="178"/>
  <c r="D3328" i="178"/>
  <c r="G3327" i="178"/>
  <c r="D3327" i="178"/>
  <c r="G3326" i="178"/>
  <c r="D3326" i="178"/>
  <c r="G3325" i="178"/>
  <c r="D3325" i="178"/>
  <c r="G3324" i="178"/>
  <c r="D3324" i="178"/>
  <c r="G3323" i="178"/>
  <c r="D3323" i="178"/>
  <c r="G3322" i="178"/>
  <c r="D3322" i="178"/>
  <c r="G3321" i="178"/>
  <c r="D3321" i="178"/>
  <c r="G3320" i="178"/>
  <c r="D3320" i="178"/>
  <c r="G3319" i="178"/>
  <c r="D3319" i="178"/>
  <c r="G3318" i="178"/>
  <c r="D3318" i="178"/>
  <c r="G3317" i="178"/>
  <c r="D3317" i="178"/>
  <c r="G3316" i="178"/>
  <c r="D3316" i="178"/>
  <c r="G3315" i="178"/>
  <c r="D3315" i="178"/>
  <c r="G3314" i="178"/>
  <c r="D3314" i="178"/>
  <c r="G3313" i="178"/>
  <c r="D3313" i="178"/>
  <c r="G3312" i="178"/>
  <c r="D3312" i="178"/>
  <c r="G3311" i="178"/>
  <c r="D3311" i="178"/>
  <c r="G3310" i="178"/>
  <c r="D3310" i="178"/>
  <c r="G3309" i="178"/>
  <c r="D3309" i="178"/>
  <c r="G3308" i="178"/>
  <c r="D3308" i="178"/>
  <c r="G3307" i="178"/>
  <c r="D3307" i="178"/>
  <c r="G3306" i="178"/>
  <c r="D3306" i="178"/>
  <c r="G3305" i="178"/>
  <c r="D3305" i="178"/>
  <c r="G3304" i="178"/>
  <c r="D3304" i="178"/>
  <c r="G3303" i="178"/>
  <c r="D3303" i="178"/>
  <c r="G3302" i="178"/>
  <c r="D3302" i="178"/>
  <c r="G3301" i="178"/>
  <c r="D3301" i="178"/>
  <c r="G3300" i="178"/>
  <c r="D3300" i="178"/>
  <c r="G3299" i="178"/>
  <c r="D3299" i="178"/>
  <c r="G3298" i="178"/>
  <c r="D3298" i="178"/>
  <c r="G3297" i="178"/>
  <c r="D3297" i="178"/>
  <c r="G3296" i="178"/>
  <c r="D3296" i="178"/>
  <c r="G3295" i="178"/>
  <c r="D3295" i="178"/>
  <c r="G3294" i="178"/>
  <c r="D3294" i="178"/>
  <c r="G3293" i="178"/>
  <c r="D3293" i="178"/>
  <c r="G3292" i="178"/>
  <c r="D3292" i="178"/>
  <c r="G3291" i="178"/>
  <c r="D3291" i="178"/>
  <c r="G3290" i="178"/>
  <c r="D3290" i="178"/>
  <c r="G3289" i="178"/>
  <c r="D3289" i="178"/>
  <c r="G3288" i="178"/>
  <c r="D3288" i="178"/>
  <c r="G3287" i="178"/>
  <c r="D3287" i="178"/>
  <c r="G3286" i="178"/>
  <c r="D3286" i="178"/>
  <c r="G3285" i="178"/>
  <c r="D3285" i="178"/>
  <c r="G3284" i="178"/>
  <c r="D3284" i="178"/>
  <c r="G3283" i="178"/>
  <c r="D3283" i="178"/>
  <c r="G3282" i="178"/>
  <c r="D3282" i="178"/>
  <c r="G3281" i="178"/>
  <c r="D3281" i="178"/>
  <c r="G3280" i="178"/>
  <c r="D3280" i="178"/>
  <c r="G3279" i="178"/>
  <c r="D3279" i="178"/>
  <c r="G3278" i="178"/>
  <c r="D3278" i="178"/>
  <c r="G3277" i="178"/>
  <c r="D3277" i="178"/>
  <c r="G3276" i="178"/>
  <c r="D3276" i="178"/>
  <c r="G3275" i="178"/>
  <c r="D3275" i="178"/>
  <c r="G3274" i="178"/>
  <c r="D3274" i="178"/>
  <c r="G3273" i="178"/>
  <c r="D3273" i="178"/>
  <c r="G3272" i="178"/>
  <c r="D3272" i="178"/>
  <c r="G3271" i="178"/>
  <c r="D3271" i="178"/>
  <c r="G3270" i="178"/>
  <c r="D3270" i="178"/>
  <c r="G3269" i="178"/>
  <c r="D3269" i="178"/>
  <c r="G3268" i="178"/>
  <c r="D3268" i="178"/>
  <c r="G3267" i="178"/>
  <c r="D3267" i="178"/>
  <c r="G3266" i="178"/>
  <c r="D3266" i="178"/>
  <c r="G3265" i="178"/>
  <c r="D3265" i="178"/>
  <c r="G3264" i="178"/>
  <c r="D3264" i="178"/>
  <c r="G3263" i="178"/>
  <c r="D3263" i="178"/>
  <c r="G3262" i="178"/>
  <c r="D3262" i="178"/>
  <c r="G3261" i="178"/>
  <c r="D3261" i="178"/>
  <c r="G3260" i="178"/>
  <c r="D3260" i="178"/>
  <c r="G3259" i="178"/>
  <c r="D3259" i="178"/>
  <c r="G3258" i="178"/>
  <c r="D3258" i="178"/>
  <c r="G3257" i="178"/>
  <c r="D3257" i="178"/>
  <c r="G3256" i="178"/>
  <c r="D3256" i="178"/>
  <c r="G3255" i="178"/>
  <c r="D3255" i="178"/>
  <c r="G3254" i="178"/>
  <c r="D3254" i="178"/>
  <c r="G3253" i="178"/>
  <c r="D3253" i="178"/>
  <c r="G3252" i="178"/>
  <c r="D3252" i="178"/>
  <c r="G3251" i="178"/>
  <c r="D3251" i="178"/>
  <c r="G3250" i="178"/>
  <c r="D3250" i="178"/>
  <c r="G3249" i="178"/>
  <c r="D3249" i="178"/>
  <c r="G3248" i="178"/>
  <c r="D3248" i="178"/>
  <c r="G3247" i="178"/>
  <c r="D3247" i="178"/>
  <c r="G3246" i="178"/>
  <c r="D3246" i="178"/>
  <c r="G3245" i="178"/>
  <c r="D3245" i="178"/>
  <c r="G3244" i="178"/>
  <c r="D3244" i="178"/>
  <c r="G3243" i="178"/>
  <c r="D3243" i="178"/>
  <c r="G3242" i="178"/>
  <c r="D3242" i="178"/>
  <c r="G3241" i="178"/>
  <c r="D3241" i="178"/>
  <c r="G3240" i="178"/>
  <c r="D3240" i="178"/>
  <c r="G3239" i="178"/>
  <c r="D3239" i="178"/>
  <c r="G3238" i="178"/>
  <c r="D3238" i="178"/>
  <c r="G3237" i="178"/>
  <c r="D3237" i="178"/>
  <c r="G3236" i="178"/>
  <c r="D3236" i="178"/>
  <c r="G3235" i="178"/>
  <c r="D3235" i="178"/>
  <c r="G3234" i="178"/>
  <c r="D3234" i="178"/>
  <c r="G3233" i="178"/>
  <c r="D3233" i="178"/>
  <c r="G3232" i="178"/>
  <c r="D3232" i="178"/>
  <c r="G3231" i="178"/>
  <c r="D3231" i="178"/>
  <c r="G3230" i="178"/>
  <c r="D3230" i="178"/>
  <c r="G3229" i="178"/>
  <c r="D3229" i="178"/>
  <c r="G3228" i="178"/>
  <c r="D3228" i="178"/>
  <c r="G3227" i="178"/>
  <c r="D3227" i="178"/>
  <c r="G3226" i="178"/>
  <c r="D3226" i="178"/>
  <c r="G3225" i="178"/>
  <c r="D3225" i="178"/>
  <c r="G3224" i="178"/>
  <c r="D3224" i="178"/>
  <c r="G3223" i="178"/>
  <c r="D3223" i="178"/>
  <c r="G3222" i="178"/>
  <c r="D3222" i="178"/>
  <c r="G3221" i="178"/>
  <c r="D3221" i="178"/>
  <c r="G3220" i="178"/>
  <c r="D3220" i="178"/>
  <c r="G3219" i="178"/>
  <c r="D3219" i="178"/>
  <c r="G3218" i="178"/>
  <c r="D3218" i="178"/>
  <c r="G3217" i="178"/>
  <c r="D3217" i="178"/>
  <c r="G3216" i="178"/>
  <c r="D3216" i="178"/>
  <c r="G3215" i="178"/>
  <c r="D3215" i="178"/>
  <c r="G3214" i="178"/>
  <c r="D3214" i="178"/>
  <c r="G3213" i="178"/>
  <c r="D3213" i="178"/>
  <c r="G3212" i="178"/>
  <c r="D3212" i="178"/>
  <c r="G3211" i="178"/>
  <c r="D3211" i="178"/>
  <c r="G3210" i="178"/>
  <c r="D3210" i="178"/>
  <c r="G3209" i="178"/>
  <c r="D3209" i="178"/>
  <c r="G3208" i="178"/>
  <c r="D3208" i="178"/>
  <c r="G3207" i="178"/>
  <c r="D3207" i="178"/>
  <c r="G3206" i="178"/>
  <c r="D3206" i="178"/>
  <c r="G3205" i="178"/>
  <c r="D3205" i="178"/>
  <c r="G3204" i="178"/>
  <c r="D3204" i="178"/>
  <c r="G3203" i="178"/>
  <c r="D3203" i="178"/>
  <c r="G3202" i="178"/>
  <c r="D3202" i="178"/>
  <c r="G3201" i="178"/>
  <c r="D3201" i="178"/>
  <c r="G3200" i="178"/>
  <c r="D3200" i="178"/>
  <c r="G3199" i="178"/>
  <c r="D3199" i="178"/>
  <c r="G3198" i="178"/>
  <c r="D3198" i="178"/>
  <c r="G3197" i="178"/>
  <c r="D3197" i="178"/>
  <c r="G3196" i="178"/>
  <c r="D3196" i="178"/>
  <c r="G3195" i="178"/>
  <c r="D3195" i="178"/>
  <c r="G3194" i="178"/>
  <c r="D3194" i="178"/>
  <c r="G3193" i="178"/>
  <c r="D3193" i="178"/>
  <c r="G3192" i="178"/>
  <c r="D3192" i="178"/>
  <c r="G3191" i="178"/>
  <c r="D3191" i="178"/>
  <c r="G3190" i="178"/>
  <c r="D3190" i="178"/>
  <c r="G3189" i="178"/>
  <c r="D3189" i="178"/>
  <c r="G3188" i="178"/>
  <c r="D3188" i="178"/>
  <c r="G3187" i="178"/>
  <c r="D3187" i="178"/>
  <c r="G3186" i="178"/>
  <c r="D3186" i="178"/>
  <c r="G3185" i="178"/>
  <c r="D3185" i="178"/>
  <c r="G3184" i="178"/>
  <c r="D3184" i="178"/>
  <c r="G3183" i="178"/>
  <c r="D3183" i="178"/>
  <c r="G3182" i="178"/>
  <c r="D3182" i="178"/>
  <c r="G3181" i="178"/>
  <c r="D3181" i="178"/>
  <c r="G3180" i="178"/>
  <c r="D3180" i="178"/>
  <c r="G3179" i="178"/>
  <c r="D3179" i="178"/>
  <c r="G3178" i="178"/>
  <c r="D3178" i="178"/>
  <c r="G3177" i="178"/>
  <c r="D3177" i="178"/>
  <c r="G3176" i="178"/>
  <c r="D3176" i="178"/>
  <c r="G3175" i="178"/>
  <c r="D3175" i="178"/>
  <c r="G3174" i="178"/>
  <c r="D3174" i="178"/>
  <c r="G3173" i="178"/>
  <c r="D3173" i="178"/>
  <c r="G3172" i="178"/>
  <c r="D3172" i="178"/>
  <c r="G3171" i="178"/>
  <c r="D3171" i="178"/>
  <c r="G3170" i="178"/>
  <c r="D3170" i="178"/>
  <c r="G3169" i="178"/>
  <c r="D3169" i="178"/>
  <c r="G3168" i="178"/>
  <c r="D3168" i="178"/>
  <c r="G3167" i="178"/>
  <c r="D3167" i="178"/>
  <c r="G3166" i="178"/>
  <c r="D3166" i="178"/>
  <c r="G3165" i="178"/>
  <c r="D3165" i="178"/>
  <c r="G3164" i="178"/>
  <c r="D3164" i="178"/>
  <c r="G3163" i="178"/>
  <c r="D3163" i="178"/>
  <c r="G3162" i="178"/>
  <c r="D3162" i="178"/>
  <c r="G3161" i="178"/>
  <c r="D3161" i="178"/>
  <c r="G3160" i="178"/>
  <c r="D3160" i="178"/>
  <c r="G3159" i="178"/>
  <c r="D3159" i="178"/>
  <c r="G3158" i="178"/>
  <c r="D3158" i="178"/>
  <c r="G3157" i="178"/>
  <c r="D3157" i="178"/>
  <c r="G3156" i="178"/>
  <c r="D3156" i="178"/>
  <c r="G3155" i="178"/>
  <c r="D3155" i="178"/>
  <c r="G3154" i="178"/>
  <c r="D3154" i="178"/>
  <c r="G3153" i="178"/>
  <c r="D3153" i="178"/>
  <c r="G3152" i="178"/>
  <c r="D3152" i="178"/>
  <c r="G3151" i="178"/>
  <c r="D3151" i="178"/>
  <c r="G3150" i="178"/>
  <c r="D3150" i="178"/>
  <c r="G3149" i="178"/>
  <c r="D3149" i="178"/>
  <c r="G3148" i="178"/>
  <c r="D3148" i="178"/>
  <c r="G3147" i="178"/>
  <c r="D3147" i="178"/>
  <c r="G3146" i="178"/>
  <c r="D3146" i="178"/>
  <c r="G3145" i="178"/>
  <c r="D3145" i="178"/>
  <c r="G3144" i="178"/>
  <c r="D3144" i="178"/>
  <c r="G3143" i="178"/>
  <c r="D3143" i="178"/>
  <c r="G3142" i="178"/>
  <c r="D3142" i="178"/>
  <c r="G3141" i="178"/>
  <c r="D3141" i="178"/>
  <c r="G3140" i="178"/>
  <c r="D3140" i="178"/>
  <c r="G3139" i="178"/>
  <c r="D3139" i="178"/>
  <c r="G3138" i="178"/>
  <c r="D3138" i="178"/>
  <c r="G3137" i="178"/>
  <c r="D3137" i="178"/>
  <c r="G3136" i="178"/>
  <c r="D3136" i="178"/>
  <c r="G3135" i="178"/>
  <c r="D3135" i="178"/>
  <c r="G3134" i="178"/>
  <c r="D3134" i="178"/>
  <c r="G3133" i="178"/>
  <c r="D3133" i="178"/>
  <c r="G3132" i="178"/>
  <c r="D3132" i="178"/>
  <c r="G3131" i="178"/>
  <c r="D3131" i="178"/>
  <c r="G3130" i="178"/>
  <c r="D3130" i="178"/>
  <c r="G3129" i="178"/>
  <c r="D3129" i="178"/>
  <c r="G3128" i="178"/>
  <c r="D3128" i="178"/>
  <c r="G3127" i="178"/>
  <c r="D3127" i="178"/>
  <c r="G3126" i="178"/>
  <c r="D3126" i="178"/>
  <c r="G3125" i="178"/>
  <c r="D3125" i="178"/>
  <c r="G3124" i="178"/>
  <c r="D3124" i="178"/>
  <c r="G3123" i="178"/>
  <c r="D3123" i="178"/>
  <c r="G3122" i="178"/>
  <c r="D3122" i="178"/>
  <c r="G3121" i="178"/>
  <c r="D3121" i="178"/>
  <c r="G3120" i="178"/>
  <c r="D3120" i="178"/>
  <c r="G3119" i="178"/>
  <c r="D3119" i="178"/>
  <c r="G3118" i="178"/>
  <c r="D3118" i="178"/>
  <c r="G3117" i="178"/>
  <c r="D3117" i="178"/>
  <c r="G3116" i="178"/>
  <c r="D3116" i="178"/>
  <c r="G3115" i="178"/>
  <c r="D3115" i="178"/>
  <c r="G3114" i="178"/>
  <c r="D3114" i="178"/>
  <c r="G3113" i="178"/>
  <c r="D3113" i="178"/>
  <c r="G3112" i="178"/>
  <c r="D3112" i="178"/>
  <c r="G3111" i="178"/>
  <c r="D3111" i="178"/>
  <c r="G3110" i="178"/>
  <c r="D3110" i="178"/>
  <c r="G3109" i="178"/>
  <c r="D3109" i="178"/>
  <c r="G3108" i="178"/>
  <c r="D3108" i="178"/>
  <c r="G3107" i="178"/>
  <c r="D3107" i="178"/>
  <c r="G3106" i="178"/>
  <c r="D3106" i="178"/>
  <c r="G3105" i="178"/>
  <c r="D3105" i="178"/>
  <c r="G3104" i="178"/>
  <c r="D3104" i="178"/>
  <c r="G3103" i="178"/>
  <c r="D3103" i="178"/>
  <c r="G3102" i="178"/>
  <c r="D3102" i="178"/>
  <c r="G3101" i="178"/>
  <c r="D3101" i="178"/>
  <c r="G3100" i="178"/>
  <c r="D3100" i="178"/>
  <c r="G3099" i="178"/>
  <c r="D3099" i="178"/>
  <c r="G3098" i="178"/>
  <c r="D3098" i="178"/>
  <c r="G3097" i="178"/>
  <c r="D3097" i="178"/>
  <c r="G3096" i="178"/>
  <c r="D3096" i="178"/>
  <c r="G3095" i="178"/>
  <c r="D3095" i="178"/>
  <c r="G3094" i="178"/>
  <c r="D3094" i="178"/>
  <c r="G3093" i="178"/>
  <c r="D3093" i="178"/>
  <c r="G3092" i="178"/>
  <c r="D3092" i="178"/>
  <c r="G3091" i="178"/>
  <c r="D3091" i="178"/>
  <c r="G3090" i="178"/>
  <c r="D3090" i="178"/>
  <c r="G3089" i="178"/>
  <c r="D3089" i="178"/>
  <c r="G3088" i="178"/>
  <c r="D3088" i="178"/>
  <c r="G3087" i="178"/>
  <c r="D3087" i="178"/>
  <c r="G3086" i="178"/>
  <c r="D3086" i="178"/>
  <c r="G3085" i="178"/>
  <c r="D3085" i="178"/>
  <c r="G3084" i="178"/>
  <c r="D3084" i="178"/>
  <c r="G3083" i="178"/>
  <c r="D3083" i="178"/>
  <c r="G3082" i="178"/>
  <c r="D3082" i="178"/>
  <c r="G3081" i="178"/>
  <c r="D3081" i="178"/>
  <c r="G3080" i="178"/>
  <c r="D3080" i="178"/>
  <c r="G3079" i="178"/>
  <c r="D3079" i="178"/>
  <c r="G3078" i="178"/>
  <c r="D3078" i="178"/>
  <c r="G3077" i="178"/>
  <c r="D3077" i="178"/>
  <c r="G3076" i="178"/>
  <c r="D3076" i="178"/>
  <c r="G3075" i="178"/>
  <c r="D3075" i="178"/>
  <c r="G3074" i="178"/>
  <c r="D3074" i="178"/>
  <c r="G3073" i="178"/>
  <c r="D3073" i="178"/>
  <c r="G3072" i="178"/>
  <c r="D3072" i="178"/>
  <c r="G3071" i="178"/>
  <c r="D3071" i="178"/>
  <c r="G3070" i="178"/>
  <c r="D3070" i="178"/>
  <c r="G3069" i="178"/>
  <c r="D3069" i="178"/>
  <c r="G3068" i="178"/>
  <c r="D3068" i="178"/>
  <c r="G3067" i="178"/>
  <c r="D3067" i="178"/>
  <c r="G3066" i="178"/>
  <c r="D3066" i="178"/>
  <c r="G3065" i="178"/>
  <c r="D3065" i="178"/>
  <c r="G3064" i="178"/>
  <c r="D3064" i="178"/>
  <c r="G3063" i="178"/>
  <c r="D3063" i="178"/>
  <c r="G3062" i="178"/>
  <c r="D3062" i="178"/>
  <c r="G3061" i="178"/>
  <c r="D3061" i="178"/>
  <c r="G3060" i="178"/>
  <c r="D3060" i="178"/>
  <c r="G3059" i="178"/>
  <c r="D3059" i="178"/>
  <c r="G3058" i="178"/>
  <c r="D3058" i="178"/>
  <c r="G3057" i="178"/>
  <c r="D3057" i="178"/>
  <c r="G3056" i="178"/>
  <c r="D3056" i="178"/>
  <c r="G3055" i="178"/>
  <c r="D3055" i="178"/>
  <c r="G3054" i="178"/>
  <c r="D3054" i="178"/>
  <c r="G3053" i="178"/>
  <c r="D3053" i="178"/>
  <c r="G3052" i="178"/>
  <c r="D3052" i="178"/>
  <c r="G3051" i="178"/>
  <c r="D3051" i="178"/>
  <c r="G3050" i="178"/>
  <c r="D3050" i="178"/>
  <c r="G3049" i="178"/>
  <c r="D3049" i="178"/>
  <c r="G3048" i="178"/>
  <c r="D3048" i="178"/>
  <c r="G3047" i="178"/>
  <c r="D3047" i="178"/>
  <c r="G3046" i="178"/>
  <c r="D3046" i="178"/>
  <c r="G3045" i="178"/>
  <c r="D3045" i="178"/>
  <c r="G3044" i="178"/>
  <c r="D3044" i="178"/>
  <c r="G3043" i="178"/>
  <c r="D3043" i="178"/>
  <c r="G3042" i="178"/>
  <c r="D3042" i="178"/>
  <c r="G3041" i="178"/>
  <c r="D3041" i="178"/>
  <c r="G3040" i="178"/>
  <c r="D3040" i="178"/>
  <c r="G3039" i="178"/>
  <c r="D3039" i="178"/>
  <c r="G3038" i="178"/>
  <c r="D3038" i="178"/>
  <c r="G3037" i="178"/>
  <c r="D3037" i="178"/>
  <c r="G3036" i="178"/>
  <c r="D3036" i="178"/>
  <c r="G3035" i="178"/>
  <c r="D3035" i="178"/>
  <c r="G3034" i="178"/>
  <c r="D3034" i="178"/>
  <c r="G3033" i="178"/>
  <c r="D3033" i="178"/>
  <c r="G3032" i="178"/>
  <c r="D3032" i="178"/>
  <c r="G3031" i="178"/>
  <c r="D3031" i="178"/>
  <c r="G3030" i="178"/>
  <c r="D3030" i="178"/>
  <c r="G3029" i="178"/>
  <c r="D3029" i="178"/>
  <c r="G3028" i="178"/>
  <c r="D3028" i="178"/>
  <c r="G3027" i="178"/>
  <c r="D3027" i="178"/>
  <c r="G3026" i="178"/>
  <c r="D3026" i="178"/>
  <c r="G3025" i="178"/>
  <c r="D3025" i="178"/>
  <c r="G3024" i="178"/>
  <c r="D3024" i="178"/>
  <c r="G3023" i="178"/>
  <c r="D3023" i="178"/>
  <c r="G3022" i="178"/>
  <c r="D3022" i="178"/>
  <c r="G3021" i="178"/>
  <c r="D3021" i="178"/>
  <c r="G3020" i="178"/>
  <c r="D3020" i="178"/>
  <c r="G3019" i="178"/>
  <c r="D3019" i="178"/>
  <c r="G3018" i="178"/>
  <c r="D3018" i="178"/>
  <c r="G3017" i="178"/>
  <c r="D3017" i="178"/>
  <c r="G3016" i="178"/>
  <c r="D3016" i="178"/>
  <c r="G3015" i="178"/>
  <c r="D3015" i="178"/>
  <c r="G3014" i="178"/>
  <c r="D3014" i="178"/>
  <c r="G3013" i="178"/>
  <c r="D3013" i="178"/>
  <c r="G3012" i="178"/>
  <c r="D3012" i="178"/>
  <c r="G3011" i="178"/>
  <c r="D3011" i="178"/>
  <c r="G3010" i="178"/>
  <c r="D3010" i="178"/>
  <c r="G3009" i="178"/>
  <c r="D3009" i="178"/>
  <c r="G3008" i="178"/>
  <c r="D3008" i="178"/>
  <c r="G3007" i="178"/>
  <c r="D3007" i="178"/>
  <c r="G3006" i="178"/>
  <c r="D3006" i="178"/>
  <c r="G3005" i="178"/>
  <c r="D3005" i="178"/>
  <c r="G3004" i="178"/>
  <c r="D3004" i="178"/>
  <c r="G3003" i="178"/>
  <c r="D3003" i="178"/>
  <c r="G3002" i="178"/>
  <c r="D3002" i="178"/>
  <c r="G3001" i="178"/>
  <c r="D3001" i="178"/>
  <c r="G3000" i="178"/>
  <c r="D3000" i="178"/>
  <c r="G2999" i="178"/>
  <c r="D2999" i="178"/>
  <c r="G2998" i="178"/>
  <c r="D2998" i="178"/>
  <c r="G2997" i="178"/>
  <c r="D2997" i="178"/>
  <c r="G2996" i="178"/>
  <c r="D2996" i="178"/>
  <c r="G2995" i="178"/>
  <c r="D2995" i="178"/>
  <c r="G2994" i="178"/>
  <c r="D2994" i="178"/>
  <c r="G2993" i="178"/>
  <c r="D2993" i="178"/>
  <c r="G2992" i="178"/>
  <c r="D2992" i="178"/>
  <c r="G2991" i="178"/>
  <c r="D2991" i="178"/>
  <c r="G2990" i="178"/>
  <c r="D2990" i="178"/>
  <c r="G2989" i="178"/>
  <c r="D2989" i="178"/>
  <c r="G2988" i="178"/>
  <c r="D2988" i="178"/>
  <c r="G2987" i="178"/>
  <c r="D2987" i="178"/>
  <c r="G2986" i="178"/>
  <c r="D2986" i="178"/>
  <c r="G2985" i="178"/>
  <c r="D2985" i="178"/>
  <c r="G2984" i="178"/>
  <c r="D2984" i="178"/>
  <c r="G2983" i="178"/>
  <c r="D2983" i="178"/>
  <c r="G2982" i="178"/>
  <c r="D2982" i="178"/>
  <c r="G2981" i="178"/>
  <c r="D2981" i="178"/>
  <c r="G2980" i="178"/>
  <c r="D2980" i="178"/>
  <c r="G2979" i="178"/>
  <c r="D2979" i="178"/>
  <c r="G2978" i="178"/>
  <c r="D2978" i="178"/>
  <c r="G2977" i="178"/>
  <c r="D2977" i="178"/>
  <c r="G2976" i="178"/>
  <c r="D2976" i="178"/>
  <c r="G2975" i="178"/>
  <c r="D2975" i="178"/>
  <c r="G2974" i="178"/>
  <c r="D2974" i="178"/>
  <c r="G2973" i="178"/>
  <c r="D2973" i="178"/>
  <c r="G2972" i="178"/>
  <c r="D2972" i="178"/>
  <c r="G2971" i="178"/>
  <c r="D2971" i="178"/>
  <c r="G2970" i="178"/>
  <c r="D2970" i="178"/>
  <c r="G2969" i="178"/>
  <c r="D2969" i="178"/>
  <c r="G2968" i="178"/>
  <c r="D2968" i="178"/>
  <c r="G2967" i="178"/>
  <c r="D2967" i="178"/>
  <c r="G2966" i="178"/>
  <c r="D2966" i="178"/>
  <c r="G2965" i="178"/>
  <c r="D2965" i="178"/>
  <c r="G2964" i="178"/>
  <c r="D2964" i="178"/>
  <c r="G2963" i="178"/>
  <c r="D2963" i="178"/>
  <c r="G2962" i="178"/>
  <c r="D2962" i="178"/>
  <c r="G2961" i="178"/>
  <c r="D2961" i="178"/>
  <c r="G2960" i="178"/>
  <c r="D2960" i="178"/>
  <c r="G2959" i="178"/>
  <c r="D2959" i="178"/>
  <c r="G2958" i="178"/>
  <c r="D2958" i="178"/>
  <c r="G2957" i="178"/>
  <c r="D2957" i="178"/>
  <c r="G2956" i="178"/>
  <c r="D2956" i="178"/>
  <c r="G2955" i="178"/>
  <c r="D2955" i="178"/>
  <c r="G2954" i="178"/>
  <c r="D2954" i="178"/>
  <c r="G2953" i="178"/>
  <c r="D2953" i="178"/>
  <c r="G2952" i="178"/>
  <c r="D2952" i="178"/>
  <c r="G2951" i="178"/>
  <c r="D2951" i="178"/>
  <c r="G2950" i="178"/>
  <c r="D2950" i="178"/>
  <c r="G2949" i="178"/>
  <c r="D2949" i="178"/>
  <c r="G2948" i="178"/>
  <c r="D2948" i="178"/>
  <c r="G2947" i="178"/>
  <c r="D2947" i="178"/>
  <c r="G2946" i="178"/>
  <c r="D2946" i="178"/>
  <c r="G2945" i="178"/>
  <c r="D2945" i="178"/>
  <c r="G2944" i="178"/>
  <c r="D2944" i="178"/>
  <c r="G2943" i="178"/>
  <c r="D2943" i="178"/>
  <c r="G2942" i="178"/>
  <c r="D2942" i="178"/>
  <c r="G2941" i="178"/>
  <c r="D2941" i="178"/>
  <c r="G2940" i="178"/>
  <c r="D2940" i="178"/>
  <c r="G2939" i="178"/>
  <c r="D2939" i="178"/>
  <c r="G2938" i="178"/>
  <c r="D2938" i="178"/>
  <c r="G2937" i="178"/>
  <c r="D2937" i="178"/>
  <c r="G2936" i="178"/>
  <c r="D2936" i="178"/>
  <c r="G2935" i="178"/>
  <c r="D2935" i="178"/>
  <c r="G2934" i="178"/>
  <c r="D2934" i="178"/>
  <c r="G2933" i="178"/>
  <c r="D2933" i="178"/>
  <c r="G2932" i="178"/>
  <c r="D2932" i="178"/>
  <c r="G2931" i="178"/>
  <c r="D2931" i="178"/>
  <c r="G2930" i="178"/>
  <c r="D2930" i="178"/>
  <c r="G2929" i="178"/>
  <c r="D2929" i="178"/>
  <c r="G2928" i="178"/>
  <c r="D2928" i="178"/>
  <c r="G2927" i="178"/>
  <c r="D2927" i="178"/>
  <c r="G2926" i="178"/>
  <c r="D2926" i="178"/>
  <c r="G2925" i="178"/>
  <c r="D2925" i="178"/>
  <c r="G2924" i="178"/>
  <c r="D2924" i="178"/>
  <c r="G2923" i="178"/>
  <c r="D2923" i="178"/>
  <c r="G2922" i="178"/>
  <c r="D2922" i="178"/>
  <c r="G2921" i="178"/>
  <c r="D2921" i="178"/>
  <c r="G2920" i="178"/>
  <c r="D2920" i="178"/>
  <c r="G2919" i="178"/>
  <c r="D2919" i="178"/>
  <c r="G2918" i="178"/>
  <c r="D2918" i="178"/>
  <c r="G2917" i="178"/>
  <c r="D2917" i="178"/>
  <c r="G2916" i="178"/>
  <c r="D2916" i="178"/>
  <c r="G2915" i="178"/>
  <c r="D2915" i="178"/>
  <c r="G2914" i="178"/>
  <c r="D2914" i="178"/>
  <c r="G2913" i="178"/>
  <c r="D2913" i="178"/>
  <c r="G2912" i="178"/>
  <c r="D2912" i="178"/>
  <c r="G2911" i="178"/>
  <c r="D2911" i="178"/>
  <c r="G2910" i="178"/>
  <c r="D2910" i="178"/>
  <c r="G2909" i="178"/>
  <c r="D2909" i="178"/>
  <c r="G2908" i="178"/>
  <c r="D2908" i="178"/>
  <c r="G2907" i="178"/>
  <c r="D2907" i="178"/>
  <c r="G2906" i="178"/>
  <c r="D2906" i="178"/>
  <c r="G2905" i="178"/>
  <c r="D2905" i="178"/>
  <c r="G2904" i="178"/>
  <c r="D2904" i="178"/>
  <c r="G2903" i="178"/>
  <c r="D2903" i="178"/>
  <c r="G2902" i="178"/>
  <c r="D2902" i="178"/>
  <c r="G2901" i="178"/>
  <c r="D2901" i="178"/>
  <c r="G2900" i="178"/>
  <c r="D2900" i="178"/>
  <c r="G2899" i="178"/>
  <c r="D2899" i="178"/>
  <c r="G2898" i="178"/>
  <c r="D2898" i="178"/>
  <c r="G2897" i="178"/>
  <c r="D2897" i="178"/>
  <c r="G2896" i="178"/>
  <c r="D2896" i="178"/>
  <c r="G2895" i="178"/>
  <c r="D2895" i="178"/>
  <c r="G2894" i="178"/>
  <c r="D2894" i="178"/>
  <c r="G2893" i="178"/>
  <c r="D2893" i="178"/>
  <c r="G2892" i="178"/>
  <c r="D2892" i="178"/>
  <c r="G2891" i="178"/>
  <c r="D2891" i="178"/>
  <c r="G2890" i="178"/>
  <c r="D2890" i="178"/>
  <c r="G2889" i="178"/>
  <c r="D2889" i="178"/>
  <c r="G2888" i="178"/>
  <c r="D2888" i="178"/>
  <c r="G2887" i="178"/>
  <c r="D2887" i="178"/>
  <c r="G2886" i="178"/>
  <c r="D2886" i="178"/>
  <c r="G2885" i="178"/>
  <c r="D2885" i="178"/>
  <c r="G2884" i="178"/>
  <c r="D2884" i="178"/>
  <c r="G2883" i="178"/>
  <c r="D2883" i="178"/>
  <c r="G2882" i="178"/>
  <c r="D2882" i="178"/>
  <c r="G2881" i="178"/>
  <c r="D2881" i="178"/>
  <c r="G2880" i="178"/>
  <c r="D2880" i="178"/>
  <c r="G2879" i="178"/>
  <c r="D2879" i="178"/>
  <c r="G2878" i="178"/>
  <c r="D2878" i="178"/>
  <c r="G2877" i="178"/>
  <c r="D2877" i="178"/>
  <c r="G2876" i="178"/>
  <c r="D2876" i="178"/>
  <c r="G2875" i="178"/>
  <c r="D2875" i="178"/>
  <c r="G2874" i="178"/>
  <c r="D2874" i="178"/>
  <c r="G2873" i="178"/>
  <c r="D2873" i="178"/>
  <c r="G2872" i="178"/>
  <c r="D2872" i="178"/>
  <c r="G2871" i="178"/>
  <c r="D2871" i="178"/>
  <c r="G2870" i="178"/>
  <c r="D2870" i="178"/>
  <c r="G2869" i="178"/>
  <c r="D2869" i="178"/>
  <c r="G2868" i="178"/>
  <c r="D2868" i="178"/>
  <c r="G2867" i="178"/>
  <c r="D2867" i="178"/>
  <c r="G2866" i="178"/>
  <c r="D2866" i="178"/>
  <c r="G2865" i="178"/>
  <c r="D2865" i="178"/>
  <c r="G2864" i="178"/>
  <c r="D2864" i="178"/>
  <c r="G2863" i="178"/>
  <c r="D2863" i="178"/>
  <c r="G2862" i="178"/>
  <c r="D2862" i="178"/>
  <c r="G2861" i="178"/>
  <c r="D2861" i="178"/>
  <c r="G2860" i="178"/>
  <c r="D2860" i="178"/>
  <c r="G2859" i="178"/>
  <c r="D2859" i="178"/>
  <c r="G2858" i="178"/>
  <c r="D2858" i="178"/>
  <c r="G2857" i="178"/>
  <c r="D2857" i="178"/>
  <c r="G2856" i="178"/>
  <c r="D2856" i="178"/>
  <c r="G2855" i="178"/>
  <c r="D2855" i="178"/>
  <c r="G2854" i="178"/>
  <c r="D2854" i="178"/>
  <c r="G2853" i="178"/>
  <c r="D2853" i="178"/>
  <c r="G2852" i="178"/>
  <c r="D2852" i="178"/>
  <c r="G2851" i="178"/>
  <c r="D2851" i="178"/>
  <c r="G2850" i="178"/>
  <c r="D2850" i="178"/>
  <c r="G2849" i="178"/>
  <c r="D2849" i="178"/>
  <c r="G2848" i="178"/>
  <c r="D2848" i="178"/>
  <c r="G2847" i="178"/>
  <c r="D2847" i="178"/>
  <c r="G2846" i="178"/>
  <c r="D2846" i="178"/>
  <c r="G2845" i="178"/>
  <c r="D2845" i="178"/>
  <c r="G2844" i="178"/>
  <c r="D2844" i="178"/>
  <c r="G2843" i="178"/>
  <c r="D2843" i="178"/>
  <c r="G2842" i="178"/>
  <c r="D2842" i="178"/>
  <c r="G2841" i="178"/>
  <c r="D2841" i="178"/>
  <c r="G2840" i="178"/>
  <c r="D2840" i="178"/>
  <c r="G2839" i="178"/>
  <c r="D2839" i="178"/>
  <c r="G2838" i="178"/>
  <c r="D2838" i="178"/>
  <c r="G2837" i="178"/>
  <c r="D2837" i="178"/>
  <c r="G2836" i="178"/>
  <c r="D2836" i="178"/>
  <c r="G2835" i="178"/>
  <c r="D2835" i="178"/>
  <c r="G2834" i="178"/>
  <c r="D2834" i="178"/>
  <c r="G2833" i="178"/>
  <c r="D2833" i="178"/>
  <c r="G2832" i="178"/>
  <c r="D2832" i="178"/>
  <c r="G2831" i="178"/>
  <c r="D2831" i="178"/>
  <c r="G2830" i="178"/>
  <c r="D2830" i="178"/>
  <c r="G2829" i="178"/>
  <c r="D2829" i="178"/>
  <c r="G2828" i="178"/>
  <c r="D2828" i="178"/>
  <c r="G2827" i="178"/>
  <c r="D2827" i="178"/>
  <c r="G2826" i="178"/>
  <c r="D2826" i="178"/>
  <c r="G2825" i="178"/>
  <c r="D2825" i="178"/>
  <c r="G2824" i="178"/>
  <c r="D2824" i="178"/>
  <c r="G2823" i="178"/>
  <c r="D2823" i="178"/>
  <c r="G2822" i="178"/>
  <c r="D2822" i="178"/>
  <c r="G2821" i="178"/>
  <c r="D2821" i="178"/>
  <c r="G2820" i="178"/>
  <c r="D2820" i="178"/>
  <c r="G2819" i="178"/>
  <c r="D2819" i="178"/>
  <c r="G2818" i="178"/>
  <c r="D2818" i="178"/>
  <c r="G2817" i="178"/>
  <c r="D2817" i="178"/>
  <c r="G2816" i="178"/>
  <c r="D2816" i="178"/>
  <c r="G2815" i="178"/>
  <c r="D2815" i="178"/>
  <c r="G2814" i="178"/>
  <c r="D2814" i="178"/>
  <c r="G2813" i="178"/>
  <c r="D2813" i="178"/>
  <c r="G2812" i="178"/>
  <c r="D2812" i="178"/>
  <c r="G2811" i="178"/>
  <c r="D2811" i="178"/>
  <c r="G2810" i="178"/>
  <c r="D2810" i="178"/>
  <c r="G2809" i="178"/>
  <c r="D2809" i="178"/>
  <c r="G2808" i="178"/>
  <c r="D2808" i="178"/>
  <c r="G2807" i="178"/>
  <c r="D2807" i="178"/>
  <c r="G2806" i="178"/>
  <c r="D2806" i="178"/>
  <c r="G2805" i="178"/>
  <c r="D2805" i="178"/>
  <c r="G2804" i="178"/>
  <c r="D2804" i="178"/>
  <c r="G2803" i="178"/>
  <c r="D2803" i="178"/>
  <c r="G2802" i="178"/>
  <c r="D2802" i="178"/>
  <c r="G2801" i="178"/>
  <c r="D2801" i="178"/>
  <c r="G2800" i="178"/>
  <c r="D2800" i="178"/>
  <c r="G2799" i="178"/>
  <c r="D2799" i="178"/>
  <c r="G2798" i="178"/>
  <c r="D2798" i="178"/>
  <c r="G2797" i="178"/>
  <c r="D2797" i="178"/>
  <c r="G2796" i="178"/>
  <c r="D2796" i="178"/>
  <c r="G2795" i="178"/>
  <c r="D2795" i="178"/>
  <c r="G2794" i="178"/>
  <c r="D2794" i="178"/>
  <c r="G2793" i="178"/>
  <c r="D2793" i="178"/>
  <c r="G2792" i="178"/>
  <c r="D2792" i="178"/>
  <c r="G2791" i="178"/>
  <c r="D2791" i="178"/>
  <c r="G2790" i="178"/>
  <c r="D2790" i="178"/>
  <c r="G2789" i="178"/>
  <c r="D2789" i="178"/>
  <c r="G2788" i="178"/>
  <c r="D2788" i="178"/>
  <c r="G2787" i="178"/>
  <c r="D2787" i="178"/>
  <c r="G2786" i="178"/>
  <c r="D2786" i="178"/>
  <c r="G2785" i="178"/>
  <c r="D2785" i="178"/>
  <c r="G2784" i="178"/>
  <c r="D2784" i="178"/>
  <c r="G2783" i="178"/>
  <c r="D2783" i="178"/>
  <c r="G2782" i="178"/>
  <c r="D2782" i="178"/>
  <c r="G2781" i="178"/>
  <c r="D2781" i="178"/>
  <c r="G2780" i="178"/>
  <c r="D2780" i="178"/>
  <c r="G2779" i="178"/>
  <c r="D2779" i="178"/>
  <c r="G2778" i="178"/>
  <c r="D2778" i="178"/>
  <c r="G2777" i="178"/>
  <c r="D2777" i="178"/>
  <c r="G2776" i="178"/>
  <c r="D2776" i="178"/>
  <c r="G2775" i="178"/>
  <c r="D2775" i="178"/>
  <c r="G2774" i="178"/>
  <c r="D2774" i="178"/>
  <c r="G2773" i="178"/>
  <c r="D2773" i="178"/>
  <c r="G2772" i="178"/>
  <c r="D2772" i="178"/>
  <c r="G2771" i="178"/>
  <c r="D2771" i="178"/>
  <c r="G2770" i="178"/>
  <c r="D2770" i="178"/>
  <c r="G2769" i="178"/>
  <c r="D2769" i="178"/>
  <c r="G2768" i="178"/>
  <c r="D2768" i="178"/>
  <c r="G2767" i="178"/>
  <c r="D2767" i="178"/>
  <c r="G2766" i="178"/>
  <c r="D2766" i="178"/>
  <c r="G2765" i="178"/>
  <c r="D2765" i="178"/>
  <c r="G2764" i="178"/>
  <c r="D2764" i="178"/>
  <c r="G2763" i="178"/>
  <c r="D2763" i="178"/>
  <c r="G2762" i="178"/>
  <c r="D2762" i="178"/>
  <c r="G2761" i="178"/>
  <c r="D2761" i="178"/>
  <c r="G2760" i="178"/>
  <c r="D2760" i="178"/>
  <c r="G2759" i="178"/>
  <c r="D2759" i="178"/>
  <c r="G2758" i="178"/>
  <c r="D2758" i="178"/>
  <c r="G2757" i="178"/>
  <c r="D2757" i="178"/>
  <c r="G2756" i="178"/>
  <c r="D2756" i="178"/>
  <c r="G2755" i="178"/>
  <c r="D2755" i="178"/>
  <c r="G2754" i="178"/>
  <c r="D2754" i="178"/>
  <c r="G2753" i="178"/>
  <c r="D2753" i="178"/>
  <c r="G2752" i="178"/>
  <c r="D2752" i="178"/>
  <c r="G2751" i="178"/>
  <c r="D2751" i="178"/>
  <c r="G2750" i="178"/>
  <c r="D2750" i="178"/>
  <c r="G2749" i="178"/>
  <c r="D2749" i="178"/>
  <c r="G2748" i="178"/>
  <c r="D2748" i="178"/>
  <c r="G2747" i="178"/>
  <c r="D2747" i="178"/>
  <c r="G2746" i="178"/>
  <c r="D2746" i="178"/>
  <c r="G2745" i="178"/>
  <c r="D2745" i="178"/>
  <c r="G2744" i="178"/>
  <c r="D2744" i="178"/>
  <c r="G2743" i="178"/>
  <c r="D2743" i="178"/>
  <c r="G2742" i="178"/>
  <c r="D2742" i="178"/>
  <c r="G2741" i="178"/>
  <c r="D2741" i="178"/>
  <c r="G2740" i="178"/>
  <c r="D2740" i="178"/>
  <c r="G2739" i="178"/>
  <c r="D2739" i="178"/>
  <c r="G2738" i="178"/>
  <c r="D2738" i="178"/>
  <c r="G2737" i="178"/>
  <c r="D2737" i="178"/>
  <c r="G2736" i="178"/>
  <c r="D2736" i="178"/>
  <c r="G2735" i="178"/>
  <c r="D2735" i="178"/>
  <c r="G2734" i="178"/>
  <c r="D2734" i="178"/>
  <c r="G2733" i="178"/>
  <c r="D2733" i="178"/>
  <c r="G2732" i="178"/>
  <c r="D2732" i="178"/>
  <c r="G2731" i="178"/>
  <c r="D2731" i="178"/>
  <c r="G2730" i="178"/>
  <c r="D2730" i="178"/>
  <c r="G2729" i="178"/>
  <c r="D2729" i="178"/>
  <c r="G2728" i="178"/>
  <c r="D2728" i="178"/>
  <c r="G2727" i="178"/>
  <c r="D2727" i="178"/>
  <c r="G2726" i="178"/>
  <c r="D2726" i="178"/>
  <c r="G2725" i="178"/>
  <c r="D2725" i="178"/>
  <c r="G2724" i="178"/>
  <c r="D2724" i="178"/>
  <c r="G2723" i="178"/>
  <c r="D2723" i="178"/>
  <c r="G2722" i="178"/>
  <c r="D2722" i="178"/>
  <c r="G2721" i="178"/>
  <c r="D2721" i="178"/>
  <c r="G2720" i="178"/>
  <c r="D2720" i="178"/>
  <c r="G2719" i="178"/>
  <c r="D2719" i="178"/>
  <c r="G2718" i="178"/>
  <c r="D2718" i="178"/>
  <c r="G2717" i="178"/>
  <c r="D2717" i="178"/>
  <c r="G2716" i="178"/>
  <c r="D2716" i="178"/>
  <c r="G2715" i="178"/>
  <c r="D2715" i="178"/>
  <c r="G2714" i="178"/>
  <c r="D2714" i="178"/>
  <c r="G2713" i="178"/>
  <c r="D2713" i="178"/>
  <c r="G2712" i="178"/>
  <c r="D2712" i="178"/>
  <c r="G2711" i="178"/>
  <c r="D2711" i="178"/>
  <c r="G2710" i="178"/>
  <c r="D2710" i="178"/>
  <c r="G2709" i="178"/>
  <c r="D2709" i="178"/>
  <c r="G2708" i="178"/>
  <c r="D2708" i="178"/>
  <c r="G2707" i="178"/>
  <c r="D2707" i="178"/>
  <c r="G2706" i="178"/>
  <c r="D2706" i="178"/>
  <c r="G2705" i="178"/>
  <c r="D2705" i="178"/>
  <c r="G2704" i="178"/>
  <c r="D2704" i="178"/>
  <c r="G2703" i="178"/>
  <c r="D2703" i="178"/>
  <c r="G2702" i="178"/>
  <c r="D2702" i="178"/>
  <c r="G2701" i="178"/>
  <c r="D2701" i="178"/>
  <c r="G2700" i="178"/>
  <c r="D2700" i="178"/>
  <c r="G2699" i="178"/>
  <c r="D2699" i="178"/>
  <c r="G2698" i="178"/>
  <c r="D2698" i="178"/>
  <c r="G2697" i="178"/>
  <c r="D2697" i="178"/>
  <c r="G2696" i="178"/>
  <c r="D2696" i="178"/>
  <c r="G2695" i="178"/>
  <c r="D2695" i="178"/>
  <c r="G2694" i="178"/>
  <c r="D2694" i="178"/>
  <c r="G2693" i="178"/>
  <c r="D2693" i="178"/>
  <c r="G2692" i="178"/>
  <c r="D2692" i="178"/>
  <c r="G2691" i="178"/>
  <c r="D2691" i="178"/>
  <c r="G2690" i="178"/>
  <c r="D2690" i="178"/>
  <c r="G2689" i="178"/>
  <c r="D2689" i="178"/>
  <c r="G2688" i="178"/>
  <c r="D2688" i="178"/>
  <c r="G2687" i="178"/>
  <c r="D2687" i="178"/>
  <c r="G2686" i="178"/>
  <c r="D2686" i="178"/>
  <c r="G2685" i="178"/>
  <c r="D2685" i="178"/>
  <c r="G2684" i="178"/>
  <c r="D2684" i="178"/>
  <c r="G2683" i="178"/>
  <c r="D2683" i="178"/>
  <c r="G2682" i="178"/>
  <c r="D2682" i="178"/>
  <c r="G2681" i="178"/>
  <c r="D2681" i="178"/>
  <c r="G2680" i="178"/>
  <c r="D2680" i="178"/>
  <c r="G2679" i="178"/>
  <c r="D2679" i="178"/>
  <c r="G2678" i="178"/>
  <c r="D2678" i="178"/>
  <c r="G2677" i="178"/>
  <c r="D2677" i="178"/>
  <c r="G2676" i="178"/>
  <c r="D2676" i="178"/>
  <c r="G2675" i="178"/>
  <c r="D2675" i="178"/>
  <c r="G2674" i="178"/>
  <c r="D2674" i="178"/>
  <c r="G2673" i="178"/>
  <c r="D2673" i="178"/>
  <c r="G2672" i="178"/>
  <c r="D2672" i="178"/>
  <c r="G2671" i="178"/>
  <c r="D2671" i="178"/>
  <c r="G2670" i="178"/>
  <c r="D2670" i="178"/>
  <c r="G2669" i="178"/>
  <c r="D2669" i="178"/>
  <c r="G2668" i="178"/>
  <c r="D2668" i="178"/>
  <c r="G2667" i="178"/>
  <c r="D2667" i="178"/>
  <c r="G2666" i="178"/>
  <c r="D2666" i="178"/>
  <c r="G2665" i="178"/>
  <c r="D2665" i="178"/>
  <c r="G2664" i="178"/>
  <c r="D2664" i="178"/>
  <c r="G2663" i="178"/>
  <c r="D2663" i="178"/>
  <c r="G2662" i="178"/>
  <c r="D2662" i="178"/>
  <c r="G2661" i="178"/>
  <c r="D2661" i="178"/>
  <c r="G2660" i="178"/>
  <c r="D2660" i="178"/>
  <c r="G2659" i="178"/>
  <c r="D2659" i="178"/>
  <c r="G2658" i="178"/>
  <c r="D2658" i="178"/>
  <c r="G2657" i="178"/>
  <c r="D2657" i="178"/>
  <c r="G2656" i="178"/>
  <c r="D2656" i="178"/>
  <c r="G2655" i="178"/>
  <c r="D2655" i="178"/>
  <c r="G2654" i="178"/>
  <c r="D2654" i="178"/>
  <c r="G2653" i="178"/>
  <c r="D2653" i="178"/>
  <c r="G2652" i="178"/>
  <c r="D2652" i="178"/>
  <c r="G2651" i="178"/>
  <c r="D2651" i="178"/>
  <c r="G2650" i="178"/>
  <c r="D2650" i="178"/>
  <c r="G2649" i="178"/>
  <c r="D2649" i="178"/>
  <c r="G2648" i="178"/>
  <c r="D2648" i="178"/>
  <c r="G2647" i="178"/>
  <c r="D2647" i="178"/>
  <c r="G2646" i="178"/>
  <c r="D2646" i="178"/>
  <c r="G2645" i="178"/>
  <c r="D2645" i="178"/>
  <c r="G2644" i="178"/>
  <c r="D2644" i="178"/>
  <c r="G2643" i="178"/>
  <c r="D2643" i="178"/>
  <c r="G2642" i="178"/>
  <c r="D2642" i="178"/>
  <c r="G2641" i="178"/>
  <c r="D2641" i="178"/>
  <c r="G2640" i="178"/>
  <c r="D2640" i="178"/>
  <c r="G2639" i="178"/>
  <c r="D2639" i="178"/>
  <c r="G2638" i="178"/>
  <c r="D2638" i="178"/>
  <c r="G2637" i="178"/>
  <c r="D2637" i="178"/>
  <c r="G2636" i="178"/>
  <c r="D2636" i="178"/>
  <c r="G2635" i="178"/>
  <c r="D2635" i="178"/>
  <c r="G2634" i="178"/>
  <c r="D2634" i="178"/>
  <c r="G2633" i="178"/>
  <c r="D2633" i="178"/>
  <c r="G2632" i="178"/>
  <c r="D2632" i="178"/>
  <c r="G2631" i="178"/>
  <c r="D2631" i="178"/>
  <c r="G2630" i="178"/>
  <c r="D2630" i="178"/>
  <c r="G2629" i="178"/>
  <c r="D2629" i="178"/>
  <c r="G2628" i="178"/>
  <c r="D2628" i="178"/>
  <c r="G2627" i="178"/>
  <c r="D2627" i="178"/>
  <c r="G2626" i="178"/>
  <c r="D2626" i="178"/>
  <c r="G2625" i="178"/>
  <c r="D2625" i="178"/>
  <c r="G2624" i="178"/>
  <c r="D2624" i="178"/>
  <c r="G2623" i="178"/>
  <c r="D2623" i="178"/>
  <c r="G2622" i="178"/>
  <c r="D2622" i="178"/>
  <c r="G2621" i="178"/>
  <c r="D2621" i="178"/>
  <c r="G2620" i="178"/>
  <c r="D2620" i="178"/>
  <c r="G2619" i="178"/>
  <c r="D2619" i="178"/>
  <c r="G2618" i="178"/>
  <c r="D2618" i="178"/>
  <c r="G2617" i="178"/>
  <c r="D2617" i="178"/>
  <c r="G2616" i="178"/>
  <c r="D2616" i="178"/>
  <c r="G2615" i="178"/>
  <c r="D2615" i="178"/>
  <c r="G2614" i="178"/>
  <c r="D2614" i="178"/>
  <c r="G2613" i="178"/>
  <c r="D2613" i="178"/>
  <c r="G2612" i="178"/>
  <c r="D2612" i="178"/>
  <c r="G2611" i="178"/>
  <c r="D2611" i="178"/>
  <c r="G2610" i="178"/>
  <c r="D2610" i="178"/>
  <c r="G2609" i="178"/>
  <c r="D2609" i="178"/>
  <c r="G2608" i="178"/>
  <c r="D2608" i="178"/>
  <c r="G2607" i="178"/>
  <c r="D2607" i="178"/>
  <c r="G2606" i="178"/>
  <c r="D2606" i="178"/>
  <c r="G2605" i="178"/>
  <c r="D2605" i="178"/>
  <c r="G2604" i="178"/>
  <c r="D2604" i="178"/>
  <c r="G2603" i="178"/>
  <c r="D2603" i="178"/>
  <c r="G2602" i="178"/>
  <c r="D2602" i="178"/>
  <c r="G2601" i="178"/>
  <c r="D2601" i="178"/>
  <c r="G2600" i="178"/>
  <c r="D2600" i="178"/>
  <c r="G2599" i="178"/>
  <c r="D2599" i="178"/>
  <c r="G2598" i="178"/>
  <c r="D2598" i="178"/>
  <c r="G2597" i="178"/>
  <c r="D2597" i="178"/>
  <c r="G2596" i="178"/>
  <c r="D2596" i="178"/>
  <c r="G2595" i="178"/>
  <c r="D2595" i="178"/>
  <c r="G2594" i="178"/>
  <c r="D2594" i="178"/>
  <c r="G2593" i="178"/>
  <c r="D2593" i="178"/>
  <c r="G2592" i="178"/>
  <c r="D2592" i="178"/>
  <c r="G2591" i="178"/>
  <c r="D2591" i="178"/>
  <c r="G2590" i="178"/>
  <c r="D2590" i="178"/>
  <c r="G2589" i="178"/>
  <c r="D2589" i="178"/>
  <c r="G2588" i="178"/>
  <c r="D2588" i="178"/>
  <c r="G2587" i="178"/>
  <c r="D2587" i="178"/>
  <c r="G2586" i="178"/>
  <c r="D2586" i="178"/>
  <c r="G2585" i="178"/>
  <c r="D2585" i="178"/>
  <c r="G2584" i="178"/>
  <c r="D2584" i="178"/>
  <c r="G2583" i="178"/>
  <c r="D2583" i="178"/>
  <c r="G2582" i="178"/>
  <c r="D2582" i="178"/>
  <c r="G2581" i="178"/>
  <c r="D2581" i="178"/>
  <c r="G2580" i="178"/>
  <c r="D2580" i="178"/>
  <c r="G2579" i="178"/>
  <c r="D2579" i="178"/>
  <c r="G2578" i="178"/>
  <c r="D2578" i="178"/>
  <c r="G2577" i="178"/>
  <c r="D2577" i="178"/>
  <c r="G2576" i="178"/>
  <c r="D2576" i="178"/>
  <c r="G2575" i="178"/>
  <c r="D2575" i="178"/>
  <c r="G2574" i="178"/>
  <c r="D2574" i="178"/>
  <c r="G2573" i="178"/>
  <c r="D2573" i="178"/>
  <c r="G2572" i="178"/>
  <c r="D2572" i="178"/>
  <c r="G2571" i="178"/>
  <c r="D2571" i="178"/>
  <c r="G2570" i="178"/>
  <c r="D2570" i="178"/>
  <c r="G2569" i="178"/>
  <c r="D2569" i="178"/>
  <c r="G2568" i="178"/>
  <c r="D2568" i="178"/>
  <c r="G2567" i="178"/>
  <c r="D2567" i="178"/>
  <c r="G2566" i="178"/>
  <c r="D2566" i="178"/>
  <c r="G2565" i="178"/>
  <c r="D2565" i="178"/>
  <c r="G2564" i="178"/>
  <c r="D2564" i="178"/>
  <c r="G2563" i="178"/>
  <c r="D2563" i="178"/>
  <c r="G2562" i="178"/>
  <c r="D2562" i="178"/>
  <c r="G2561" i="178"/>
  <c r="D2561" i="178"/>
  <c r="G2560" i="178"/>
  <c r="D2560" i="178"/>
  <c r="G2559" i="178"/>
  <c r="D2559" i="178"/>
  <c r="G2558" i="178"/>
  <c r="D2558" i="178"/>
  <c r="G2557" i="178"/>
  <c r="D2557" i="178"/>
  <c r="G2556" i="178"/>
  <c r="D2556" i="178"/>
  <c r="G2555" i="178"/>
  <c r="D2555" i="178"/>
  <c r="G2554" i="178"/>
  <c r="D2554" i="178"/>
  <c r="G2553" i="178"/>
  <c r="D2553" i="178"/>
  <c r="G2552" i="178"/>
  <c r="D2552" i="178"/>
  <c r="G2551" i="178"/>
  <c r="D2551" i="178"/>
  <c r="G2550" i="178"/>
  <c r="D2550" i="178"/>
  <c r="G2549" i="178"/>
  <c r="D2549" i="178"/>
  <c r="G2548" i="178"/>
  <c r="D2548" i="178"/>
  <c r="G2547" i="178"/>
  <c r="D2547" i="178"/>
  <c r="G2546" i="178"/>
  <c r="D2546" i="178"/>
  <c r="G2545" i="178"/>
  <c r="D2545" i="178"/>
  <c r="G2544" i="178"/>
  <c r="D2544" i="178"/>
  <c r="G2543" i="178"/>
  <c r="D2543" i="178"/>
  <c r="G2542" i="178"/>
  <c r="D2542" i="178"/>
  <c r="G2541" i="178"/>
  <c r="D2541" i="178"/>
  <c r="G2540" i="178"/>
  <c r="D2540" i="178"/>
  <c r="G2539" i="178"/>
  <c r="D2539" i="178"/>
  <c r="G2538" i="178"/>
  <c r="D2538" i="178"/>
  <c r="G2537" i="178"/>
  <c r="D2537" i="178"/>
  <c r="G2536" i="178"/>
  <c r="D2536" i="178"/>
  <c r="G2535" i="178"/>
  <c r="D2535" i="178"/>
  <c r="G2534" i="178"/>
  <c r="D2534" i="178"/>
  <c r="G2533" i="178"/>
  <c r="D2533" i="178"/>
  <c r="G2532" i="178"/>
  <c r="D2532" i="178"/>
  <c r="G2531" i="178"/>
  <c r="D2531" i="178"/>
  <c r="G2530" i="178"/>
  <c r="D2530" i="178"/>
  <c r="G2529" i="178"/>
  <c r="D2529" i="178"/>
  <c r="G2528" i="178"/>
  <c r="D2528" i="178"/>
  <c r="G2527" i="178"/>
  <c r="D2527" i="178"/>
  <c r="G2526" i="178"/>
  <c r="D2526" i="178"/>
  <c r="G2525" i="178"/>
  <c r="D2525" i="178"/>
  <c r="G2524" i="178"/>
  <c r="D2524" i="178"/>
  <c r="G2523" i="178"/>
  <c r="D2523" i="178"/>
  <c r="G2522" i="178"/>
  <c r="D2522" i="178"/>
  <c r="G2521" i="178"/>
  <c r="D2521" i="178"/>
  <c r="G2520" i="178"/>
  <c r="D2520" i="178"/>
  <c r="G2519" i="178"/>
  <c r="D2519" i="178"/>
  <c r="G2518" i="178"/>
  <c r="D2518" i="178"/>
  <c r="G2517" i="178"/>
  <c r="D2517" i="178"/>
  <c r="G2516" i="178"/>
  <c r="D2516" i="178"/>
  <c r="G2515" i="178"/>
  <c r="D2515" i="178"/>
  <c r="G2514" i="178"/>
  <c r="D2514" i="178"/>
  <c r="G2513" i="178"/>
  <c r="D2513" i="178"/>
  <c r="G2512" i="178"/>
  <c r="D2512" i="178"/>
  <c r="G2511" i="178"/>
  <c r="D2511" i="178"/>
  <c r="G2510" i="178"/>
  <c r="D2510" i="178"/>
  <c r="G2509" i="178"/>
  <c r="D2509" i="178"/>
  <c r="G2508" i="178"/>
  <c r="D2508" i="178"/>
  <c r="G2507" i="178"/>
  <c r="D2507" i="178"/>
  <c r="G2506" i="178"/>
  <c r="D2506" i="178"/>
  <c r="G2505" i="178"/>
  <c r="D2505" i="178"/>
  <c r="G2504" i="178"/>
  <c r="D2504" i="178"/>
  <c r="G2503" i="178"/>
  <c r="D2503" i="178"/>
  <c r="G2502" i="178"/>
  <c r="D2502" i="178"/>
  <c r="G2501" i="178"/>
  <c r="D2501" i="178"/>
  <c r="G2500" i="178"/>
  <c r="D2500" i="178"/>
  <c r="G2499" i="178"/>
  <c r="D2499" i="178"/>
  <c r="G2498" i="178"/>
  <c r="D2498" i="178"/>
  <c r="G2497" i="178"/>
  <c r="D2497" i="178"/>
  <c r="G2496" i="178"/>
  <c r="D2496" i="178"/>
  <c r="G2495" i="178"/>
  <c r="D2495" i="178"/>
  <c r="G2494" i="178"/>
  <c r="D2494" i="178"/>
  <c r="G2493" i="178"/>
  <c r="D2493" i="178"/>
  <c r="G2492" i="178"/>
  <c r="D2492" i="178"/>
  <c r="G2491" i="178"/>
  <c r="D2491" i="178"/>
  <c r="G2490" i="178"/>
  <c r="D2490" i="178"/>
  <c r="G2489" i="178"/>
  <c r="D2489" i="178"/>
  <c r="G2488" i="178"/>
  <c r="D2488" i="178"/>
  <c r="G2487" i="178"/>
  <c r="D2487" i="178"/>
  <c r="G2486" i="178"/>
  <c r="D2486" i="178"/>
  <c r="G2485" i="178"/>
  <c r="D2485" i="178"/>
  <c r="G2484" i="178"/>
  <c r="D2484" i="178"/>
  <c r="G2483" i="178"/>
  <c r="D2483" i="178"/>
  <c r="G2482" i="178"/>
  <c r="D2482" i="178"/>
  <c r="G2481" i="178"/>
  <c r="D2481" i="178"/>
  <c r="G2480" i="178"/>
  <c r="D2480" i="178"/>
  <c r="G2479" i="178"/>
  <c r="D2479" i="178"/>
  <c r="G2478" i="178"/>
  <c r="D2478" i="178"/>
  <c r="G2477" i="178"/>
  <c r="D2477" i="178"/>
  <c r="G2476" i="178"/>
  <c r="D2476" i="178"/>
  <c r="G2475" i="178"/>
  <c r="D2475" i="178"/>
  <c r="G2474" i="178"/>
  <c r="D2474" i="178"/>
  <c r="G2473" i="178"/>
  <c r="D2473" i="178"/>
  <c r="G2472" i="178"/>
  <c r="D2472" i="178"/>
  <c r="G2471" i="178"/>
  <c r="D2471" i="178"/>
  <c r="G2470" i="178"/>
  <c r="D2470" i="178"/>
  <c r="G2469" i="178"/>
  <c r="D2469" i="178"/>
  <c r="G2468" i="178"/>
  <c r="D2468" i="178"/>
  <c r="G2467" i="178"/>
  <c r="D2467" i="178"/>
  <c r="G2466" i="178"/>
  <c r="D2466" i="178"/>
  <c r="G2465" i="178"/>
  <c r="D2465" i="178"/>
  <c r="G2464" i="178"/>
  <c r="D2464" i="178"/>
  <c r="G2463" i="178"/>
  <c r="D2463" i="178"/>
  <c r="G2462" i="178"/>
  <c r="D2462" i="178"/>
  <c r="G2461" i="178"/>
  <c r="D2461" i="178"/>
  <c r="G2460" i="178"/>
  <c r="D2460" i="178"/>
  <c r="G2459" i="178"/>
  <c r="D2459" i="178"/>
  <c r="G2458" i="178"/>
  <c r="D2458" i="178"/>
  <c r="G2457" i="178"/>
  <c r="D2457" i="178"/>
  <c r="G2456" i="178"/>
  <c r="D2456" i="178"/>
  <c r="G2455" i="178"/>
  <c r="D2455" i="178"/>
  <c r="G2454" i="178"/>
  <c r="D2454" i="178"/>
  <c r="G2453" i="178"/>
  <c r="D2453" i="178"/>
  <c r="G2452" i="178"/>
  <c r="D2452" i="178"/>
  <c r="G2451" i="178"/>
  <c r="D2451" i="178"/>
  <c r="G2450" i="178"/>
  <c r="D2450" i="178"/>
  <c r="G2449" i="178"/>
  <c r="D2449" i="178"/>
  <c r="G2448" i="178"/>
  <c r="D2448" i="178"/>
  <c r="G2447" i="178"/>
  <c r="D2447" i="178"/>
  <c r="G2446" i="178"/>
  <c r="D2446" i="178"/>
  <c r="G2445" i="178"/>
  <c r="D2445" i="178"/>
  <c r="G2444" i="178"/>
  <c r="D2444" i="178"/>
  <c r="G2443" i="178"/>
  <c r="D2443" i="178"/>
  <c r="G2442" i="178"/>
  <c r="D2442" i="178"/>
  <c r="G2441" i="178"/>
  <c r="D2441" i="178"/>
  <c r="G2440" i="178"/>
  <c r="D2440" i="178"/>
  <c r="G2439" i="178"/>
  <c r="D2439" i="178"/>
  <c r="G2438" i="178"/>
  <c r="D2438" i="178"/>
  <c r="G2437" i="178"/>
  <c r="D2437" i="178"/>
  <c r="G2436" i="178"/>
  <c r="D2436" i="178"/>
  <c r="G2435" i="178"/>
  <c r="D2435" i="178"/>
  <c r="G2434" i="178"/>
  <c r="D2434" i="178"/>
  <c r="G2433" i="178"/>
  <c r="D2433" i="178"/>
  <c r="G2432" i="178"/>
  <c r="D2432" i="178"/>
  <c r="G2431" i="178"/>
  <c r="D2431" i="178"/>
  <c r="G2430" i="178"/>
  <c r="D2430" i="178"/>
  <c r="G2429" i="178"/>
  <c r="D2429" i="178"/>
  <c r="G2428" i="178"/>
  <c r="D2428" i="178"/>
  <c r="G2427" i="178"/>
  <c r="D2427" i="178"/>
  <c r="G2426" i="178"/>
  <c r="D2426" i="178"/>
  <c r="G2425" i="178"/>
  <c r="D2425" i="178"/>
  <c r="G2424" i="178"/>
  <c r="D2424" i="178"/>
  <c r="G2423" i="178"/>
  <c r="D2423" i="178"/>
  <c r="G2422" i="178"/>
  <c r="D2422" i="178"/>
  <c r="G2421" i="178"/>
  <c r="D2421" i="178"/>
  <c r="G2420" i="178"/>
  <c r="D2420" i="178"/>
  <c r="G2419" i="178"/>
  <c r="D2419" i="178"/>
  <c r="G2418" i="178"/>
  <c r="D2418" i="178"/>
  <c r="G2417" i="178"/>
  <c r="D2417" i="178"/>
  <c r="G2416" i="178"/>
  <c r="D2416" i="178"/>
  <c r="G2415" i="178"/>
  <c r="D2415" i="178"/>
  <c r="G2414" i="178"/>
  <c r="D2414" i="178"/>
  <c r="G2413" i="178"/>
  <c r="D2413" i="178"/>
  <c r="G2412" i="178"/>
  <c r="D2412" i="178"/>
  <c r="G2411" i="178"/>
  <c r="D2411" i="178"/>
  <c r="G2410" i="178"/>
  <c r="D2410" i="178"/>
  <c r="G2409" i="178"/>
  <c r="D2409" i="178"/>
  <c r="G2408" i="178"/>
  <c r="D2408" i="178"/>
  <c r="G2407" i="178"/>
  <c r="D2407" i="178"/>
  <c r="G2406" i="178"/>
  <c r="D2406" i="178"/>
  <c r="G2405" i="178"/>
  <c r="D2405" i="178"/>
  <c r="G2404" i="178"/>
  <c r="D2404" i="178"/>
  <c r="G2403" i="178"/>
  <c r="D2403" i="178"/>
  <c r="G2402" i="178"/>
  <c r="D2402" i="178"/>
  <c r="G2401" i="178"/>
  <c r="D2401" i="178"/>
  <c r="G2400" i="178"/>
  <c r="D2400" i="178"/>
  <c r="G2399" i="178"/>
  <c r="D2399" i="178"/>
  <c r="G2398" i="178"/>
  <c r="D2398" i="178"/>
  <c r="G2397" i="178"/>
  <c r="D2397" i="178"/>
  <c r="G2396" i="178"/>
  <c r="D2396" i="178"/>
  <c r="G2395" i="178"/>
  <c r="D2395" i="178"/>
  <c r="G2394" i="178"/>
  <c r="D2394" i="178"/>
  <c r="G2393" i="178"/>
  <c r="D2393" i="178"/>
  <c r="G2392" i="178"/>
  <c r="D2392" i="178"/>
  <c r="G2391" i="178"/>
  <c r="D2391" i="178"/>
  <c r="G2390" i="178"/>
  <c r="D2390" i="178"/>
  <c r="G2389" i="178"/>
  <c r="D2389" i="178"/>
  <c r="G2388" i="178"/>
  <c r="D2388" i="178"/>
  <c r="G2387" i="178"/>
  <c r="D2387" i="178"/>
  <c r="G2386" i="178"/>
  <c r="D2386" i="178"/>
  <c r="G2385" i="178"/>
  <c r="D2385" i="178"/>
  <c r="G2384" i="178"/>
  <c r="D2384" i="178"/>
  <c r="G2383" i="178"/>
  <c r="D2383" i="178"/>
  <c r="G2382" i="178"/>
  <c r="D2382" i="178"/>
  <c r="G2381" i="178"/>
  <c r="D2381" i="178"/>
  <c r="G2380" i="178"/>
  <c r="D2380" i="178"/>
  <c r="G2379" i="178"/>
  <c r="D2379" i="178"/>
  <c r="G2378" i="178"/>
  <c r="D2378" i="178"/>
  <c r="G2377" i="178"/>
  <c r="D2377" i="178"/>
  <c r="G2376" i="178"/>
  <c r="D2376" i="178"/>
  <c r="G2375" i="178"/>
  <c r="D2375" i="178"/>
  <c r="G2374" i="178"/>
  <c r="D2374" i="178"/>
  <c r="G2373" i="178"/>
  <c r="D2373" i="178"/>
  <c r="G2372" i="178"/>
  <c r="D2372" i="178"/>
  <c r="G2371" i="178"/>
  <c r="D2371" i="178"/>
  <c r="G2370" i="178"/>
  <c r="D2370" i="178"/>
  <c r="G2369" i="178"/>
  <c r="D2369" i="178"/>
  <c r="G2368" i="178"/>
  <c r="D2368" i="178"/>
  <c r="G2367" i="178"/>
  <c r="D2367" i="178"/>
  <c r="G2366" i="178"/>
  <c r="D2366" i="178"/>
  <c r="G2365" i="178"/>
  <c r="D2365" i="178"/>
  <c r="G2364" i="178"/>
  <c r="D2364" i="178"/>
  <c r="G2363" i="178"/>
  <c r="D2363" i="178"/>
  <c r="G2362" i="178"/>
  <c r="D2362" i="178"/>
  <c r="G2361" i="178"/>
  <c r="D2361" i="178"/>
  <c r="G2360" i="178"/>
  <c r="D2360" i="178"/>
  <c r="G2359" i="178"/>
  <c r="D2359" i="178"/>
  <c r="G2358" i="178"/>
  <c r="D2358" i="178"/>
  <c r="G2357" i="178"/>
  <c r="D2357" i="178"/>
  <c r="G2356" i="178"/>
  <c r="D2356" i="178"/>
  <c r="G2355" i="178"/>
  <c r="D2355" i="178"/>
  <c r="G2354" i="178"/>
  <c r="D2354" i="178"/>
  <c r="G2353" i="178"/>
  <c r="D2353" i="178"/>
  <c r="G2352" i="178"/>
  <c r="D2352" i="178"/>
  <c r="G2351" i="178"/>
  <c r="D2351" i="178"/>
  <c r="G2350" i="178"/>
  <c r="D2350" i="178"/>
  <c r="G2349" i="178"/>
  <c r="D2349" i="178"/>
  <c r="G2348" i="178"/>
  <c r="D2348" i="178"/>
  <c r="G2347" i="178"/>
  <c r="D2347" i="178"/>
  <c r="G2346" i="178"/>
  <c r="D2346" i="178"/>
  <c r="G2345" i="178"/>
  <c r="D2345" i="178"/>
  <c r="G2344" i="178"/>
  <c r="D2344" i="178"/>
  <c r="G2343" i="178"/>
  <c r="D2343" i="178"/>
  <c r="G2342" i="178"/>
  <c r="D2342" i="178"/>
  <c r="G2341" i="178"/>
  <c r="D2341" i="178"/>
  <c r="G2340" i="178"/>
  <c r="D2340" i="178"/>
  <c r="G2339" i="178"/>
  <c r="D2339" i="178"/>
  <c r="G2338" i="178"/>
  <c r="D2338" i="178"/>
  <c r="G2337" i="178"/>
  <c r="D2337" i="178"/>
  <c r="G2336" i="178"/>
  <c r="D2336" i="178"/>
  <c r="G2335" i="178"/>
  <c r="D2335" i="178"/>
  <c r="G2334" i="178"/>
  <c r="D2334" i="178"/>
  <c r="G2333" i="178"/>
  <c r="D2333" i="178"/>
  <c r="G2332" i="178"/>
  <c r="D2332" i="178"/>
  <c r="G2331" i="178"/>
  <c r="D2331" i="178"/>
  <c r="G2330" i="178"/>
  <c r="D2330" i="178"/>
  <c r="G2329" i="178"/>
  <c r="D2329" i="178"/>
  <c r="G2328" i="178"/>
  <c r="D2328" i="178"/>
  <c r="G2327" i="178"/>
  <c r="D2327" i="178"/>
  <c r="G2326" i="178"/>
  <c r="D2326" i="178"/>
  <c r="G2325" i="178"/>
  <c r="D2325" i="178"/>
  <c r="G2324" i="178"/>
  <c r="D2324" i="178"/>
  <c r="G2323" i="178"/>
  <c r="D2323" i="178"/>
  <c r="G2322" i="178"/>
  <c r="D2322" i="178"/>
  <c r="G2321" i="178"/>
  <c r="D2321" i="178"/>
  <c r="G2320" i="178"/>
  <c r="D2320" i="178"/>
  <c r="G2319" i="178"/>
  <c r="D2319" i="178"/>
  <c r="G2318" i="178"/>
  <c r="D2318" i="178"/>
  <c r="G2317" i="178"/>
  <c r="D2317" i="178"/>
  <c r="G2316" i="178"/>
  <c r="D2316" i="178"/>
  <c r="G2315" i="178"/>
  <c r="D2315" i="178"/>
  <c r="G2314" i="178"/>
  <c r="D2314" i="178"/>
  <c r="G2313" i="178"/>
  <c r="D2313" i="178"/>
  <c r="G2312" i="178"/>
  <c r="D2312" i="178"/>
  <c r="G2311" i="178"/>
  <c r="D2311" i="178"/>
  <c r="G2310" i="178"/>
  <c r="D2310" i="178"/>
  <c r="G2309" i="178"/>
  <c r="D2309" i="178"/>
  <c r="G2308" i="178"/>
  <c r="D2308" i="178"/>
  <c r="G2307" i="178"/>
  <c r="D2307" i="178"/>
  <c r="G2306" i="178"/>
  <c r="D2306" i="178"/>
  <c r="G2305" i="178"/>
  <c r="D2305" i="178"/>
  <c r="G2304" i="178"/>
  <c r="D2304" i="178"/>
  <c r="G2303" i="178"/>
  <c r="D2303" i="178"/>
  <c r="G2302" i="178"/>
  <c r="D2302" i="178"/>
  <c r="G2301" i="178"/>
  <c r="D2301" i="178"/>
  <c r="G2300" i="178"/>
  <c r="D2300" i="178"/>
  <c r="G2299" i="178"/>
  <c r="D2299" i="178"/>
  <c r="G2298" i="178"/>
  <c r="D2298" i="178"/>
  <c r="G2297" i="178"/>
  <c r="D2297" i="178"/>
  <c r="G2296" i="178"/>
  <c r="D2296" i="178"/>
  <c r="G2295" i="178"/>
  <c r="D2295" i="178"/>
  <c r="G2294" i="178"/>
  <c r="D2294" i="178"/>
  <c r="G2293" i="178"/>
  <c r="D2293" i="178"/>
  <c r="G2292" i="178"/>
  <c r="D2292" i="178"/>
  <c r="G2291" i="178"/>
  <c r="D2291" i="178"/>
  <c r="G2290" i="178"/>
  <c r="D2290" i="178"/>
  <c r="G2289" i="178"/>
  <c r="D2289" i="178"/>
  <c r="G2288" i="178"/>
  <c r="D2288" i="178"/>
  <c r="G2287" i="178"/>
  <c r="D2287" i="178"/>
  <c r="G2286" i="178"/>
  <c r="D2286" i="178"/>
  <c r="G2285" i="178"/>
  <c r="D2285" i="178"/>
  <c r="G2284" i="178"/>
  <c r="D2284" i="178"/>
  <c r="G2283" i="178"/>
  <c r="D2283" i="178"/>
  <c r="G2282" i="178"/>
  <c r="D2282" i="178"/>
  <c r="G2281" i="178"/>
  <c r="D2281" i="178"/>
  <c r="G2280" i="178"/>
  <c r="D2280" i="178"/>
  <c r="G2279" i="178"/>
  <c r="D2279" i="178"/>
  <c r="G2278" i="178"/>
  <c r="D2278" i="178"/>
  <c r="G2277" i="178"/>
  <c r="D2277" i="178"/>
  <c r="G2276" i="178"/>
  <c r="D2276" i="178"/>
  <c r="G2275" i="178"/>
  <c r="D2275" i="178"/>
  <c r="G2274" i="178"/>
  <c r="D2274" i="178"/>
  <c r="G2273" i="178"/>
  <c r="D2273" i="178"/>
  <c r="G2272" i="178"/>
  <c r="D2272" i="178"/>
  <c r="G2271" i="178"/>
  <c r="D2271" i="178"/>
  <c r="G2270" i="178"/>
  <c r="D2270" i="178"/>
  <c r="G2269" i="178"/>
  <c r="D2269" i="178"/>
  <c r="G2268" i="178"/>
  <c r="D2268" i="178"/>
  <c r="G2267" i="178"/>
  <c r="D2267" i="178"/>
  <c r="G2266" i="178"/>
  <c r="D2266" i="178"/>
  <c r="G2265" i="178"/>
  <c r="D2265" i="178"/>
  <c r="G2264" i="178"/>
  <c r="D2264" i="178"/>
  <c r="G2263" i="178"/>
  <c r="D2263" i="178"/>
  <c r="G2262" i="178"/>
  <c r="D2262" i="178"/>
  <c r="G2261" i="178"/>
  <c r="D2261" i="178"/>
  <c r="G2260" i="178"/>
  <c r="D2260" i="178"/>
  <c r="G2259" i="178"/>
  <c r="D2259" i="178"/>
  <c r="G2258" i="178"/>
  <c r="D2258" i="178"/>
  <c r="G2257" i="178"/>
  <c r="D2257" i="178"/>
  <c r="G2256" i="178"/>
  <c r="D2256" i="178"/>
  <c r="G2255" i="178"/>
  <c r="D2255" i="178"/>
  <c r="G2254" i="178"/>
  <c r="D2254" i="178"/>
  <c r="G2253" i="178"/>
  <c r="D2253" i="178"/>
  <c r="G2252" i="178"/>
  <c r="D2252" i="178"/>
  <c r="G2251" i="178"/>
  <c r="D2251" i="178"/>
  <c r="G2250" i="178"/>
  <c r="D2250" i="178"/>
  <c r="G2249" i="178"/>
  <c r="D2249" i="178"/>
  <c r="G2248" i="178"/>
  <c r="D2248" i="178"/>
  <c r="G2247" i="178"/>
  <c r="D2247" i="178"/>
  <c r="G2246" i="178"/>
  <c r="D2246" i="178"/>
  <c r="G2245" i="178"/>
  <c r="D2245" i="178"/>
  <c r="G2244" i="178"/>
  <c r="D2244" i="178"/>
  <c r="G2243" i="178"/>
  <c r="D2243" i="178"/>
  <c r="G2242" i="178"/>
  <c r="D2242" i="178"/>
  <c r="G2241" i="178"/>
  <c r="D2241" i="178"/>
  <c r="G2240" i="178"/>
  <c r="D2240" i="178"/>
  <c r="G2239" i="178"/>
  <c r="D2239" i="178"/>
  <c r="G2238" i="178"/>
  <c r="D2238" i="178"/>
  <c r="G2237" i="178"/>
  <c r="D2237" i="178"/>
  <c r="G2236" i="178"/>
  <c r="D2236" i="178"/>
  <c r="G2235" i="178"/>
  <c r="D2235" i="178"/>
  <c r="G2234" i="178"/>
  <c r="D2234" i="178"/>
  <c r="G2233" i="178"/>
  <c r="D2233" i="178"/>
  <c r="G2232" i="178"/>
  <c r="D2232" i="178"/>
  <c r="G2231" i="178"/>
  <c r="D2231" i="178"/>
  <c r="G2230" i="178"/>
  <c r="D2230" i="178"/>
  <c r="G2229" i="178"/>
  <c r="D2229" i="178"/>
  <c r="G2228" i="178"/>
  <c r="D2228" i="178"/>
  <c r="G2227" i="178"/>
  <c r="D2227" i="178"/>
  <c r="G2226" i="178"/>
  <c r="D2226" i="178"/>
  <c r="G2225" i="178"/>
  <c r="D2225" i="178"/>
  <c r="G2224" i="178"/>
  <c r="D2224" i="178"/>
  <c r="G2223" i="178"/>
  <c r="D2223" i="178"/>
  <c r="G2222" i="178"/>
  <c r="D2222" i="178"/>
  <c r="G2221" i="178"/>
  <c r="D2221" i="178"/>
  <c r="G2220" i="178"/>
  <c r="D2220" i="178"/>
  <c r="G2219" i="178"/>
  <c r="D2219" i="178"/>
  <c r="G2218" i="178"/>
  <c r="D2218" i="178"/>
  <c r="G2217" i="178"/>
  <c r="D2217" i="178"/>
  <c r="G2216" i="178"/>
  <c r="D2216" i="178"/>
  <c r="G2215" i="178"/>
  <c r="D2215" i="178"/>
  <c r="G2214" i="178"/>
  <c r="D2214" i="178"/>
  <c r="G2213" i="178"/>
  <c r="D2213" i="178"/>
  <c r="G2212" i="178"/>
  <c r="D2212" i="178"/>
  <c r="G2211" i="178"/>
  <c r="D2211" i="178"/>
  <c r="G2210" i="178"/>
  <c r="D2210" i="178"/>
  <c r="G2209" i="178"/>
  <c r="D2209" i="178"/>
  <c r="G2208" i="178"/>
  <c r="D2208" i="178"/>
  <c r="G2207" i="178"/>
  <c r="D2207" i="178"/>
  <c r="G2206" i="178"/>
  <c r="D2206" i="178"/>
  <c r="G2205" i="178"/>
  <c r="D2205" i="178"/>
  <c r="G2204" i="178"/>
  <c r="D2204" i="178"/>
  <c r="G2203" i="178"/>
  <c r="D2203" i="178"/>
  <c r="G2202" i="178"/>
  <c r="D2202" i="178"/>
  <c r="G2201" i="178"/>
  <c r="D2201" i="178"/>
  <c r="G2200" i="178"/>
  <c r="D2200" i="178"/>
  <c r="G2199" i="178"/>
  <c r="D2199" i="178"/>
  <c r="G2198" i="178"/>
  <c r="D2198" i="178"/>
  <c r="G2197" i="178"/>
  <c r="D2197" i="178"/>
  <c r="G2196" i="178"/>
  <c r="D2196" i="178"/>
  <c r="G2195" i="178"/>
  <c r="D2195" i="178"/>
  <c r="G2194" i="178"/>
  <c r="D2194" i="178"/>
  <c r="G2193" i="178"/>
  <c r="D2193" i="178"/>
  <c r="G2192" i="178"/>
  <c r="D2192" i="178"/>
  <c r="G2191" i="178"/>
  <c r="D2191" i="178"/>
  <c r="G2190" i="178"/>
  <c r="D2190" i="178"/>
  <c r="G2189" i="178"/>
  <c r="D2189" i="178"/>
  <c r="G2188" i="178"/>
  <c r="D2188" i="178"/>
  <c r="G2187" i="178"/>
  <c r="D2187" i="178"/>
  <c r="G2186" i="178"/>
  <c r="D2186" i="178"/>
  <c r="G2185" i="178"/>
  <c r="D2185" i="178"/>
  <c r="G2184" i="178"/>
  <c r="D2184" i="178"/>
  <c r="G2183" i="178"/>
  <c r="D2183" i="178"/>
  <c r="G2182" i="178"/>
  <c r="D2182" i="178"/>
  <c r="G2181" i="178"/>
  <c r="D2181" i="178"/>
  <c r="G2180" i="178"/>
  <c r="D2180" i="178"/>
  <c r="G2179" i="178"/>
  <c r="D2179" i="178"/>
  <c r="G2178" i="178"/>
  <c r="D2178" i="178"/>
  <c r="G2177" i="178"/>
  <c r="D2177" i="178"/>
  <c r="G2176" i="178"/>
  <c r="D2176" i="178"/>
  <c r="G2175" i="178"/>
  <c r="D2175" i="178"/>
  <c r="G2174" i="178"/>
  <c r="D2174" i="178"/>
  <c r="G2173" i="178"/>
  <c r="D2173" i="178"/>
  <c r="G2172" i="178"/>
  <c r="D2172" i="178"/>
  <c r="G2171" i="178"/>
  <c r="D2171" i="178"/>
  <c r="G2170" i="178"/>
  <c r="D2170" i="178"/>
  <c r="G2169" i="178"/>
  <c r="D2169" i="178"/>
  <c r="G2168" i="178"/>
  <c r="D2168" i="178"/>
  <c r="G2167" i="178"/>
  <c r="D2167" i="178"/>
  <c r="G2166" i="178"/>
  <c r="D2166" i="178"/>
  <c r="G2165" i="178"/>
  <c r="D2165" i="178"/>
  <c r="G2164" i="178"/>
  <c r="D2164" i="178"/>
  <c r="G2163" i="178"/>
  <c r="D2163" i="178"/>
  <c r="G2162" i="178"/>
  <c r="D2162" i="178"/>
  <c r="G2161" i="178"/>
  <c r="D2161" i="178"/>
  <c r="G2160" i="178"/>
  <c r="D2160" i="178"/>
  <c r="G2159" i="178"/>
  <c r="D2159" i="178"/>
  <c r="G2158" i="178"/>
  <c r="D2158" i="178"/>
  <c r="G2157" i="178"/>
  <c r="D2157" i="178"/>
  <c r="G2156" i="178"/>
  <c r="D2156" i="178"/>
  <c r="G2155" i="178"/>
  <c r="D2155" i="178"/>
  <c r="G2154" i="178"/>
  <c r="D2154" i="178"/>
  <c r="G2153" i="178"/>
  <c r="D2153" i="178"/>
  <c r="G2152" i="178"/>
  <c r="D2152" i="178"/>
  <c r="G2151" i="178"/>
  <c r="D2151" i="178"/>
  <c r="G2150" i="178"/>
  <c r="D2150" i="178"/>
  <c r="G2149" i="178"/>
  <c r="D2149" i="178"/>
  <c r="G2148" i="178"/>
  <c r="D2148" i="178"/>
  <c r="G2147" i="178"/>
  <c r="D2147" i="178"/>
  <c r="G2146" i="178"/>
  <c r="D2146" i="178"/>
  <c r="G2145" i="178"/>
  <c r="D2145" i="178"/>
  <c r="G2144" i="178"/>
  <c r="D2144" i="178"/>
  <c r="G2143" i="178"/>
  <c r="D2143" i="178"/>
  <c r="G2142" i="178"/>
  <c r="D2142" i="178"/>
  <c r="G2141" i="178"/>
  <c r="D2141" i="178"/>
  <c r="G2140" i="178"/>
  <c r="D2140" i="178"/>
  <c r="G2139" i="178"/>
  <c r="D2139" i="178"/>
  <c r="G2138" i="178"/>
  <c r="D2138" i="178"/>
  <c r="G2137" i="178"/>
  <c r="D2137" i="178"/>
  <c r="G2136" i="178"/>
  <c r="D2136" i="178"/>
  <c r="G2135" i="178"/>
  <c r="D2135" i="178"/>
  <c r="G2134" i="178"/>
  <c r="D2134" i="178"/>
  <c r="G2133" i="178"/>
  <c r="D2133" i="178"/>
  <c r="G2132" i="178"/>
  <c r="D2132" i="178"/>
  <c r="G2131" i="178"/>
  <c r="D2131" i="178"/>
  <c r="G2130" i="178"/>
  <c r="D2130" i="178"/>
  <c r="G2129" i="178"/>
  <c r="D2129" i="178"/>
  <c r="G2128" i="178"/>
  <c r="D2128" i="178"/>
  <c r="G2127" i="178"/>
  <c r="D2127" i="178"/>
  <c r="G2126" i="178"/>
  <c r="D2126" i="178"/>
  <c r="G2125" i="178"/>
  <c r="D2125" i="178"/>
  <c r="G2124" i="178"/>
  <c r="D2124" i="178"/>
  <c r="G2123" i="178"/>
  <c r="D2123" i="178"/>
  <c r="G2122" i="178"/>
  <c r="D2122" i="178"/>
  <c r="G2121" i="178"/>
  <c r="D2121" i="178"/>
  <c r="G2120" i="178"/>
  <c r="D2120" i="178"/>
  <c r="G2119" i="178"/>
  <c r="D2119" i="178"/>
  <c r="G2118" i="178"/>
  <c r="D2118" i="178"/>
  <c r="G2117" i="178"/>
  <c r="D2117" i="178"/>
  <c r="G2116" i="178"/>
  <c r="D2116" i="178"/>
  <c r="G2115" i="178"/>
  <c r="D2115" i="178"/>
  <c r="G2114" i="178"/>
  <c r="D2114" i="178"/>
  <c r="G2113" i="178"/>
  <c r="D2113" i="178"/>
  <c r="G2112" i="178"/>
  <c r="D2112" i="178"/>
  <c r="G2111" i="178"/>
  <c r="D2111" i="178"/>
  <c r="G2110" i="178"/>
  <c r="D2110" i="178"/>
  <c r="G2109" i="178"/>
  <c r="D2109" i="178"/>
  <c r="G2108" i="178"/>
  <c r="D2108" i="178"/>
  <c r="G2107" i="178"/>
  <c r="D2107" i="178"/>
  <c r="G2106" i="178"/>
  <c r="D2106" i="178"/>
  <c r="G2105" i="178"/>
  <c r="D2105" i="178"/>
  <c r="G2104" i="178"/>
  <c r="D2104" i="178"/>
  <c r="G2103" i="178"/>
  <c r="D2103" i="178"/>
  <c r="G2102" i="178"/>
  <c r="D2102" i="178"/>
  <c r="G2101" i="178"/>
  <c r="D2101" i="178"/>
  <c r="G2100" i="178"/>
  <c r="D2100" i="178"/>
  <c r="G2099" i="178"/>
  <c r="D2099" i="178"/>
  <c r="G2098" i="178"/>
  <c r="D2098" i="178"/>
  <c r="G2097" i="178"/>
  <c r="D2097" i="178"/>
  <c r="G2096" i="178"/>
  <c r="D2096" i="178"/>
  <c r="G2095" i="178"/>
  <c r="D2095" i="178"/>
  <c r="G2094" i="178"/>
  <c r="D2094" i="178"/>
  <c r="G2093" i="178"/>
  <c r="D2093" i="178"/>
  <c r="G2092" i="178"/>
  <c r="D2092" i="178"/>
  <c r="G2091" i="178"/>
  <c r="D2091" i="178"/>
  <c r="G2090" i="178"/>
  <c r="D2090" i="178"/>
  <c r="G2089" i="178"/>
  <c r="D2089" i="178"/>
  <c r="G2088" i="178"/>
  <c r="D2088" i="178"/>
  <c r="G2087" i="178"/>
  <c r="D2087" i="178"/>
  <c r="G2086" i="178"/>
  <c r="D2086" i="178"/>
  <c r="G2085" i="178"/>
  <c r="D2085" i="178"/>
  <c r="G2084" i="178"/>
  <c r="D2084" i="178"/>
  <c r="G2083" i="178"/>
  <c r="D2083" i="178"/>
  <c r="G2082" i="178"/>
  <c r="D2082" i="178"/>
  <c r="G2081" i="178"/>
  <c r="D2081" i="178"/>
  <c r="G2080" i="178"/>
  <c r="D2080" i="178"/>
  <c r="G2079" i="178"/>
  <c r="D2079" i="178"/>
  <c r="G2078" i="178"/>
  <c r="D2078" i="178"/>
  <c r="G2077" i="178"/>
  <c r="D2077" i="178"/>
  <c r="G2076" i="178"/>
  <c r="D2076" i="178"/>
  <c r="G2075" i="178"/>
  <c r="D2075" i="178"/>
  <c r="G2074" i="178"/>
  <c r="D2074" i="178"/>
  <c r="G2073" i="178"/>
  <c r="D2073" i="178"/>
  <c r="G2072" i="178"/>
  <c r="D2072" i="178"/>
  <c r="G2071" i="178"/>
  <c r="D2071" i="178"/>
  <c r="G2070" i="178"/>
  <c r="D2070" i="178"/>
  <c r="G2069" i="178"/>
  <c r="D2069" i="178"/>
  <c r="G2068" i="178"/>
  <c r="D2068" i="178"/>
  <c r="G2067" i="178"/>
  <c r="D2067" i="178"/>
  <c r="G2066" i="178"/>
  <c r="D2066" i="178"/>
  <c r="G2065" i="178"/>
  <c r="D2065" i="178"/>
  <c r="G2064" i="178"/>
  <c r="D2064" i="178"/>
  <c r="G2063" i="178"/>
  <c r="D2063" i="178"/>
  <c r="G2062" i="178"/>
  <c r="D2062" i="178"/>
  <c r="G2061" i="178"/>
  <c r="D2061" i="178"/>
  <c r="G2060" i="178"/>
  <c r="D2060" i="178"/>
  <c r="G2059" i="178"/>
  <c r="D2059" i="178"/>
  <c r="G2058" i="178"/>
  <c r="D2058" i="178"/>
  <c r="G2057" i="178"/>
  <c r="D2057" i="178"/>
  <c r="G2056" i="178"/>
  <c r="D2056" i="178"/>
  <c r="G2055" i="178"/>
  <c r="D2055" i="178"/>
  <c r="G2054" i="178"/>
  <c r="D2054" i="178"/>
  <c r="G2053" i="178"/>
  <c r="D2053" i="178"/>
  <c r="G2052" i="178"/>
  <c r="D2052" i="178"/>
  <c r="G2051" i="178"/>
  <c r="D2051" i="178"/>
  <c r="G2050" i="178"/>
  <c r="D2050" i="178"/>
  <c r="G2049" i="178"/>
  <c r="D2049" i="178"/>
  <c r="G2048" i="178"/>
  <c r="D2048" i="178"/>
  <c r="G2047" i="178"/>
  <c r="D2047" i="178"/>
  <c r="G2046" i="178"/>
  <c r="D2046" i="178"/>
  <c r="G2045" i="178"/>
  <c r="D2045" i="178"/>
  <c r="G2044" i="178"/>
  <c r="D2044" i="178"/>
  <c r="G2043" i="178"/>
  <c r="D2043" i="178"/>
  <c r="G2042" i="178"/>
  <c r="D2042" i="178"/>
  <c r="G2041" i="178"/>
  <c r="D2041" i="178"/>
  <c r="G2040" i="178"/>
  <c r="D2040" i="178"/>
  <c r="G2039" i="178"/>
  <c r="D2039" i="178"/>
  <c r="G2038" i="178"/>
  <c r="D2038" i="178"/>
  <c r="G2037" i="178"/>
  <c r="D2037" i="178"/>
  <c r="G2036" i="178"/>
  <c r="D2036" i="178"/>
  <c r="G2035" i="178"/>
  <c r="D2035" i="178"/>
  <c r="G2034" i="178"/>
  <c r="D2034" i="178"/>
  <c r="G2033" i="178"/>
  <c r="D2033" i="178"/>
  <c r="G2032" i="178"/>
  <c r="D2032" i="178"/>
  <c r="G2031" i="178"/>
  <c r="D2031" i="178"/>
  <c r="G2030" i="178"/>
  <c r="D2030" i="178"/>
  <c r="G2029" i="178"/>
  <c r="D2029" i="178"/>
  <c r="G2028" i="178"/>
  <c r="D2028" i="178"/>
  <c r="G2027" i="178"/>
  <c r="D2027" i="178"/>
  <c r="G2026" i="178"/>
  <c r="D2026" i="178"/>
  <c r="G2025" i="178"/>
  <c r="D2025" i="178"/>
  <c r="G2024" i="178"/>
  <c r="D2024" i="178"/>
  <c r="G2023" i="178"/>
  <c r="D2023" i="178"/>
  <c r="G2022" i="178"/>
  <c r="D2022" i="178"/>
  <c r="G2021" i="178"/>
  <c r="D2021" i="178"/>
  <c r="G2020" i="178"/>
  <c r="D2020" i="178"/>
  <c r="G2019" i="178"/>
  <c r="D2019" i="178"/>
  <c r="G2018" i="178"/>
  <c r="D2018" i="178"/>
  <c r="G2017" i="178"/>
  <c r="D2017" i="178"/>
  <c r="G2016" i="178"/>
  <c r="D2016" i="178"/>
  <c r="G2015" i="178"/>
  <c r="D2015" i="178"/>
  <c r="G2014" i="178"/>
  <c r="D2014" i="178"/>
  <c r="G2013" i="178"/>
  <c r="D2013" i="178"/>
  <c r="G2012" i="178"/>
  <c r="D2012" i="178"/>
  <c r="G2011" i="178"/>
  <c r="D2011" i="178"/>
  <c r="G2010" i="178"/>
  <c r="D2010" i="178"/>
  <c r="G2009" i="178"/>
  <c r="D2009" i="178"/>
  <c r="G2008" i="178"/>
  <c r="D2008" i="178"/>
  <c r="G2007" i="178"/>
  <c r="D2007" i="178"/>
  <c r="G2006" i="178"/>
  <c r="D2006" i="178"/>
  <c r="G2005" i="178"/>
  <c r="D2005" i="178"/>
  <c r="G2004" i="178"/>
  <c r="D2004" i="178"/>
  <c r="G2003" i="178"/>
  <c r="D2003" i="178"/>
  <c r="G2002" i="178"/>
  <c r="D2002" i="178"/>
  <c r="G2001" i="178"/>
  <c r="D2001" i="178"/>
  <c r="G2000" i="178"/>
  <c r="D2000" i="178"/>
  <c r="G1999" i="178"/>
  <c r="D1999" i="178"/>
  <c r="G1998" i="178"/>
  <c r="D1998" i="178"/>
  <c r="G1997" i="178"/>
  <c r="D1997" i="178"/>
  <c r="G1996" i="178"/>
  <c r="D1996" i="178"/>
  <c r="G1995" i="178"/>
  <c r="D1995" i="178"/>
  <c r="G1994" i="178"/>
  <c r="D1994" i="178"/>
  <c r="G1993" i="178"/>
  <c r="D1993" i="178"/>
  <c r="G1992" i="178"/>
  <c r="D1992" i="178"/>
  <c r="G1991" i="178"/>
  <c r="D1991" i="178"/>
  <c r="G1990" i="178"/>
  <c r="D1990" i="178"/>
  <c r="G1989" i="178"/>
  <c r="D1989" i="178"/>
  <c r="G1988" i="178"/>
  <c r="D1988" i="178"/>
  <c r="G1987" i="178"/>
  <c r="D1987" i="178"/>
  <c r="G1986" i="178"/>
  <c r="D1986" i="178"/>
  <c r="G1985" i="178"/>
  <c r="D1985" i="178"/>
  <c r="G1984" i="178"/>
  <c r="D1984" i="178"/>
  <c r="G1983" i="178"/>
  <c r="D1983" i="178"/>
  <c r="G1982" i="178"/>
  <c r="D1982" i="178"/>
  <c r="G1981" i="178"/>
  <c r="D1981" i="178"/>
  <c r="G1980" i="178"/>
  <c r="D1980" i="178"/>
  <c r="G1979" i="178"/>
  <c r="D1979" i="178"/>
  <c r="G1978" i="178"/>
  <c r="D1978" i="178"/>
  <c r="G1977" i="178"/>
  <c r="D1977" i="178"/>
  <c r="G1976" i="178"/>
  <c r="D1976" i="178"/>
  <c r="G1975" i="178"/>
  <c r="D1975" i="178"/>
  <c r="G1974" i="178"/>
  <c r="D1974" i="178"/>
  <c r="G1973" i="178"/>
  <c r="D1973" i="178"/>
  <c r="G1972" i="178"/>
  <c r="D1972" i="178"/>
  <c r="G1971" i="178"/>
  <c r="D1971" i="178"/>
  <c r="G1970" i="178"/>
  <c r="D1970" i="178"/>
  <c r="G1969" i="178"/>
  <c r="D1969" i="178"/>
  <c r="G1968" i="178"/>
  <c r="D1968" i="178"/>
  <c r="G1967" i="178"/>
  <c r="D1967" i="178"/>
  <c r="G1966" i="178"/>
  <c r="D1966" i="178"/>
  <c r="G1965" i="178"/>
  <c r="D1965" i="178"/>
  <c r="G1964" i="178"/>
  <c r="D1964" i="178"/>
  <c r="G1963" i="178"/>
  <c r="D1963" i="178"/>
  <c r="G1962" i="178"/>
  <c r="D1962" i="178"/>
  <c r="G1961" i="178"/>
  <c r="D1961" i="178"/>
  <c r="G1960" i="178"/>
  <c r="D1960" i="178"/>
  <c r="G1959" i="178"/>
  <c r="D1959" i="178"/>
  <c r="G1958" i="178"/>
  <c r="D1958" i="178"/>
  <c r="G1957" i="178"/>
  <c r="D1957" i="178"/>
  <c r="G1956" i="178"/>
  <c r="D1956" i="178"/>
  <c r="G1955" i="178"/>
  <c r="D1955" i="178"/>
  <c r="G1954" i="178"/>
  <c r="D1954" i="178"/>
  <c r="G1953" i="178"/>
  <c r="D1953" i="178"/>
  <c r="G1952" i="178"/>
  <c r="D1952" i="178"/>
  <c r="G1951" i="178"/>
  <c r="D1951" i="178"/>
  <c r="G1950" i="178"/>
  <c r="D1950" i="178"/>
  <c r="G1949" i="178"/>
  <c r="D1949" i="178"/>
  <c r="G1948" i="178"/>
  <c r="D1948" i="178"/>
  <c r="G1947" i="178"/>
  <c r="D1947" i="178"/>
  <c r="G1946" i="178"/>
  <c r="D1946" i="178"/>
  <c r="G1945" i="178"/>
  <c r="D1945" i="178"/>
  <c r="G1944" i="178"/>
  <c r="D1944" i="178"/>
  <c r="G1943" i="178"/>
  <c r="D1943" i="178"/>
  <c r="G1942" i="178"/>
  <c r="D1942" i="178"/>
  <c r="G1941" i="178"/>
  <c r="D1941" i="178"/>
  <c r="G1940" i="178"/>
  <c r="D1940" i="178"/>
  <c r="G1939" i="178"/>
  <c r="D1939" i="178"/>
  <c r="G1938" i="178"/>
  <c r="D1938" i="178"/>
  <c r="G1937" i="178"/>
  <c r="D1937" i="178"/>
  <c r="G1936" i="178"/>
  <c r="D1936" i="178"/>
  <c r="G1935" i="178"/>
  <c r="D1935" i="178"/>
  <c r="G1934" i="178"/>
  <c r="D1934" i="178"/>
  <c r="G1933" i="178"/>
  <c r="D1933" i="178"/>
  <c r="G1932" i="178"/>
  <c r="D1932" i="178"/>
  <c r="G1931" i="178"/>
  <c r="D1931" i="178"/>
  <c r="G1930" i="178"/>
  <c r="D1930" i="178"/>
  <c r="G1929" i="178"/>
  <c r="D1929" i="178"/>
  <c r="G1928" i="178"/>
  <c r="D1928" i="178"/>
  <c r="G1927" i="178"/>
  <c r="D1927" i="178"/>
  <c r="G1926" i="178"/>
  <c r="D1926" i="178"/>
  <c r="G1925" i="178"/>
  <c r="D1925" i="178"/>
  <c r="G1924" i="178"/>
  <c r="D1924" i="178"/>
  <c r="G1923" i="178"/>
  <c r="D1923" i="178"/>
  <c r="G1922" i="178"/>
  <c r="D1922" i="178"/>
  <c r="G1921" i="178"/>
  <c r="D1921" i="178"/>
  <c r="G1920" i="178"/>
  <c r="D1920" i="178"/>
  <c r="G1919" i="178"/>
  <c r="D1919" i="178"/>
  <c r="G1918" i="178"/>
  <c r="D1918" i="178"/>
  <c r="G1917" i="178"/>
  <c r="D1917" i="178"/>
  <c r="G1916" i="178"/>
  <c r="D1916" i="178"/>
  <c r="G1915" i="178"/>
  <c r="D1915" i="178"/>
  <c r="G1914" i="178"/>
  <c r="D1914" i="178"/>
  <c r="G1913" i="178"/>
  <c r="D1913" i="178"/>
  <c r="G1912" i="178"/>
  <c r="D1912" i="178"/>
  <c r="G1911" i="178"/>
  <c r="D1911" i="178"/>
  <c r="G1910" i="178"/>
  <c r="D1910" i="178"/>
  <c r="G1909" i="178"/>
  <c r="D1909" i="178"/>
  <c r="G1908" i="178"/>
  <c r="D1908" i="178"/>
  <c r="G1907" i="178"/>
  <c r="D1907" i="178"/>
  <c r="G1906" i="178"/>
  <c r="D1906" i="178"/>
  <c r="G1905" i="178"/>
  <c r="D1905" i="178"/>
  <c r="G1904" i="178"/>
  <c r="D1904" i="178"/>
  <c r="G1903" i="178"/>
  <c r="D1903" i="178"/>
  <c r="G1902" i="178"/>
  <c r="D1902" i="178"/>
  <c r="G1901" i="178"/>
  <c r="D1901" i="178"/>
  <c r="G1900" i="178"/>
  <c r="D1900" i="178"/>
  <c r="G1899" i="178"/>
  <c r="D1899" i="178"/>
  <c r="G1898" i="178"/>
  <c r="D1898" i="178"/>
  <c r="G1897" i="178"/>
  <c r="D1897" i="178"/>
  <c r="G1896" i="178"/>
  <c r="D1896" i="178"/>
  <c r="G1895" i="178"/>
  <c r="D1895" i="178"/>
  <c r="G1894" i="178"/>
  <c r="D1894" i="178"/>
  <c r="G1893" i="178"/>
  <c r="D1893" i="178"/>
  <c r="G1892" i="178"/>
  <c r="D1892" i="178"/>
  <c r="G1891" i="178"/>
  <c r="D1891" i="178"/>
  <c r="G1890" i="178"/>
  <c r="D1890" i="178"/>
  <c r="G1889" i="178"/>
  <c r="D1889" i="178"/>
  <c r="G1888" i="178"/>
  <c r="D1888" i="178"/>
  <c r="G1887" i="178"/>
  <c r="D1887" i="178"/>
  <c r="G1886" i="178"/>
  <c r="D1886" i="178"/>
  <c r="G1885" i="178"/>
  <c r="D1885" i="178"/>
  <c r="G1884" i="178"/>
  <c r="D1884" i="178"/>
  <c r="G1883" i="178"/>
  <c r="D1883" i="178"/>
  <c r="G1882" i="178"/>
  <c r="D1882" i="178"/>
  <c r="G1881" i="178"/>
  <c r="D1881" i="178"/>
  <c r="G1880" i="178"/>
  <c r="D1880" i="178"/>
  <c r="G1879" i="178"/>
  <c r="D1879" i="178"/>
  <c r="G1878" i="178"/>
  <c r="D1878" i="178"/>
  <c r="G1877" i="178"/>
  <c r="D1877" i="178"/>
  <c r="G1876" i="178"/>
  <c r="D1876" i="178"/>
  <c r="G1875" i="178"/>
  <c r="D1875" i="178"/>
  <c r="G1874" i="178"/>
  <c r="D1874" i="178"/>
  <c r="G1873" i="178"/>
  <c r="D1873" i="178"/>
  <c r="G1872" i="178"/>
  <c r="D1872" i="178"/>
  <c r="G1871" i="178"/>
  <c r="D1871" i="178"/>
  <c r="G1870" i="178"/>
  <c r="D1870" i="178"/>
  <c r="G1869" i="178"/>
  <c r="D1869" i="178"/>
  <c r="G1868" i="178"/>
  <c r="D1868" i="178"/>
  <c r="G1867" i="178"/>
  <c r="D1867" i="178"/>
  <c r="G1866" i="178"/>
  <c r="D1866" i="178"/>
  <c r="G1865" i="178"/>
  <c r="D1865" i="178"/>
  <c r="G1864" i="178"/>
  <c r="D1864" i="178"/>
  <c r="G1863" i="178"/>
  <c r="D1863" i="178"/>
  <c r="G1862" i="178"/>
  <c r="D1862" i="178"/>
  <c r="G1861" i="178"/>
  <c r="D1861" i="178"/>
  <c r="G1860" i="178"/>
  <c r="D1860" i="178"/>
  <c r="G1859" i="178"/>
  <c r="D1859" i="178"/>
  <c r="G1858" i="178"/>
  <c r="D1858" i="178"/>
  <c r="G1857" i="178"/>
  <c r="D1857" i="178"/>
  <c r="G1856" i="178"/>
  <c r="D1856" i="178"/>
  <c r="G1855" i="178"/>
  <c r="D1855" i="178"/>
  <c r="G1854" i="178"/>
  <c r="D1854" i="178"/>
  <c r="G1853" i="178"/>
  <c r="D1853" i="178"/>
  <c r="G1852" i="178"/>
  <c r="D1852" i="178"/>
  <c r="G1851" i="178"/>
  <c r="D1851" i="178"/>
  <c r="G1850" i="178"/>
  <c r="D1850" i="178"/>
  <c r="G1849" i="178"/>
  <c r="D1849" i="178"/>
  <c r="G1848" i="178"/>
  <c r="D1848" i="178"/>
  <c r="G1847" i="178"/>
  <c r="D1847" i="178"/>
  <c r="G1846" i="178"/>
  <c r="D1846" i="178"/>
  <c r="G1845" i="178"/>
  <c r="D1845" i="178"/>
  <c r="G1844" i="178"/>
  <c r="D1844" i="178"/>
  <c r="G1843" i="178"/>
  <c r="D1843" i="178"/>
  <c r="G1842" i="178"/>
  <c r="D1842" i="178"/>
  <c r="G1841" i="178"/>
  <c r="D1841" i="178"/>
  <c r="G1840" i="178"/>
  <c r="D1840" i="178"/>
  <c r="G1839" i="178"/>
  <c r="D1839" i="178"/>
  <c r="G1838" i="178"/>
  <c r="D1838" i="178"/>
  <c r="G1837" i="178"/>
  <c r="D1837" i="178"/>
  <c r="G1836" i="178"/>
  <c r="D1836" i="178"/>
  <c r="G1835" i="178"/>
  <c r="D1835" i="178"/>
  <c r="G1834" i="178"/>
  <c r="D1834" i="178"/>
  <c r="G1833" i="178"/>
  <c r="D1833" i="178"/>
  <c r="G1832" i="178"/>
  <c r="D1832" i="178"/>
  <c r="G1831" i="178"/>
  <c r="D1831" i="178"/>
  <c r="G1830" i="178"/>
  <c r="D1830" i="178"/>
  <c r="G1829" i="178"/>
  <c r="D1829" i="178"/>
  <c r="G1828" i="178"/>
  <c r="D1828" i="178"/>
  <c r="G1827" i="178"/>
  <c r="D1827" i="178"/>
  <c r="G1826" i="178"/>
  <c r="D1826" i="178"/>
  <c r="G1825" i="178"/>
  <c r="D1825" i="178"/>
  <c r="G1824" i="178"/>
  <c r="D1824" i="178"/>
  <c r="G1823" i="178"/>
  <c r="D1823" i="178"/>
  <c r="G1822" i="178"/>
  <c r="D1822" i="178"/>
  <c r="G1821" i="178"/>
  <c r="D1821" i="178"/>
  <c r="G1820" i="178"/>
  <c r="D1820" i="178"/>
  <c r="G1819" i="178"/>
  <c r="D1819" i="178"/>
  <c r="G1818" i="178"/>
  <c r="D1818" i="178"/>
  <c r="G1817" i="178"/>
  <c r="D1817" i="178"/>
  <c r="G1816" i="178"/>
  <c r="D1816" i="178"/>
  <c r="G1815" i="178"/>
  <c r="D1815" i="178"/>
  <c r="G1814" i="178"/>
  <c r="D1814" i="178"/>
  <c r="G1813" i="178"/>
  <c r="D1813" i="178"/>
  <c r="G1812" i="178"/>
  <c r="D1812" i="178"/>
  <c r="G1811" i="178"/>
  <c r="D1811" i="178"/>
  <c r="G1810" i="178"/>
  <c r="D1810" i="178"/>
  <c r="G1809" i="178"/>
  <c r="D1809" i="178"/>
  <c r="G1808" i="178"/>
  <c r="D1808" i="178"/>
  <c r="G1807" i="178"/>
  <c r="D1807" i="178"/>
  <c r="G1806" i="178"/>
  <c r="D1806" i="178"/>
  <c r="G1805" i="178"/>
  <c r="D1805" i="178"/>
  <c r="G1804" i="178"/>
  <c r="D1804" i="178"/>
  <c r="G1803" i="178"/>
  <c r="D1803" i="178"/>
  <c r="G1802" i="178"/>
  <c r="D1802" i="178"/>
  <c r="G1801" i="178"/>
  <c r="D1801" i="178"/>
  <c r="G1800" i="178"/>
  <c r="D1800" i="178"/>
  <c r="G1799" i="178"/>
  <c r="D1799" i="178"/>
  <c r="G1798" i="178"/>
  <c r="D1798" i="178"/>
  <c r="G1797" i="178"/>
  <c r="D1797" i="178"/>
  <c r="G1796" i="178"/>
  <c r="D1796" i="178"/>
  <c r="G1795" i="178"/>
  <c r="D1795" i="178"/>
  <c r="G1794" i="178"/>
  <c r="D1794" i="178"/>
  <c r="G1793" i="178"/>
  <c r="D1793" i="178"/>
  <c r="G1792" i="178"/>
  <c r="D1792" i="178"/>
  <c r="G1791" i="178"/>
  <c r="D1791" i="178"/>
  <c r="G1790" i="178"/>
  <c r="D1790" i="178"/>
  <c r="G1789" i="178"/>
  <c r="D1789" i="178"/>
  <c r="G1788" i="178"/>
  <c r="D1788" i="178"/>
  <c r="G1787" i="178"/>
  <c r="D1787" i="178"/>
  <c r="G1786" i="178"/>
  <c r="D1786" i="178"/>
  <c r="G1785" i="178"/>
  <c r="D1785" i="178"/>
  <c r="G1784" i="178"/>
  <c r="D1784" i="178"/>
  <c r="G1783" i="178"/>
  <c r="D1783" i="178"/>
  <c r="G1782" i="178"/>
  <c r="D1782" i="178"/>
  <c r="G1781" i="178"/>
  <c r="D1781" i="178"/>
  <c r="G1780" i="178"/>
  <c r="D1780" i="178"/>
  <c r="G1779" i="178"/>
  <c r="D1779" i="178"/>
  <c r="G1778" i="178"/>
  <c r="D1778" i="178"/>
  <c r="G1777" i="178"/>
  <c r="D1777" i="178"/>
  <c r="G1776" i="178"/>
  <c r="D1776" i="178"/>
  <c r="G1775" i="178"/>
  <c r="D1775" i="178"/>
  <c r="G1774" i="178"/>
  <c r="D1774" i="178"/>
  <c r="G1773" i="178"/>
  <c r="D1773" i="178"/>
  <c r="G1772" i="178"/>
  <c r="D1772" i="178"/>
  <c r="G1771" i="178"/>
  <c r="D1771" i="178"/>
  <c r="G1770" i="178"/>
  <c r="D1770" i="178"/>
  <c r="G1769" i="178"/>
  <c r="D1769" i="178"/>
  <c r="G1768" i="178"/>
  <c r="D1768" i="178"/>
  <c r="G1767" i="178"/>
  <c r="D1767" i="178"/>
  <c r="G1766" i="178"/>
  <c r="D1766" i="178"/>
  <c r="G1765" i="178"/>
  <c r="D1765" i="178"/>
  <c r="G1764" i="178"/>
  <c r="D1764" i="178"/>
  <c r="G1763" i="178"/>
  <c r="D1763" i="178"/>
  <c r="G1762" i="178"/>
  <c r="D1762" i="178"/>
  <c r="G1761" i="178"/>
  <c r="D1761" i="178"/>
  <c r="G1760" i="178"/>
  <c r="D1760" i="178"/>
  <c r="G1759" i="178"/>
  <c r="D1759" i="178"/>
  <c r="G1758" i="178"/>
  <c r="D1758" i="178"/>
  <c r="G1757" i="178"/>
  <c r="D1757" i="178"/>
  <c r="G1756" i="178"/>
  <c r="D1756" i="178"/>
  <c r="G1755" i="178"/>
  <c r="D1755" i="178"/>
  <c r="G1754" i="178"/>
  <c r="D1754" i="178"/>
  <c r="G1753" i="178"/>
  <c r="D1753" i="178"/>
  <c r="G1752" i="178"/>
  <c r="D1752" i="178"/>
  <c r="G1751" i="178"/>
  <c r="D1751" i="178"/>
  <c r="G1750" i="178"/>
  <c r="D1750" i="178"/>
  <c r="G1749" i="178"/>
  <c r="D1749" i="178"/>
  <c r="G1748" i="178"/>
  <c r="D1748" i="178"/>
  <c r="G1747" i="178"/>
  <c r="D1747" i="178"/>
  <c r="G1746" i="178"/>
  <c r="D1746" i="178"/>
  <c r="G1745" i="178"/>
  <c r="D1745" i="178"/>
  <c r="G1744" i="178"/>
  <c r="D1744" i="178"/>
  <c r="G1743" i="178"/>
  <c r="D1743" i="178"/>
  <c r="G1742" i="178"/>
  <c r="D1742" i="178"/>
  <c r="G1741" i="178"/>
  <c r="D1741" i="178"/>
  <c r="G1740" i="178"/>
  <c r="D1740" i="178"/>
  <c r="G1739" i="178"/>
  <c r="D1739" i="178"/>
  <c r="G1738" i="178"/>
  <c r="D1738" i="178"/>
  <c r="G1737" i="178"/>
  <c r="D1737" i="178"/>
  <c r="G1736" i="178"/>
  <c r="D1736" i="178"/>
  <c r="G1735" i="178"/>
  <c r="D1735" i="178"/>
  <c r="G1734" i="178"/>
  <c r="D1734" i="178"/>
  <c r="G1733" i="178"/>
  <c r="D1733" i="178"/>
  <c r="G1732" i="178"/>
  <c r="D1732" i="178"/>
  <c r="G1731" i="178"/>
  <c r="D1731" i="178"/>
  <c r="G1730" i="178"/>
  <c r="D1730" i="178"/>
  <c r="G1729" i="178"/>
  <c r="D1729" i="178"/>
  <c r="G1728" i="178"/>
  <c r="D1728" i="178"/>
  <c r="G1727" i="178"/>
  <c r="D1727" i="178"/>
  <c r="G1726" i="178"/>
  <c r="D1726" i="178"/>
  <c r="G1725" i="178"/>
  <c r="D1725" i="178"/>
  <c r="G1724" i="178"/>
  <c r="D1724" i="178"/>
  <c r="G1723" i="178"/>
  <c r="D1723" i="178"/>
  <c r="G1722" i="178"/>
  <c r="D1722" i="178"/>
  <c r="G1721" i="178"/>
  <c r="D1721" i="178"/>
  <c r="G1720" i="178"/>
  <c r="D1720" i="178"/>
  <c r="G1719" i="178"/>
  <c r="D1719" i="178"/>
  <c r="G1718" i="178"/>
  <c r="D1718" i="178"/>
  <c r="G1717" i="178"/>
  <c r="D1717" i="178"/>
  <c r="G1716" i="178"/>
  <c r="D1716" i="178"/>
  <c r="G1715" i="178"/>
  <c r="D1715" i="178"/>
  <c r="G1714" i="178"/>
  <c r="D1714" i="178"/>
  <c r="G1713" i="178"/>
  <c r="D1713" i="178"/>
  <c r="G1712" i="178"/>
  <c r="D1712" i="178"/>
  <c r="G1711" i="178"/>
  <c r="D1711" i="178"/>
  <c r="G1710" i="178"/>
  <c r="D1710" i="178"/>
  <c r="G1709" i="178"/>
  <c r="D1709" i="178"/>
  <c r="G1708" i="178"/>
  <c r="D1708" i="178"/>
  <c r="G1707" i="178"/>
  <c r="D1707" i="178"/>
  <c r="G1706" i="178"/>
  <c r="D1706" i="178"/>
  <c r="G1705" i="178"/>
  <c r="D1705" i="178"/>
  <c r="G1704" i="178"/>
  <c r="D1704" i="178"/>
  <c r="G1703" i="178"/>
  <c r="D1703" i="178"/>
  <c r="G1702" i="178"/>
  <c r="D1702" i="178"/>
  <c r="G1701" i="178"/>
  <c r="D1701" i="178"/>
  <c r="G1700" i="178"/>
  <c r="D1700" i="178"/>
  <c r="G1699" i="178"/>
  <c r="D1699" i="178"/>
  <c r="G1698" i="178"/>
  <c r="D1698" i="178"/>
  <c r="G1697" i="178"/>
  <c r="D1697" i="178"/>
  <c r="G1696" i="178"/>
  <c r="D1696" i="178"/>
  <c r="G1695" i="178"/>
  <c r="D1695" i="178"/>
  <c r="G1694" i="178"/>
  <c r="D1694" i="178"/>
  <c r="G1693" i="178"/>
  <c r="D1693" i="178"/>
  <c r="G1692" i="178"/>
  <c r="D1692" i="178"/>
  <c r="G1691" i="178"/>
  <c r="D1691" i="178"/>
  <c r="G1690" i="178"/>
  <c r="D1690" i="178"/>
  <c r="G1689" i="178"/>
  <c r="D1689" i="178"/>
  <c r="G1688" i="178"/>
  <c r="D1688" i="178"/>
  <c r="G1687" i="178"/>
  <c r="D1687" i="178"/>
  <c r="G1686" i="178"/>
  <c r="D1686" i="178"/>
  <c r="G1685" i="178"/>
  <c r="D1685" i="178"/>
  <c r="G1684" i="178"/>
  <c r="D1684" i="178"/>
  <c r="G1683" i="178"/>
  <c r="D1683" i="178"/>
  <c r="G1682" i="178"/>
  <c r="D1682" i="178"/>
  <c r="G1681" i="178"/>
  <c r="D1681" i="178"/>
  <c r="G1680" i="178"/>
  <c r="D1680" i="178"/>
  <c r="G1679" i="178"/>
  <c r="D1679" i="178"/>
  <c r="G1678" i="178"/>
  <c r="D1678" i="178"/>
  <c r="G1677" i="178"/>
  <c r="D1677" i="178"/>
  <c r="G1676" i="178"/>
  <c r="D1676" i="178"/>
  <c r="G1675" i="178"/>
  <c r="D1675" i="178"/>
  <c r="G1674" i="178"/>
  <c r="D1674" i="178"/>
  <c r="G1673" i="178"/>
  <c r="D1673" i="178"/>
  <c r="G1672" i="178"/>
  <c r="D1672" i="178"/>
  <c r="G1671" i="178"/>
  <c r="D1671" i="178"/>
  <c r="G1670" i="178"/>
  <c r="D1670" i="178"/>
  <c r="G1669" i="178"/>
  <c r="D1669" i="178"/>
  <c r="G1668" i="178"/>
  <c r="D1668" i="178"/>
  <c r="G1667" i="178"/>
  <c r="D1667" i="178"/>
  <c r="G1666" i="178"/>
  <c r="D1666" i="178"/>
  <c r="G1665" i="178"/>
  <c r="D1665" i="178"/>
  <c r="G1664" i="178"/>
  <c r="D1664" i="178"/>
  <c r="G1663" i="178"/>
  <c r="D1663" i="178"/>
  <c r="G1662" i="178"/>
  <c r="D1662" i="178"/>
  <c r="G1661" i="178"/>
  <c r="D1661" i="178"/>
  <c r="G1660" i="178"/>
  <c r="D1660" i="178"/>
  <c r="G1659" i="178"/>
  <c r="D1659" i="178"/>
  <c r="G1658" i="178"/>
  <c r="D1658" i="178"/>
  <c r="G1657" i="178"/>
  <c r="D1657" i="178"/>
  <c r="G1656" i="178"/>
  <c r="D1656" i="178"/>
  <c r="G1655" i="178"/>
  <c r="D1655" i="178"/>
  <c r="G1654" i="178"/>
  <c r="D1654" i="178"/>
  <c r="G1653" i="178"/>
  <c r="D1653" i="178"/>
  <c r="G1652" i="178"/>
  <c r="D1652" i="178"/>
  <c r="G1651" i="178"/>
  <c r="D1651" i="178"/>
  <c r="G1650" i="178"/>
  <c r="D1650" i="178"/>
  <c r="G1649" i="178"/>
  <c r="D1649" i="178"/>
  <c r="G1648" i="178"/>
  <c r="D1648" i="178"/>
  <c r="G1647" i="178"/>
  <c r="D1647" i="178"/>
  <c r="G1646" i="178"/>
  <c r="D1646" i="178"/>
  <c r="G1645" i="178"/>
  <c r="D1645" i="178"/>
  <c r="G1644" i="178"/>
  <c r="D1644" i="178"/>
  <c r="G1643" i="178"/>
  <c r="D1643" i="178"/>
  <c r="G1642" i="178"/>
  <c r="D1642" i="178"/>
  <c r="G1641" i="178"/>
  <c r="D1641" i="178"/>
  <c r="G1640" i="178"/>
  <c r="D1640" i="178"/>
  <c r="G1639" i="178"/>
  <c r="D1639" i="178"/>
  <c r="G1638" i="178"/>
  <c r="D1638" i="178"/>
  <c r="G1637" i="178"/>
  <c r="D1637" i="178"/>
  <c r="G1636" i="178"/>
  <c r="D1636" i="178"/>
  <c r="G1635" i="178"/>
  <c r="D1635" i="178"/>
  <c r="G1634" i="178"/>
  <c r="D1634" i="178"/>
  <c r="G1633" i="178"/>
  <c r="D1633" i="178"/>
  <c r="G1632" i="178"/>
  <c r="D1632" i="178"/>
  <c r="G1631" i="178"/>
  <c r="D1631" i="178"/>
  <c r="G1630" i="178"/>
  <c r="D1630" i="178"/>
  <c r="G1629" i="178"/>
  <c r="D1629" i="178"/>
  <c r="G1628" i="178"/>
  <c r="D1628" i="178"/>
  <c r="G1627" i="178"/>
  <c r="D1627" i="178"/>
  <c r="G1626" i="178"/>
  <c r="D1626" i="178"/>
  <c r="G1625" i="178"/>
  <c r="D1625" i="178"/>
  <c r="G1624" i="178"/>
  <c r="D1624" i="178"/>
  <c r="G1623" i="178"/>
  <c r="D1623" i="178"/>
  <c r="G1622" i="178"/>
  <c r="D1622" i="178"/>
  <c r="G1621" i="178"/>
  <c r="D1621" i="178"/>
  <c r="G1620" i="178"/>
  <c r="D1620" i="178"/>
  <c r="G1619" i="178"/>
  <c r="D1619" i="178"/>
  <c r="G1618" i="178"/>
  <c r="D1618" i="178"/>
  <c r="G1617" i="178"/>
  <c r="D1617" i="178"/>
  <c r="G1616" i="178"/>
  <c r="D1616" i="178"/>
  <c r="G1615" i="178"/>
  <c r="D1615" i="178"/>
  <c r="G1614" i="178"/>
  <c r="D1614" i="178"/>
  <c r="G1613" i="178"/>
  <c r="D1613" i="178"/>
  <c r="G1612" i="178"/>
  <c r="D1612" i="178"/>
  <c r="G1611" i="178"/>
  <c r="D1611" i="178"/>
  <c r="G1610" i="178"/>
  <c r="D1610" i="178"/>
  <c r="G1609" i="178"/>
  <c r="D1609" i="178"/>
  <c r="G1608" i="178"/>
  <c r="D1608" i="178"/>
  <c r="G1607" i="178"/>
  <c r="D1607" i="178"/>
  <c r="G1606" i="178"/>
  <c r="D1606" i="178"/>
  <c r="G1605" i="178"/>
  <c r="D1605" i="178"/>
  <c r="G1604" i="178"/>
  <c r="D1604" i="178"/>
  <c r="G1603" i="178"/>
  <c r="D1603" i="178"/>
  <c r="G1602" i="178"/>
  <c r="D1602" i="178"/>
  <c r="G1601" i="178"/>
  <c r="D1601" i="178"/>
  <c r="G1600" i="178"/>
  <c r="D1600" i="178"/>
  <c r="G1599" i="178"/>
  <c r="D1599" i="178"/>
  <c r="G1598" i="178"/>
  <c r="D1598" i="178"/>
  <c r="G1597" i="178"/>
  <c r="D1597" i="178"/>
  <c r="G1596" i="178"/>
  <c r="D1596" i="178"/>
  <c r="G1595" i="178"/>
  <c r="D1595" i="178"/>
  <c r="G1594" i="178"/>
  <c r="D1594" i="178"/>
  <c r="G1593" i="178"/>
  <c r="D1593" i="178"/>
  <c r="G1592" i="178"/>
  <c r="D1592" i="178"/>
  <c r="G1591" i="178"/>
  <c r="D1591" i="178"/>
  <c r="G1590" i="178"/>
  <c r="D1590" i="178"/>
  <c r="G1589" i="178"/>
  <c r="D1589" i="178"/>
  <c r="G1588" i="178"/>
  <c r="D1588" i="178"/>
  <c r="G1587" i="178"/>
  <c r="D1587" i="178"/>
  <c r="G1586" i="178"/>
  <c r="D1586" i="178"/>
  <c r="G1585" i="178"/>
  <c r="D1585" i="178"/>
  <c r="G1584" i="178"/>
  <c r="D1584" i="178"/>
  <c r="G1583" i="178"/>
  <c r="D1583" i="178"/>
  <c r="G1582" i="178"/>
  <c r="D1582" i="178"/>
  <c r="G1581" i="178"/>
  <c r="D1581" i="178"/>
  <c r="G1580" i="178"/>
  <c r="D1580" i="178"/>
  <c r="G1579" i="178"/>
  <c r="D1579" i="178"/>
  <c r="G1578" i="178"/>
  <c r="D1578" i="178"/>
  <c r="G1577" i="178"/>
  <c r="D1577" i="178"/>
  <c r="G1576" i="178"/>
  <c r="D1576" i="178"/>
  <c r="G1575" i="178"/>
  <c r="D1575" i="178"/>
  <c r="G1574" i="178"/>
  <c r="D1574" i="178"/>
  <c r="G1573" i="178"/>
  <c r="D1573" i="178"/>
  <c r="G1572" i="178"/>
  <c r="D1572" i="178"/>
  <c r="G1571" i="178"/>
  <c r="D1571" i="178"/>
  <c r="G1570" i="178"/>
  <c r="D1570" i="178"/>
  <c r="G1569" i="178"/>
  <c r="D1569" i="178"/>
  <c r="G1568" i="178"/>
  <c r="D1568" i="178"/>
  <c r="G1567" i="178"/>
  <c r="D1567" i="178"/>
  <c r="G1566" i="178"/>
  <c r="D1566" i="178"/>
  <c r="G1565" i="178"/>
  <c r="D1565" i="178"/>
  <c r="G1564" i="178"/>
  <c r="D1564" i="178"/>
  <c r="G1563" i="178"/>
  <c r="D1563" i="178"/>
  <c r="G1562" i="178"/>
  <c r="D1562" i="178"/>
  <c r="G1561" i="178"/>
  <c r="D1561" i="178"/>
  <c r="G1560" i="178"/>
  <c r="D1560" i="178"/>
  <c r="G1559" i="178"/>
  <c r="D1559" i="178"/>
  <c r="G1558" i="178"/>
  <c r="D1558" i="178"/>
  <c r="G1557" i="178"/>
  <c r="D1557" i="178"/>
  <c r="G1556" i="178"/>
  <c r="D1556" i="178"/>
  <c r="G1555" i="178"/>
  <c r="D1555" i="178"/>
  <c r="G1554" i="178"/>
  <c r="D1554" i="178"/>
  <c r="G1553" i="178"/>
  <c r="D1553" i="178"/>
  <c r="G1552" i="178"/>
  <c r="D1552" i="178"/>
  <c r="G1551" i="178"/>
  <c r="D1551" i="178"/>
  <c r="G1550" i="178"/>
  <c r="D1550" i="178"/>
  <c r="G1549" i="178"/>
  <c r="D1549" i="178"/>
  <c r="G1548" i="178"/>
  <c r="D1548" i="178"/>
  <c r="G1547" i="178"/>
  <c r="D1547" i="178"/>
  <c r="G1546" i="178"/>
  <c r="D1546" i="178"/>
  <c r="G1545" i="178"/>
  <c r="D1545" i="178"/>
  <c r="G1544" i="178"/>
  <c r="D1544" i="178"/>
  <c r="G1543" i="178"/>
  <c r="D1543" i="178"/>
  <c r="G1542" i="178"/>
  <c r="D1542" i="178"/>
  <c r="G1541" i="178"/>
  <c r="D1541" i="178"/>
  <c r="G1540" i="178"/>
  <c r="D1540" i="178"/>
  <c r="G1539" i="178"/>
  <c r="D1539" i="178"/>
  <c r="G1538" i="178"/>
  <c r="D1538" i="178"/>
  <c r="G1537" i="178"/>
  <c r="D1537" i="178"/>
  <c r="G1536" i="178"/>
  <c r="D1536" i="178"/>
  <c r="G1535" i="178"/>
  <c r="D1535" i="178"/>
  <c r="G1534" i="178"/>
  <c r="D1534" i="178"/>
  <c r="G1533" i="178"/>
  <c r="D1533" i="178"/>
  <c r="G1532" i="178"/>
  <c r="D1532" i="178"/>
  <c r="G1531" i="178"/>
  <c r="D1531" i="178"/>
  <c r="G1530" i="178"/>
  <c r="D1530" i="178"/>
  <c r="G1529" i="178"/>
  <c r="D1529" i="178"/>
  <c r="G1528" i="178"/>
  <c r="D1528" i="178"/>
  <c r="G1527" i="178"/>
  <c r="D1527" i="178"/>
  <c r="G1526" i="178"/>
  <c r="D1526" i="178"/>
  <c r="G1525" i="178"/>
  <c r="D1525" i="178"/>
  <c r="G1524" i="178"/>
  <c r="D1524" i="178"/>
  <c r="G1523" i="178"/>
  <c r="D1523" i="178"/>
  <c r="G1522" i="178"/>
  <c r="D1522" i="178"/>
  <c r="G1521" i="178"/>
  <c r="D1521" i="178"/>
  <c r="G1520" i="178"/>
  <c r="D1520" i="178"/>
  <c r="G1519" i="178"/>
  <c r="D1519" i="178"/>
  <c r="G1518" i="178"/>
  <c r="D1518" i="178"/>
  <c r="G1517" i="178"/>
  <c r="D1517" i="178"/>
  <c r="G1516" i="178"/>
  <c r="D1516" i="178"/>
  <c r="G1515" i="178"/>
  <c r="D1515" i="178"/>
  <c r="G1514" i="178"/>
  <c r="D1514" i="178"/>
  <c r="G1513" i="178"/>
  <c r="D1513" i="178"/>
  <c r="G1512" i="178"/>
  <c r="D1512" i="178"/>
  <c r="G1511" i="178"/>
  <c r="D1511" i="178"/>
  <c r="G1510" i="178"/>
  <c r="D1510" i="178"/>
  <c r="G1509" i="178"/>
  <c r="D1509" i="178"/>
  <c r="G1508" i="178"/>
  <c r="D1508" i="178"/>
  <c r="G1507" i="178"/>
  <c r="D1507" i="178"/>
  <c r="G1506" i="178"/>
  <c r="D1506" i="178"/>
  <c r="G1505" i="178"/>
  <c r="D1505" i="178"/>
  <c r="G1504" i="178"/>
  <c r="D1504" i="178"/>
  <c r="G1503" i="178"/>
  <c r="D1503" i="178"/>
  <c r="G1502" i="178"/>
  <c r="D1502" i="178"/>
  <c r="G1501" i="178"/>
  <c r="D1501" i="178"/>
  <c r="G1500" i="178"/>
  <c r="D1500" i="178"/>
  <c r="G1499" i="178"/>
  <c r="D1499" i="178"/>
  <c r="G1498" i="178"/>
  <c r="D1498" i="178"/>
  <c r="G1497" i="178"/>
  <c r="D1497" i="178"/>
  <c r="G1496" i="178"/>
  <c r="D1496" i="178"/>
  <c r="G1495" i="178"/>
  <c r="D1495" i="178"/>
  <c r="G1494" i="178"/>
  <c r="D1494" i="178"/>
  <c r="G1493" i="178"/>
  <c r="D1493" i="178"/>
  <c r="G1492" i="178"/>
  <c r="D1492" i="178"/>
  <c r="G1491" i="178"/>
  <c r="D1491" i="178"/>
  <c r="G1490" i="178"/>
  <c r="D1490" i="178"/>
  <c r="G1489" i="178"/>
  <c r="D1489" i="178"/>
  <c r="G1488" i="178"/>
  <c r="D1488" i="178"/>
  <c r="G1487" i="178"/>
  <c r="D1487" i="178"/>
  <c r="G1486" i="178"/>
  <c r="D1486" i="178"/>
  <c r="G1485" i="178"/>
  <c r="D1485" i="178"/>
  <c r="G1484" i="178"/>
  <c r="D1484" i="178"/>
  <c r="G1483" i="178"/>
  <c r="D1483" i="178"/>
  <c r="G1482" i="178"/>
  <c r="D1482" i="178"/>
  <c r="G1481" i="178"/>
  <c r="D1481" i="178"/>
  <c r="G1480" i="178"/>
  <c r="D1480" i="178"/>
  <c r="G1479" i="178"/>
  <c r="D1479" i="178"/>
  <c r="G1478" i="178"/>
  <c r="D1478" i="178"/>
  <c r="G1477" i="178"/>
  <c r="D1477" i="178"/>
  <c r="G1476" i="178"/>
  <c r="D1476" i="178"/>
  <c r="G1475" i="178"/>
  <c r="D1475" i="178"/>
  <c r="G1474" i="178"/>
  <c r="D1474" i="178"/>
  <c r="G1473" i="178"/>
  <c r="D1473" i="178"/>
  <c r="G1472" i="178"/>
  <c r="D1472" i="178"/>
  <c r="G1471" i="178"/>
  <c r="D1471" i="178"/>
  <c r="G1470" i="178"/>
  <c r="D1470" i="178"/>
  <c r="G1469" i="178"/>
  <c r="D1469" i="178"/>
  <c r="G1468" i="178"/>
  <c r="D1468" i="178"/>
  <c r="G1467" i="178"/>
  <c r="D1467" i="178"/>
  <c r="G1466" i="178"/>
  <c r="D1466" i="178"/>
  <c r="G1465" i="178"/>
  <c r="D1465" i="178"/>
  <c r="G1464" i="178"/>
  <c r="D1464" i="178"/>
  <c r="G1463" i="178"/>
  <c r="D1463" i="178"/>
  <c r="G1462" i="178"/>
  <c r="D1462" i="178"/>
  <c r="G1461" i="178"/>
  <c r="D1461" i="178"/>
  <c r="G1460" i="178"/>
  <c r="D1460" i="178"/>
  <c r="G1459" i="178"/>
  <c r="D1459" i="178"/>
  <c r="G1458" i="178"/>
  <c r="D1458" i="178"/>
  <c r="G1457" i="178"/>
  <c r="D1457" i="178"/>
  <c r="G1456" i="178"/>
  <c r="D1456" i="178"/>
  <c r="G1455" i="178"/>
  <c r="D1455" i="178"/>
  <c r="G1454" i="178"/>
  <c r="D1454" i="178"/>
  <c r="G1453" i="178"/>
  <c r="D1453" i="178"/>
  <c r="G1452" i="178"/>
  <c r="D1452" i="178"/>
  <c r="G1451" i="178"/>
  <c r="D1451" i="178"/>
  <c r="G1450" i="178"/>
  <c r="D1450" i="178"/>
  <c r="G1449" i="178"/>
  <c r="D1449" i="178"/>
  <c r="G1448" i="178"/>
  <c r="D1448" i="178"/>
  <c r="G1447" i="178"/>
  <c r="D1447" i="178"/>
  <c r="G1446" i="178"/>
  <c r="D1446" i="178"/>
  <c r="G1445" i="178"/>
  <c r="D1445" i="178"/>
  <c r="G1444" i="178"/>
  <c r="D1444" i="178"/>
  <c r="G1443" i="178"/>
  <c r="D1443" i="178"/>
  <c r="G1442" i="178"/>
  <c r="D1442" i="178"/>
  <c r="G1441" i="178"/>
  <c r="D1441" i="178"/>
  <c r="G1440" i="178"/>
  <c r="D1440" i="178"/>
  <c r="G1439" i="178"/>
  <c r="D1439" i="178"/>
  <c r="G1438" i="178"/>
  <c r="D1438" i="178"/>
  <c r="G1437" i="178"/>
  <c r="D1437" i="178"/>
  <c r="G1436" i="178"/>
  <c r="D1436" i="178"/>
  <c r="G1435" i="178"/>
  <c r="D1435" i="178"/>
  <c r="G1434" i="178"/>
  <c r="D1434" i="178"/>
  <c r="G1433" i="178"/>
  <c r="D1433" i="178"/>
  <c r="G1432" i="178"/>
  <c r="D1432" i="178"/>
  <c r="G1431" i="178"/>
  <c r="D1431" i="178"/>
  <c r="G1430" i="178"/>
  <c r="D1430" i="178"/>
  <c r="G1429" i="178"/>
  <c r="D1429" i="178"/>
  <c r="G1428" i="178"/>
  <c r="D1428" i="178"/>
  <c r="G1427" i="178"/>
  <c r="D1427" i="178"/>
  <c r="G1426" i="178"/>
  <c r="D1426" i="178"/>
  <c r="G1425" i="178"/>
  <c r="D1425" i="178"/>
  <c r="G1424" i="178"/>
  <c r="D1424" i="178"/>
  <c r="G1423" i="178"/>
  <c r="D1423" i="178"/>
  <c r="G1422" i="178"/>
  <c r="D1422" i="178"/>
  <c r="G1421" i="178"/>
  <c r="D1421" i="178"/>
  <c r="G1420" i="178"/>
  <c r="D1420" i="178"/>
  <c r="G1419" i="178"/>
  <c r="D1419" i="178"/>
  <c r="G1418" i="178"/>
  <c r="D1418" i="178"/>
  <c r="G1417" i="178"/>
  <c r="D1417" i="178"/>
  <c r="G1416" i="178"/>
  <c r="D1416" i="178"/>
  <c r="G1415" i="178"/>
  <c r="D1415" i="178"/>
  <c r="G1414" i="178"/>
  <c r="D1414" i="178"/>
  <c r="G1413" i="178"/>
  <c r="D1413" i="178"/>
  <c r="G1412" i="178"/>
  <c r="D1412" i="178"/>
  <c r="G1411" i="178"/>
  <c r="D1411" i="178"/>
  <c r="G1410" i="178"/>
  <c r="D1410" i="178"/>
  <c r="G1409" i="178"/>
  <c r="D1409" i="178"/>
  <c r="G1408" i="178"/>
  <c r="D1408" i="178"/>
  <c r="G1407" i="178"/>
  <c r="D1407" i="178"/>
  <c r="G1406" i="178"/>
  <c r="D1406" i="178"/>
  <c r="G1405" i="178"/>
  <c r="D1405" i="178"/>
  <c r="G1404" i="178"/>
  <c r="D1404" i="178"/>
  <c r="G1403" i="178"/>
  <c r="D1403" i="178"/>
  <c r="G1402" i="178"/>
  <c r="D1402" i="178"/>
  <c r="G1401" i="178"/>
  <c r="D1401" i="178"/>
  <c r="G1400" i="178"/>
  <c r="D1400" i="178"/>
  <c r="G1399" i="178"/>
  <c r="D1399" i="178"/>
  <c r="G1398" i="178"/>
  <c r="D1398" i="178"/>
  <c r="G1397" i="178"/>
  <c r="D1397" i="178"/>
  <c r="G1396" i="178"/>
  <c r="D1396" i="178"/>
  <c r="G1395" i="178"/>
  <c r="D1395" i="178"/>
  <c r="G1394" i="178"/>
  <c r="D1394" i="178"/>
  <c r="G1393" i="178"/>
  <c r="D1393" i="178"/>
  <c r="G1392" i="178"/>
  <c r="D1392" i="178"/>
  <c r="G1391" i="178"/>
  <c r="D1391" i="178"/>
  <c r="G1390" i="178"/>
  <c r="D1390" i="178"/>
  <c r="G1389" i="178"/>
  <c r="D1389" i="178"/>
  <c r="G1388" i="178"/>
  <c r="D1388" i="178"/>
  <c r="G1387" i="178"/>
  <c r="D1387" i="178"/>
  <c r="G1386" i="178"/>
  <c r="D1386" i="178"/>
  <c r="G1385" i="178"/>
  <c r="D1385" i="178"/>
  <c r="G1384" i="178"/>
  <c r="D1384" i="178"/>
  <c r="G1383" i="178"/>
  <c r="D1383" i="178"/>
  <c r="G1382" i="178"/>
  <c r="D1382" i="178"/>
  <c r="G1381" i="178"/>
  <c r="D1381" i="178"/>
  <c r="G1380" i="178"/>
  <c r="D1380" i="178"/>
  <c r="G1379" i="178"/>
  <c r="D1379" i="178"/>
  <c r="G1378" i="178"/>
  <c r="D1378" i="178"/>
  <c r="G1377" i="178"/>
  <c r="D1377" i="178"/>
  <c r="G1376" i="178"/>
  <c r="D1376" i="178"/>
  <c r="G1375" i="178"/>
  <c r="D1375" i="178"/>
  <c r="G1374" i="178"/>
  <c r="D1374" i="178"/>
  <c r="G1373" i="178"/>
  <c r="D1373" i="178"/>
  <c r="G1372" i="178"/>
  <c r="D1372" i="178"/>
  <c r="G1371" i="178"/>
  <c r="D1371" i="178"/>
  <c r="G1370" i="178"/>
  <c r="D1370" i="178"/>
  <c r="G1369" i="178"/>
  <c r="D1369" i="178"/>
  <c r="G1368" i="178"/>
  <c r="D1368" i="178"/>
  <c r="G1367" i="178"/>
  <c r="D1367" i="178"/>
  <c r="G1366" i="178"/>
  <c r="D1366" i="178"/>
  <c r="G1365" i="178"/>
  <c r="D1365" i="178"/>
  <c r="G1364" i="178"/>
  <c r="D1364" i="178"/>
  <c r="G1363" i="178"/>
  <c r="D1363" i="178"/>
  <c r="G1362" i="178"/>
  <c r="D1362" i="178"/>
  <c r="G1361" i="178"/>
  <c r="D1361" i="178"/>
  <c r="G1360" i="178"/>
  <c r="D1360" i="178"/>
  <c r="G1359" i="178"/>
  <c r="D1359" i="178"/>
  <c r="G1358" i="178"/>
  <c r="D1358" i="178"/>
  <c r="G1357" i="178"/>
  <c r="D1357" i="178"/>
  <c r="G1356" i="178"/>
  <c r="D1356" i="178"/>
  <c r="G1355" i="178"/>
  <c r="D1355" i="178"/>
  <c r="G1354" i="178"/>
  <c r="D1354" i="178"/>
  <c r="G1353" i="178"/>
  <c r="D1353" i="178"/>
  <c r="G1352" i="178"/>
  <c r="D1352" i="178"/>
  <c r="G1351" i="178"/>
  <c r="D1351" i="178"/>
  <c r="G1350" i="178"/>
  <c r="D1350" i="178"/>
  <c r="G1349" i="178"/>
  <c r="D1349" i="178"/>
  <c r="G1348" i="178"/>
  <c r="D1348" i="178"/>
  <c r="G1347" i="178"/>
  <c r="D1347" i="178"/>
  <c r="G1346" i="178"/>
  <c r="D1346" i="178"/>
  <c r="G1345" i="178"/>
  <c r="D1345" i="178"/>
  <c r="G1344" i="178"/>
  <c r="D1344" i="178"/>
  <c r="G1343" i="178"/>
  <c r="D1343" i="178"/>
  <c r="G1342" i="178"/>
  <c r="D1342" i="178"/>
  <c r="G1341" i="178"/>
  <c r="D1341" i="178"/>
  <c r="G1340" i="178"/>
  <c r="D1340" i="178"/>
  <c r="G1339" i="178"/>
  <c r="D1339" i="178"/>
  <c r="G1338" i="178"/>
  <c r="D1338" i="178"/>
  <c r="G1337" i="178"/>
  <c r="D1337" i="178"/>
  <c r="G1336" i="178"/>
  <c r="D1336" i="178"/>
  <c r="G1335" i="178"/>
  <c r="D1335" i="178"/>
  <c r="G1334" i="178"/>
  <c r="D1334" i="178"/>
  <c r="G1333" i="178"/>
  <c r="D1333" i="178"/>
  <c r="G1332" i="178"/>
  <c r="D1332" i="178"/>
  <c r="G1331" i="178"/>
  <c r="D1331" i="178"/>
  <c r="G1330" i="178"/>
  <c r="D1330" i="178"/>
  <c r="G1329" i="178"/>
  <c r="D1329" i="178"/>
  <c r="G1328" i="178"/>
  <c r="D1328" i="178"/>
  <c r="G1327" i="178"/>
  <c r="D1327" i="178"/>
  <c r="G1326" i="178"/>
  <c r="D1326" i="178"/>
  <c r="G1325" i="178"/>
  <c r="D1325" i="178"/>
  <c r="G1324" i="178"/>
  <c r="D1324" i="178"/>
  <c r="G1323" i="178"/>
  <c r="D1323" i="178"/>
  <c r="G1322" i="178"/>
  <c r="D1322" i="178"/>
  <c r="G1321" i="178"/>
  <c r="D1321" i="178"/>
  <c r="G1320" i="178"/>
  <c r="D1320" i="178"/>
  <c r="G1319" i="178"/>
  <c r="D1319" i="178"/>
  <c r="G1318" i="178"/>
  <c r="D1318" i="178"/>
  <c r="G1317" i="178"/>
  <c r="D1317" i="178"/>
  <c r="G1316" i="178"/>
  <c r="D1316" i="178"/>
  <c r="G1315" i="178"/>
  <c r="D1315" i="178"/>
  <c r="G1314" i="178"/>
  <c r="D1314" i="178"/>
  <c r="G1313" i="178"/>
  <c r="D1313" i="178"/>
  <c r="G1312" i="178"/>
  <c r="D1312" i="178"/>
  <c r="G1311" i="178"/>
  <c r="D1311" i="178"/>
  <c r="G1310" i="178"/>
  <c r="D1310" i="178"/>
  <c r="G1309" i="178"/>
  <c r="D1309" i="178"/>
  <c r="G1308" i="178"/>
  <c r="D1308" i="178"/>
  <c r="G1307" i="178"/>
  <c r="D1307" i="178"/>
  <c r="G1306" i="178"/>
  <c r="D1306" i="178"/>
  <c r="G1305" i="178"/>
  <c r="D1305" i="178"/>
  <c r="G1304" i="178"/>
  <c r="D1304" i="178"/>
  <c r="G1303" i="178"/>
  <c r="D1303" i="178"/>
  <c r="G1302" i="178"/>
  <c r="D1302" i="178"/>
  <c r="G1301" i="178"/>
  <c r="D1301" i="178"/>
  <c r="G1300" i="178"/>
  <c r="D1300" i="178"/>
  <c r="G1299" i="178"/>
  <c r="D1299" i="178"/>
  <c r="G1298" i="178"/>
  <c r="D1298" i="178"/>
  <c r="G1297" i="178"/>
  <c r="D1297" i="178"/>
  <c r="G1296" i="178"/>
  <c r="D1296" i="178"/>
  <c r="G1295" i="178"/>
  <c r="D1295" i="178"/>
  <c r="G1294" i="178"/>
  <c r="D1294" i="178"/>
  <c r="G1293" i="178"/>
  <c r="D1293" i="178"/>
  <c r="G1292" i="178"/>
  <c r="D1292" i="178"/>
  <c r="G1291" i="178"/>
  <c r="D1291" i="178"/>
  <c r="G1290" i="178"/>
  <c r="D1290" i="178"/>
  <c r="G1289" i="178"/>
  <c r="D1289" i="178"/>
  <c r="G1288" i="178"/>
  <c r="D1288" i="178"/>
  <c r="G1287" i="178"/>
  <c r="D1287" i="178"/>
  <c r="G1286" i="178"/>
  <c r="D1286" i="178"/>
  <c r="G1285" i="178"/>
  <c r="D1285" i="178"/>
  <c r="G1284" i="178"/>
  <c r="D1284" i="178"/>
  <c r="G1283" i="178"/>
  <c r="D1283" i="178"/>
  <c r="G1282" i="178"/>
  <c r="D1282" i="178"/>
  <c r="G1281" i="178"/>
  <c r="D1281" i="178"/>
  <c r="G1280" i="178"/>
  <c r="D1280" i="178"/>
  <c r="G1279" i="178"/>
  <c r="D1279" i="178"/>
  <c r="G1278" i="178"/>
  <c r="D1278" i="178"/>
  <c r="G1277" i="178"/>
  <c r="D1277" i="178"/>
  <c r="G1276" i="178"/>
  <c r="D1276" i="178"/>
  <c r="G1275" i="178"/>
  <c r="D1275" i="178"/>
  <c r="G1274" i="178"/>
  <c r="D1274" i="178"/>
  <c r="G1273" i="178"/>
  <c r="D1273" i="178"/>
  <c r="G1272" i="178"/>
  <c r="D1272" i="178"/>
  <c r="G1271" i="178"/>
  <c r="D1271" i="178"/>
  <c r="G1270" i="178"/>
  <c r="D1270" i="178"/>
  <c r="G1269" i="178"/>
  <c r="D1269" i="178"/>
  <c r="G1268" i="178"/>
  <c r="D1268" i="178"/>
  <c r="G1267" i="178"/>
  <c r="D1267" i="178"/>
  <c r="G1266" i="178"/>
  <c r="D1266" i="178"/>
  <c r="G1265" i="178"/>
  <c r="D1265" i="178"/>
  <c r="G1264" i="178"/>
  <c r="D1264" i="178"/>
  <c r="G1263" i="178"/>
  <c r="D1263" i="178"/>
  <c r="G1262" i="178"/>
  <c r="D1262" i="178"/>
  <c r="G1261" i="178"/>
  <c r="D1261" i="178"/>
  <c r="G1260" i="178"/>
  <c r="D1260" i="178"/>
  <c r="G1259" i="178"/>
  <c r="D1259" i="178"/>
  <c r="G1258" i="178"/>
  <c r="D1258" i="178"/>
  <c r="G1257" i="178"/>
  <c r="D1257" i="178"/>
  <c r="G1256" i="178"/>
  <c r="D1256" i="178"/>
  <c r="G1255" i="178"/>
  <c r="D1255" i="178"/>
  <c r="G1254" i="178"/>
  <c r="D1254" i="178"/>
  <c r="G1253" i="178"/>
  <c r="D1253" i="178"/>
  <c r="G1252" i="178"/>
  <c r="D1252" i="178"/>
  <c r="G1251" i="178"/>
  <c r="D1251" i="178"/>
  <c r="G1250" i="178"/>
  <c r="D1250" i="178"/>
  <c r="G1249" i="178"/>
  <c r="D1249" i="178"/>
  <c r="G1248" i="178"/>
  <c r="D1248" i="178"/>
  <c r="G1247" i="178"/>
  <c r="D1247" i="178"/>
  <c r="G1246" i="178"/>
  <c r="D1246" i="178"/>
  <c r="G1245" i="178"/>
  <c r="D1245" i="178"/>
  <c r="G1244" i="178"/>
  <c r="D1244" i="178"/>
  <c r="G1243" i="178"/>
  <c r="D1243" i="178"/>
  <c r="G1242" i="178"/>
  <c r="D1242" i="178"/>
  <c r="G1241" i="178"/>
  <c r="D1241" i="178"/>
  <c r="G1240" i="178"/>
  <c r="D1240" i="178"/>
  <c r="G1239" i="178"/>
  <c r="D1239" i="178"/>
  <c r="G1238" i="178"/>
  <c r="D1238" i="178"/>
  <c r="G1237" i="178"/>
  <c r="D1237" i="178"/>
  <c r="G1236" i="178"/>
  <c r="D1236" i="178"/>
  <c r="G1235" i="178"/>
  <c r="D1235" i="178"/>
  <c r="G1234" i="178"/>
  <c r="D1234" i="178"/>
  <c r="G1233" i="178"/>
  <c r="D1233" i="178"/>
  <c r="G1232" i="178"/>
  <c r="D1232" i="178"/>
  <c r="G1231" i="178"/>
  <c r="D1231" i="178"/>
  <c r="G1230" i="178"/>
  <c r="D1230" i="178"/>
  <c r="G1229" i="178"/>
  <c r="D1229" i="178"/>
  <c r="G1228" i="178"/>
  <c r="D1228" i="178"/>
  <c r="G1227" i="178"/>
  <c r="D1227" i="178"/>
  <c r="G1226" i="178"/>
  <c r="D1226" i="178"/>
  <c r="G1225" i="178"/>
  <c r="D1225" i="178"/>
  <c r="G1224" i="178"/>
  <c r="D1224" i="178"/>
  <c r="G1223" i="178"/>
  <c r="D1223" i="178"/>
  <c r="G1222" i="178"/>
  <c r="D1222" i="178"/>
  <c r="G1221" i="178"/>
  <c r="D1221" i="178"/>
  <c r="G1220" i="178"/>
  <c r="D1220" i="178"/>
  <c r="G1219" i="178"/>
  <c r="D1219" i="178"/>
  <c r="G1218" i="178"/>
  <c r="D1218" i="178"/>
  <c r="G1217" i="178"/>
  <c r="D1217" i="178"/>
  <c r="G1216" i="178"/>
  <c r="D1216" i="178"/>
  <c r="G1215" i="178"/>
  <c r="D1215" i="178"/>
  <c r="G1214" i="178"/>
  <c r="D1214" i="178"/>
  <c r="G1213" i="178"/>
  <c r="D1213" i="178"/>
  <c r="G1212" i="178"/>
  <c r="D1212" i="178"/>
  <c r="G1211" i="178"/>
  <c r="D1211" i="178"/>
  <c r="G1210" i="178"/>
  <c r="D1210" i="178"/>
  <c r="G1209" i="178"/>
  <c r="D1209" i="178"/>
  <c r="G1208" i="178"/>
  <c r="D1208" i="178"/>
  <c r="G1207" i="178"/>
  <c r="D1207" i="178"/>
  <c r="G1206" i="178"/>
  <c r="D1206" i="178"/>
  <c r="G1205" i="178"/>
  <c r="D1205" i="178"/>
  <c r="G1204" i="178"/>
  <c r="D1204" i="178"/>
  <c r="G1203" i="178"/>
  <c r="D1203" i="178"/>
  <c r="G1202" i="178"/>
  <c r="D1202" i="178"/>
  <c r="G1201" i="178"/>
  <c r="D1201" i="178"/>
  <c r="G1200" i="178"/>
  <c r="D1200" i="178"/>
  <c r="G1199" i="178"/>
  <c r="D1199" i="178"/>
  <c r="G1198" i="178"/>
  <c r="D1198" i="178"/>
  <c r="G1197" i="178"/>
  <c r="D1197" i="178"/>
  <c r="G1196" i="178"/>
  <c r="D1196" i="178"/>
  <c r="G1195" i="178"/>
  <c r="D1195" i="178"/>
  <c r="G1194" i="178"/>
  <c r="D1194" i="178"/>
  <c r="G1193" i="178"/>
  <c r="D1193" i="178"/>
  <c r="G1192" i="178"/>
  <c r="D1192" i="178"/>
  <c r="G1191" i="178"/>
  <c r="D1191" i="178"/>
  <c r="G1190" i="178"/>
  <c r="D1190" i="178"/>
  <c r="G1189" i="178"/>
  <c r="D1189" i="178"/>
  <c r="G1188" i="178"/>
  <c r="D1188" i="178"/>
  <c r="G1187" i="178"/>
  <c r="D1187" i="178"/>
  <c r="G1186" i="178"/>
  <c r="D1186" i="178"/>
  <c r="G1185" i="178"/>
  <c r="D1185" i="178"/>
  <c r="G1184" i="178"/>
  <c r="D1184" i="178"/>
  <c r="G1183" i="178"/>
  <c r="D1183" i="178"/>
  <c r="G1182" i="178"/>
  <c r="D1182" i="178"/>
  <c r="G1181" i="178"/>
  <c r="D1181" i="178"/>
  <c r="G1180" i="178"/>
  <c r="D1180" i="178"/>
  <c r="G1179" i="178"/>
  <c r="D1179" i="178"/>
  <c r="G1178" i="178"/>
  <c r="D1178" i="178"/>
  <c r="G1177" i="178"/>
  <c r="D1177" i="178"/>
  <c r="G1176" i="178"/>
  <c r="D1176" i="178"/>
  <c r="G1175" i="178"/>
  <c r="D1175" i="178"/>
  <c r="G1174" i="178"/>
  <c r="D1174" i="178"/>
  <c r="G1173" i="178"/>
  <c r="D1173" i="178"/>
  <c r="G1172" i="178"/>
  <c r="D1172" i="178"/>
  <c r="G1171" i="178"/>
  <c r="D1171" i="178"/>
  <c r="G1170" i="178"/>
  <c r="D1170" i="178"/>
  <c r="G1169" i="178"/>
  <c r="D1169" i="178"/>
  <c r="G1168" i="178"/>
  <c r="D1168" i="178"/>
  <c r="G1167" i="178"/>
  <c r="D1167" i="178"/>
  <c r="G1166" i="178"/>
  <c r="D1166" i="178"/>
  <c r="G1165" i="178"/>
  <c r="D1165" i="178"/>
  <c r="G1164" i="178"/>
  <c r="D1164" i="178"/>
  <c r="G1163" i="178"/>
  <c r="D1163" i="178"/>
  <c r="G1162" i="178"/>
  <c r="D1162" i="178"/>
  <c r="G1161" i="178"/>
  <c r="D1161" i="178"/>
  <c r="G1160" i="178"/>
  <c r="D1160" i="178"/>
  <c r="G1159" i="178"/>
  <c r="D1159" i="178"/>
  <c r="G1158" i="178"/>
  <c r="D1158" i="178"/>
  <c r="G1157" i="178"/>
  <c r="D1157" i="178"/>
  <c r="G1156" i="178"/>
  <c r="D1156" i="178"/>
  <c r="G1155" i="178"/>
  <c r="D1155" i="178"/>
  <c r="G1154" i="178"/>
  <c r="D1154" i="178"/>
  <c r="G1153" i="178"/>
  <c r="D1153" i="178"/>
  <c r="G1152" i="178"/>
  <c r="D1152" i="178"/>
  <c r="G1151" i="178"/>
  <c r="D1151" i="178"/>
  <c r="G1150" i="178"/>
  <c r="D1150" i="178"/>
  <c r="G1149" i="178"/>
  <c r="D1149" i="178"/>
  <c r="G1148" i="178"/>
  <c r="D1148" i="178"/>
  <c r="G1147" i="178"/>
  <c r="D1147" i="178"/>
  <c r="G1146" i="178"/>
  <c r="D1146" i="178"/>
  <c r="G1145" i="178"/>
  <c r="D1145" i="178"/>
  <c r="G1144" i="178"/>
  <c r="D1144" i="178"/>
  <c r="G1143" i="178"/>
  <c r="D1143" i="178"/>
  <c r="G1142" i="178"/>
  <c r="D1142" i="178"/>
  <c r="G1141" i="178"/>
  <c r="D1141" i="178"/>
  <c r="G1140" i="178"/>
  <c r="D1140" i="178"/>
  <c r="G1139" i="178"/>
  <c r="D1139" i="178"/>
  <c r="G1138" i="178"/>
  <c r="D1138" i="178"/>
  <c r="G1137" i="178"/>
  <c r="D1137" i="178"/>
  <c r="G1136" i="178"/>
  <c r="D1136" i="178"/>
  <c r="G1135" i="178"/>
  <c r="D1135" i="178"/>
  <c r="G1134" i="178"/>
  <c r="D1134" i="178"/>
  <c r="G1133" i="178"/>
  <c r="D1133" i="178"/>
  <c r="G1132" i="178"/>
  <c r="D1132" i="178"/>
  <c r="G1131" i="178"/>
  <c r="D1131" i="178"/>
  <c r="G1130" i="178"/>
  <c r="D1130" i="178"/>
  <c r="G1129" i="178"/>
  <c r="D1129" i="178"/>
  <c r="G1128" i="178"/>
  <c r="D1128" i="178"/>
  <c r="G1127" i="178"/>
  <c r="D1127" i="178"/>
  <c r="G1126" i="178"/>
  <c r="D1126" i="178"/>
  <c r="G1125" i="178"/>
  <c r="D1125" i="178"/>
  <c r="G1124" i="178"/>
  <c r="D1124" i="178"/>
  <c r="G1123" i="178"/>
  <c r="D1123" i="178"/>
  <c r="G1122" i="178"/>
  <c r="D1122" i="178"/>
  <c r="G1121" i="178"/>
  <c r="D1121" i="178"/>
  <c r="G1120" i="178"/>
  <c r="D1120" i="178"/>
  <c r="G1119" i="178"/>
  <c r="D1119" i="178"/>
  <c r="G1118" i="178"/>
  <c r="D1118" i="178"/>
  <c r="G1117" i="178"/>
  <c r="D1117" i="178"/>
  <c r="G1116" i="178"/>
  <c r="D1116" i="178"/>
  <c r="G1115" i="178"/>
  <c r="D1115" i="178"/>
  <c r="G1114" i="178"/>
  <c r="D1114" i="178"/>
  <c r="G1113" i="178"/>
  <c r="D1113" i="178"/>
  <c r="G1112" i="178"/>
  <c r="D1112" i="178"/>
  <c r="G1111" i="178"/>
  <c r="D1111" i="178"/>
  <c r="G1110" i="178"/>
  <c r="D1110" i="178"/>
  <c r="G1109" i="178"/>
  <c r="D1109" i="178"/>
  <c r="G1108" i="178"/>
  <c r="D1108" i="178"/>
  <c r="G1107" i="178"/>
  <c r="D1107" i="178"/>
  <c r="G1106" i="178"/>
  <c r="D1106" i="178"/>
  <c r="G1105" i="178"/>
  <c r="D1105" i="178"/>
  <c r="G1104" i="178"/>
  <c r="D1104" i="178"/>
  <c r="G1103" i="178"/>
  <c r="D1103" i="178"/>
  <c r="G1102" i="178"/>
  <c r="D1102" i="178"/>
  <c r="G1101" i="178"/>
  <c r="D1101" i="178"/>
  <c r="G1100" i="178"/>
  <c r="D1100" i="178"/>
  <c r="G1099" i="178"/>
  <c r="D1099" i="178"/>
  <c r="G1098" i="178"/>
  <c r="D1098" i="178"/>
  <c r="G1097" i="178"/>
  <c r="D1097" i="178"/>
  <c r="G1096" i="178"/>
  <c r="D1096" i="178"/>
  <c r="G1095" i="178"/>
  <c r="D1095" i="178"/>
  <c r="G1094" i="178"/>
  <c r="D1094" i="178"/>
  <c r="G1093" i="178"/>
  <c r="D1093" i="178"/>
  <c r="G1092" i="178"/>
  <c r="D1092" i="178"/>
  <c r="G1091" i="178"/>
  <c r="D1091" i="178"/>
  <c r="G1090" i="178"/>
  <c r="D1090" i="178"/>
  <c r="G1089" i="178"/>
  <c r="D1089" i="178"/>
  <c r="G1088" i="178"/>
  <c r="D1088" i="178"/>
  <c r="G1087" i="178"/>
  <c r="D1087" i="178"/>
  <c r="G1086" i="178"/>
  <c r="D1086" i="178"/>
  <c r="G1085" i="178"/>
  <c r="D1085" i="178"/>
  <c r="G1084" i="178"/>
  <c r="D1084" i="178"/>
  <c r="G1083" i="178"/>
  <c r="D1083" i="178"/>
  <c r="G1082" i="178"/>
  <c r="D1082" i="178"/>
  <c r="G1081" i="178"/>
  <c r="D1081" i="178"/>
  <c r="G1080" i="178"/>
  <c r="D1080" i="178"/>
  <c r="G1079" i="178"/>
  <c r="D1079" i="178"/>
  <c r="G1078" i="178"/>
  <c r="D1078" i="178"/>
  <c r="G1077" i="178"/>
  <c r="D1077" i="178"/>
  <c r="G1076" i="178"/>
  <c r="D1076" i="178"/>
  <c r="G1075" i="178"/>
  <c r="D1075" i="178"/>
  <c r="G1074" i="178"/>
  <c r="D1074" i="178"/>
  <c r="G1073" i="178"/>
  <c r="D1073" i="178"/>
  <c r="G1072" i="178"/>
  <c r="D1072" i="178"/>
  <c r="G1071" i="178"/>
  <c r="D1071" i="178"/>
  <c r="G1070" i="178"/>
  <c r="D1070" i="178"/>
  <c r="G1069" i="178"/>
  <c r="D1069" i="178"/>
  <c r="G1068" i="178"/>
  <c r="D1068" i="178"/>
  <c r="G1067" i="178"/>
  <c r="D1067" i="178"/>
  <c r="G1066" i="178"/>
  <c r="D1066" i="178"/>
  <c r="G1065" i="178"/>
  <c r="D1065" i="178"/>
  <c r="G1064" i="178"/>
  <c r="D1064" i="178"/>
  <c r="G1063" i="178"/>
  <c r="D1063" i="178"/>
  <c r="G1062" i="178"/>
  <c r="D1062" i="178"/>
  <c r="G1061" i="178"/>
  <c r="D1061" i="178"/>
  <c r="G1060" i="178"/>
  <c r="D1060" i="178"/>
  <c r="G1059" i="178"/>
  <c r="D1059" i="178"/>
  <c r="G1058" i="178"/>
  <c r="D1058" i="178"/>
  <c r="G1057" i="178"/>
  <c r="D1057" i="178"/>
  <c r="G1056" i="178"/>
  <c r="D1056" i="178"/>
  <c r="G1055" i="178"/>
  <c r="D1055" i="178"/>
  <c r="G1054" i="178"/>
  <c r="D1054" i="178"/>
  <c r="G1053" i="178"/>
  <c r="D1053" i="178"/>
  <c r="G1052" i="178"/>
  <c r="D1052" i="178"/>
  <c r="G1051" i="178"/>
  <c r="D1051" i="178"/>
  <c r="G1050" i="178"/>
  <c r="D1050" i="178"/>
  <c r="G1049" i="178"/>
  <c r="D1049" i="178"/>
  <c r="G1048" i="178"/>
  <c r="D1048" i="178"/>
  <c r="G1047" i="178"/>
  <c r="D1047" i="178"/>
  <c r="G1046" i="178"/>
  <c r="D1046" i="178"/>
  <c r="G1045" i="178"/>
  <c r="D1045" i="178"/>
  <c r="G1044" i="178"/>
  <c r="D1044" i="178"/>
  <c r="G1043" i="178"/>
  <c r="D1043" i="178"/>
  <c r="G1042" i="178"/>
  <c r="D1042" i="178"/>
  <c r="G1041" i="178"/>
  <c r="D1041" i="178"/>
  <c r="G1040" i="178"/>
  <c r="D1040" i="178"/>
  <c r="G1039" i="178"/>
  <c r="D1039" i="178"/>
  <c r="G1038" i="178"/>
  <c r="D1038" i="178"/>
  <c r="G1037" i="178"/>
  <c r="D1037" i="178"/>
  <c r="G1036" i="178"/>
  <c r="D1036" i="178"/>
  <c r="G1035" i="178"/>
  <c r="D1035" i="178"/>
  <c r="G1034" i="178"/>
  <c r="D1034" i="178"/>
  <c r="G1033" i="178"/>
  <c r="D1033" i="178"/>
  <c r="G1032" i="178"/>
  <c r="D1032" i="178"/>
  <c r="G1031" i="178"/>
  <c r="D1031" i="178"/>
  <c r="G1030" i="178"/>
  <c r="D1030" i="178"/>
  <c r="G1029" i="178"/>
  <c r="D1029" i="178"/>
  <c r="G1028" i="178"/>
  <c r="D1028" i="178"/>
  <c r="G1027" i="178"/>
  <c r="D1027" i="178"/>
  <c r="G1026" i="178"/>
  <c r="D1026" i="178"/>
  <c r="G1025" i="178"/>
  <c r="D1025" i="178"/>
  <c r="G1024" i="178"/>
  <c r="D1024" i="178"/>
  <c r="G1023" i="178"/>
  <c r="D1023" i="178"/>
  <c r="G1022" i="178"/>
  <c r="D1022" i="178"/>
  <c r="G1021" i="178"/>
  <c r="D1021" i="178"/>
  <c r="G1020" i="178"/>
  <c r="D1020" i="178"/>
  <c r="G1019" i="178"/>
  <c r="D1019" i="178"/>
  <c r="G1018" i="178"/>
  <c r="D1018" i="178"/>
  <c r="G1017" i="178"/>
  <c r="D1017" i="178"/>
  <c r="G1016" i="178"/>
  <c r="D1016" i="178"/>
  <c r="G1015" i="178"/>
  <c r="D1015" i="178"/>
  <c r="G1014" i="178"/>
  <c r="D1014" i="178"/>
  <c r="G1013" i="178"/>
  <c r="D1013" i="178"/>
  <c r="G1012" i="178"/>
  <c r="D1012" i="178"/>
  <c r="G1011" i="178"/>
  <c r="D1011" i="178"/>
  <c r="G1010" i="178"/>
  <c r="D1010" i="178"/>
  <c r="G1009" i="178"/>
  <c r="D1009" i="178"/>
  <c r="G1008" i="178"/>
  <c r="D1008" i="178"/>
  <c r="G1007" i="178"/>
  <c r="D1007" i="178"/>
  <c r="G1006" i="178"/>
  <c r="D1006" i="178"/>
  <c r="G1005" i="178"/>
  <c r="D1005" i="178"/>
  <c r="G1004" i="178"/>
  <c r="D1004" i="178"/>
  <c r="G1003" i="178"/>
  <c r="D1003" i="178"/>
  <c r="G1002" i="178"/>
  <c r="D1002" i="178"/>
  <c r="G1001" i="178"/>
  <c r="D1001" i="178"/>
  <c r="G1000" i="178"/>
  <c r="D1000" i="178"/>
  <c r="G999" i="178"/>
  <c r="D999" i="178"/>
  <c r="G998" i="178"/>
  <c r="D998" i="178"/>
  <c r="G997" i="178"/>
  <c r="D997" i="178"/>
  <c r="G996" i="178"/>
  <c r="D996" i="178"/>
  <c r="G995" i="178"/>
  <c r="D995" i="178"/>
  <c r="G994" i="178"/>
  <c r="D994" i="178"/>
  <c r="G993" i="178"/>
  <c r="D993" i="178"/>
  <c r="G992" i="178"/>
  <c r="D992" i="178"/>
  <c r="G991" i="178"/>
  <c r="D991" i="178"/>
  <c r="G990" i="178"/>
  <c r="D990" i="178"/>
  <c r="G989" i="178"/>
  <c r="D989" i="178"/>
  <c r="G988" i="178"/>
  <c r="D988" i="178"/>
  <c r="G987" i="178"/>
  <c r="D987" i="178"/>
  <c r="G986" i="178"/>
  <c r="D986" i="178"/>
  <c r="G985" i="178"/>
  <c r="D985" i="178"/>
  <c r="G984" i="178"/>
  <c r="D984" i="178"/>
  <c r="G983" i="178"/>
  <c r="D983" i="178"/>
  <c r="G982" i="178"/>
  <c r="D982" i="178"/>
  <c r="G981" i="178"/>
  <c r="D981" i="178"/>
  <c r="G980" i="178"/>
  <c r="D980" i="178"/>
  <c r="G979" i="178"/>
  <c r="D979" i="178"/>
  <c r="G978" i="178"/>
  <c r="D978" i="178"/>
  <c r="G977" i="178"/>
  <c r="D977" i="178"/>
  <c r="G976" i="178"/>
  <c r="D976" i="178"/>
  <c r="G975" i="178"/>
  <c r="D975" i="178"/>
  <c r="G974" i="178"/>
  <c r="D974" i="178"/>
  <c r="G973" i="178"/>
  <c r="D973" i="178"/>
  <c r="G972" i="178"/>
  <c r="D972" i="178"/>
  <c r="G971" i="178"/>
  <c r="D971" i="178"/>
  <c r="G970" i="178"/>
  <c r="D970" i="178"/>
  <c r="G969" i="178"/>
  <c r="D969" i="178"/>
  <c r="G968" i="178"/>
  <c r="D968" i="178"/>
  <c r="G967" i="178"/>
  <c r="D967" i="178"/>
  <c r="G966" i="178"/>
  <c r="D966" i="178"/>
  <c r="G965" i="178"/>
  <c r="D965" i="178"/>
  <c r="G964" i="178"/>
  <c r="D964" i="178"/>
  <c r="G963" i="178"/>
  <c r="D963" i="178"/>
  <c r="G962" i="178"/>
  <c r="D962" i="178"/>
  <c r="G961" i="178"/>
  <c r="D961" i="178"/>
  <c r="G960" i="178"/>
  <c r="D960" i="178"/>
  <c r="G959" i="178"/>
  <c r="D959" i="178"/>
  <c r="G958" i="178"/>
  <c r="D958" i="178"/>
  <c r="G957" i="178"/>
  <c r="D957" i="178"/>
  <c r="G956" i="178"/>
  <c r="D956" i="178"/>
  <c r="G955" i="178"/>
  <c r="D955" i="178"/>
  <c r="G954" i="178"/>
  <c r="D954" i="178"/>
  <c r="G953" i="178"/>
  <c r="D953" i="178"/>
  <c r="G952" i="178"/>
  <c r="D952" i="178"/>
  <c r="G951" i="178"/>
  <c r="D951" i="178"/>
  <c r="G950" i="178"/>
  <c r="D950" i="178"/>
  <c r="G949" i="178"/>
  <c r="D949" i="178"/>
  <c r="G948" i="178"/>
  <c r="D948" i="178"/>
  <c r="G947" i="178"/>
  <c r="D947" i="178"/>
  <c r="G946" i="178"/>
  <c r="D946" i="178"/>
  <c r="G945" i="178"/>
  <c r="D945" i="178"/>
  <c r="G944" i="178"/>
  <c r="D944" i="178"/>
  <c r="G943" i="178"/>
  <c r="D943" i="178"/>
  <c r="G942" i="178"/>
  <c r="D942" i="178"/>
  <c r="G941" i="178"/>
  <c r="D941" i="178"/>
  <c r="G940" i="178"/>
  <c r="D940" i="178"/>
  <c r="G939" i="178"/>
  <c r="D939" i="178"/>
  <c r="G938" i="178"/>
  <c r="D938" i="178"/>
  <c r="G937" i="178"/>
  <c r="D937" i="178"/>
  <c r="G936" i="178"/>
  <c r="D936" i="178"/>
  <c r="G935" i="178"/>
  <c r="D935" i="178"/>
  <c r="G934" i="178"/>
  <c r="D934" i="178"/>
  <c r="G933" i="178"/>
  <c r="D933" i="178"/>
  <c r="G932" i="178"/>
  <c r="D932" i="178"/>
  <c r="G931" i="178"/>
  <c r="D931" i="178"/>
  <c r="G930" i="178"/>
  <c r="D930" i="178"/>
  <c r="G929" i="178"/>
  <c r="D929" i="178"/>
  <c r="G928" i="178"/>
  <c r="D928" i="178"/>
  <c r="G927" i="178"/>
  <c r="D927" i="178"/>
  <c r="G926" i="178"/>
  <c r="D926" i="178"/>
  <c r="G925" i="178"/>
  <c r="D925" i="178"/>
  <c r="G924" i="178"/>
  <c r="D924" i="178"/>
  <c r="G923" i="178"/>
  <c r="D923" i="178"/>
  <c r="G922" i="178"/>
  <c r="D922" i="178"/>
  <c r="G921" i="178"/>
  <c r="D921" i="178"/>
  <c r="G920" i="178"/>
  <c r="D920" i="178"/>
  <c r="G919" i="178"/>
  <c r="D919" i="178"/>
  <c r="G918" i="178"/>
  <c r="D918" i="178"/>
  <c r="G917" i="178"/>
  <c r="D917" i="178"/>
  <c r="G916" i="178"/>
  <c r="D916" i="178"/>
  <c r="G915" i="178"/>
  <c r="D915" i="178"/>
  <c r="G914" i="178"/>
  <c r="D914" i="178"/>
  <c r="G913" i="178"/>
  <c r="D913" i="178"/>
  <c r="G912" i="178"/>
  <c r="D912" i="178"/>
  <c r="G911" i="178"/>
  <c r="D911" i="178"/>
  <c r="G910" i="178"/>
  <c r="D910" i="178"/>
  <c r="G909" i="178"/>
  <c r="D909" i="178"/>
  <c r="G908" i="178"/>
  <c r="D908" i="178"/>
  <c r="G907" i="178"/>
  <c r="D907" i="178"/>
  <c r="G906" i="178"/>
  <c r="D906" i="178"/>
  <c r="G905" i="178"/>
  <c r="D905" i="178"/>
  <c r="G904" i="178"/>
  <c r="D904" i="178"/>
  <c r="G903" i="178"/>
  <c r="D903" i="178"/>
  <c r="G902" i="178"/>
  <c r="D902" i="178"/>
  <c r="G901" i="178"/>
  <c r="D901" i="178"/>
  <c r="G900" i="178"/>
  <c r="D900" i="178"/>
  <c r="G899" i="178"/>
  <c r="D899" i="178"/>
  <c r="G898" i="178"/>
  <c r="D898" i="178"/>
  <c r="G897" i="178"/>
  <c r="D897" i="178"/>
  <c r="G896" i="178"/>
  <c r="D896" i="178"/>
  <c r="G895" i="178"/>
  <c r="D895" i="178"/>
  <c r="G894" i="178"/>
  <c r="D894" i="178"/>
  <c r="G893" i="178"/>
  <c r="D893" i="178"/>
  <c r="G892" i="178"/>
  <c r="D892" i="178"/>
  <c r="G891" i="178"/>
  <c r="D891" i="178"/>
  <c r="G890" i="178"/>
  <c r="D890" i="178"/>
  <c r="G889" i="178"/>
  <c r="D889" i="178"/>
  <c r="G888" i="178"/>
  <c r="D888" i="178"/>
  <c r="G887" i="178"/>
  <c r="D887" i="178"/>
  <c r="G886" i="178"/>
  <c r="D886" i="178"/>
  <c r="G885" i="178"/>
  <c r="D885" i="178"/>
  <c r="G884" i="178"/>
  <c r="D884" i="178"/>
  <c r="G883" i="178"/>
  <c r="D883" i="178"/>
  <c r="G882" i="178"/>
  <c r="D882" i="178"/>
  <c r="G881" i="178"/>
  <c r="D881" i="178"/>
  <c r="G880" i="178"/>
  <c r="D880" i="178"/>
  <c r="G879" i="178"/>
  <c r="D879" i="178"/>
  <c r="G878" i="178"/>
  <c r="D878" i="178"/>
  <c r="G877" i="178"/>
  <c r="D877" i="178"/>
  <c r="G876" i="178"/>
  <c r="D876" i="178"/>
  <c r="G875" i="178"/>
  <c r="D875" i="178"/>
  <c r="G874" i="178"/>
  <c r="D874" i="178"/>
  <c r="G873" i="178"/>
  <c r="D873" i="178"/>
  <c r="G872" i="178"/>
  <c r="D872" i="178"/>
  <c r="G871" i="178"/>
  <c r="D871" i="178"/>
  <c r="G870" i="178"/>
  <c r="D870" i="178"/>
  <c r="G869" i="178"/>
  <c r="D869" i="178"/>
  <c r="G868" i="178"/>
  <c r="D868" i="178"/>
  <c r="G867" i="178"/>
  <c r="D867" i="178"/>
  <c r="G866" i="178"/>
  <c r="D866" i="178"/>
  <c r="G865" i="178"/>
  <c r="D865" i="178"/>
  <c r="G864" i="178"/>
  <c r="D864" i="178"/>
  <c r="G863" i="178"/>
  <c r="D863" i="178"/>
  <c r="G862" i="178"/>
  <c r="D862" i="178"/>
  <c r="G861" i="178"/>
  <c r="D861" i="178"/>
  <c r="G860" i="178"/>
  <c r="D860" i="178"/>
  <c r="G859" i="178"/>
  <c r="D859" i="178"/>
  <c r="G858" i="178"/>
  <c r="D858" i="178"/>
  <c r="G857" i="178"/>
  <c r="D857" i="178"/>
  <c r="G856" i="178"/>
  <c r="D856" i="178"/>
  <c r="G855" i="178"/>
  <c r="D855" i="178"/>
  <c r="G854" i="178"/>
  <c r="D854" i="178"/>
  <c r="G853" i="178"/>
  <c r="D853" i="178"/>
  <c r="G852" i="178"/>
  <c r="D852" i="178"/>
  <c r="G851" i="178"/>
  <c r="D851" i="178"/>
  <c r="G850" i="178"/>
  <c r="D850" i="178"/>
  <c r="G849" i="178"/>
  <c r="D849" i="178"/>
  <c r="G848" i="178"/>
  <c r="D848" i="178"/>
  <c r="G847" i="178"/>
  <c r="D847" i="178"/>
  <c r="G846" i="178"/>
  <c r="D846" i="178"/>
  <c r="G845" i="178"/>
  <c r="D845" i="178"/>
  <c r="G844" i="178"/>
  <c r="D844" i="178"/>
  <c r="G843" i="178"/>
  <c r="D843" i="178"/>
  <c r="G842" i="178"/>
  <c r="D842" i="178"/>
  <c r="G841" i="178"/>
  <c r="D841" i="178"/>
  <c r="G840" i="178"/>
  <c r="D840" i="178"/>
  <c r="G839" i="178"/>
  <c r="D839" i="178"/>
  <c r="G838" i="178"/>
  <c r="D838" i="178"/>
  <c r="G837" i="178"/>
  <c r="D837" i="178"/>
  <c r="G836" i="178"/>
  <c r="D836" i="178"/>
  <c r="G835" i="178"/>
  <c r="D835" i="178"/>
  <c r="G834" i="178"/>
  <c r="D834" i="178"/>
  <c r="G833" i="178"/>
  <c r="D833" i="178"/>
  <c r="G832" i="178"/>
  <c r="D832" i="178"/>
  <c r="G831" i="178"/>
  <c r="D831" i="178"/>
  <c r="G830" i="178"/>
  <c r="D830" i="178"/>
  <c r="G829" i="178"/>
  <c r="D829" i="178"/>
  <c r="G828" i="178"/>
  <c r="D828" i="178"/>
  <c r="G827" i="178"/>
  <c r="D827" i="178"/>
  <c r="G826" i="178"/>
  <c r="D826" i="178"/>
  <c r="G825" i="178"/>
  <c r="D825" i="178"/>
  <c r="G824" i="178"/>
  <c r="D824" i="178"/>
  <c r="G823" i="178"/>
  <c r="D823" i="178"/>
  <c r="G822" i="178"/>
  <c r="D822" i="178"/>
  <c r="G821" i="178"/>
  <c r="D821" i="178"/>
  <c r="G820" i="178"/>
  <c r="D820" i="178"/>
  <c r="G819" i="178"/>
  <c r="D819" i="178"/>
  <c r="G818" i="178"/>
  <c r="D818" i="178"/>
  <c r="G817" i="178"/>
  <c r="D817" i="178"/>
  <c r="G816" i="178"/>
  <c r="D816" i="178"/>
  <c r="G815" i="178"/>
  <c r="D815" i="178"/>
  <c r="G814" i="178"/>
  <c r="D814" i="178"/>
  <c r="G813" i="178"/>
  <c r="D813" i="178"/>
  <c r="G812" i="178"/>
  <c r="D812" i="178"/>
  <c r="G811" i="178"/>
  <c r="D811" i="178"/>
  <c r="G810" i="178"/>
  <c r="D810" i="178"/>
  <c r="G809" i="178"/>
  <c r="D809" i="178"/>
  <c r="G808" i="178"/>
  <c r="D808" i="178"/>
  <c r="G807" i="178"/>
  <c r="D807" i="178"/>
  <c r="G806" i="178"/>
  <c r="D806" i="178"/>
  <c r="G805" i="178"/>
  <c r="D805" i="178"/>
  <c r="G804" i="178"/>
  <c r="D804" i="178"/>
  <c r="G803" i="178"/>
  <c r="D803" i="178"/>
  <c r="G802" i="178"/>
  <c r="D802" i="178"/>
  <c r="G801" i="178"/>
  <c r="D801" i="178"/>
  <c r="G800" i="178"/>
  <c r="D800" i="178"/>
  <c r="G799" i="178"/>
  <c r="D799" i="178"/>
  <c r="G798" i="178"/>
  <c r="D798" i="178"/>
  <c r="G797" i="178"/>
  <c r="D797" i="178"/>
  <c r="G796" i="178"/>
  <c r="D796" i="178"/>
  <c r="G795" i="178"/>
  <c r="D795" i="178"/>
  <c r="G794" i="178"/>
  <c r="D794" i="178"/>
  <c r="G793" i="178"/>
  <c r="D793" i="178"/>
  <c r="G792" i="178"/>
  <c r="D792" i="178"/>
  <c r="G791" i="178"/>
  <c r="D791" i="178"/>
  <c r="G790" i="178"/>
  <c r="D790" i="178"/>
  <c r="G789" i="178"/>
  <c r="D789" i="178"/>
  <c r="G788" i="178"/>
  <c r="D788" i="178"/>
  <c r="G787" i="178"/>
  <c r="D787" i="178"/>
  <c r="G786" i="178"/>
  <c r="D786" i="178"/>
  <c r="G785" i="178"/>
  <c r="D785" i="178"/>
  <c r="G784" i="178"/>
  <c r="D784" i="178"/>
  <c r="G783" i="178"/>
  <c r="D783" i="178"/>
  <c r="G782" i="178"/>
  <c r="D782" i="178"/>
  <c r="G781" i="178"/>
  <c r="D781" i="178"/>
  <c r="G780" i="178"/>
  <c r="D780" i="178"/>
  <c r="G779" i="178"/>
  <c r="D779" i="178"/>
  <c r="G778" i="178"/>
  <c r="D778" i="178"/>
  <c r="G777" i="178"/>
  <c r="D777" i="178"/>
  <c r="G776" i="178"/>
  <c r="D776" i="178"/>
  <c r="G775" i="178"/>
  <c r="D775" i="178"/>
  <c r="G774" i="178"/>
  <c r="D774" i="178"/>
  <c r="G773" i="178"/>
  <c r="D773" i="178"/>
  <c r="G772" i="178"/>
  <c r="D772" i="178"/>
  <c r="G771" i="178"/>
  <c r="D771" i="178"/>
  <c r="G770" i="178"/>
  <c r="D770" i="178"/>
  <c r="G769" i="178"/>
  <c r="D769" i="178"/>
  <c r="G768" i="178"/>
  <c r="D768" i="178"/>
  <c r="G767" i="178"/>
  <c r="D767" i="178"/>
  <c r="G766" i="178"/>
  <c r="D766" i="178"/>
  <c r="G765" i="178"/>
  <c r="D765" i="178"/>
  <c r="G764" i="178"/>
  <c r="D764" i="178"/>
  <c r="G763" i="178"/>
  <c r="D763" i="178"/>
  <c r="G762" i="178"/>
  <c r="D762" i="178"/>
  <c r="G761" i="178"/>
  <c r="D761" i="178"/>
  <c r="G760" i="178"/>
  <c r="D760" i="178"/>
  <c r="G759" i="178"/>
  <c r="D759" i="178"/>
  <c r="G758" i="178"/>
  <c r="D758" i="178"/>
  <c r="G757" i="178"/>
  <c r="D757" i="178"/>
  <c r="G756" i="178"/>
  <c r="D756" i="178"/>
  <c r="G755" i="178"/>
  <c r="D755" i="178"/>
  <c r="G754" i="178"/>
  <c r="D754" i="178"/>
  <c r="G753" i="178"/>
  <c r="D753" i="178"/>
  <c r="G752" i="178"/>
  <c r="D752" i="178"/>
  <c r="G751" i="178"/>
  <c r="D751" i="178"/>
  <c r="G750" i="178"/>
  <c r="D750" i="178"/>
  <c r="G749" i="178"/>
  <c r="D749" i="178"/>
  <c r="G748" i="178"/>
  <c r="D748" i="178"/>
  <c r="G747" i="178"/>
  <c r="D747" i="178"/>
  <c r="G746" i="178"/>
  <c r="D746" i="178"/>
  <c r="G745" i="178"/>
  <c r="D745" i="178"/>
  <c r="G744" i="178"/>
  <c r="D744" i="178"/>
  <c r="G743" i="178"/>
  <c r="D743" i="178"/>
  <c r="G742" i="178"/>
  <c r="D742" i="178"/>
  <c r="G741" i="178"/>
  <c r="D741" i="178"/>
  <c r="G740" i="178"/>
  <c r="D740" i="178"/>
  <c r="G739" i="178"/>
  <c r="D739" i="178"/>
  <c r="G738" i="178"/>
  <c r="D738" i="178"/>
  <c r="G737" i="178"/>
  <c r="D737" i="178"/>
  <c r="G736" i="178"/>
  <c r="D736" i="178"/>
  <c r="G735" i="178"/>
  <c r="D735" i="178"/>
  <c r="G734" i="178"/>
  <c r="D734" i="178"/>
  <c r="G733" i="178"/>
  <c r="D733" i="178"/>
  <c r="G732" i="178"/>
  <c r="D732" i="178"/>
  <c r="G731" i="178"/>
  <c r="D731" i="178"/>
  <c r="G730" i="178"/>
  <c r="D730" i="178"/>
  <c r="G729" i="178"/>
  <c r="D729" i="178"/>
  <c r="G728" i="178"/>
  <c r="D728" i="178"/>
  <c r="G727" i="178"/>
  <c r="D727" i="178"/>
  <c r="G726" i="178"/>
  <c r="D726" i="178"/>
  <c r="G725" i="178"/>
  <c r="D725" i="178"/>
  <c r="G724" i="178"/>
  <c r="D724" i="178"/>
  <c r="G723" i="178"/>
  <c r="D723" i="178"/>
  <c r="G722" i="178"/>
  <c r="D722" i="178"/>
  <c r="G721" i="178"/>
  <c r="D721" i="178"/>
  <c r="G720" i="178"/>
  <c r="D720" i="178"/>
  <c r="G719" i="178"/>
  <c r="D719" i="178"/>
  <c r="G718" i="178"/>
  <c r="D718" i="178"/>
  <c r="G717" i="178"/>
  <c r="D717" i="178"/>
  <c r="G716" i="178"/>
  <c r="D716" i="178"/>
  <c r="G715" i="178"/>
  <c r="D715" i="178"/>
  <c r="G714" i="178"/>
  <c r="D714" i="178"/>
  <c r="G713" i="178"/>
  <c r="D713" i="178"/>
  <c r="G712" i="178"/>
  <c r="D712" i="178"/>
  <c r="G711" i="178"/>
  <c r="D711" i="178"/>
  <c r="G710" i="178"/>
  <c r="D710" i="178"/>
  <c r="G709" i="178"/>
  <c r="D709" i="178"/>
  <c r="G708" i="178"/>
  <c r="D708" i="178"/>
  <c r="G707" i="178"/>
  <c r="D707" i="178"/>
  <c r="G706" i="178"/>
  <c r="D706" i="178"/>
  <c r="G705" i="178"/>
  <c r="D705" i="178"/>
  <c r="G704" i="178"/>
  <c r="D704" i="178"/>
  <c r="G703" i="178"/>
  <c r="D703" i="178"/>
  <c r="G702" i="178"/>
  <c r="D702" i="178"/>
  <c r="G701" i="178"/>
  <c r="D701" i="178"/>
  <c r="G700" i="178"/>
  <c r="D700" i="178"/>
  <c r="G699" i="178"/>
  <c r="D699" i="178"/>
  <c r="G698" i="178"/>
  <c r="D698" i="178"/>
  <c r="G697" i="178"/>
  <c r="D697" i="178"/>
  <c r="G696" i="178"/>
  <c r="D696" i="178"/>
  <c r="G695" i="178"/>
  <c r="D695" i="178"/>
  <c r="G694" i="178"/>
  <c r="D694" i="178"/>
  <c r="G693" i="178"/>
  <c r="D693" i="178"/>
  <c r="G692" i="178"/>
  <c r="D692" i="178"/>
  <c r="G691" i="178"/>
  <c r="D691" i="178"/>
  <c r="G690" i="178"/>
  <c r="D690" i="178"/>
  <c r="G689" i="178"/>
  <c r="D689" i="178"/>
  <c r="G688" i="178"/>
  <c r="D688" i="178"/>
  <c r="G687" i="178"/>
  <c r="D687" i="178"/>
  <c r="G686" i="178"/>
  <c r="D686" i="178"/>
  <c r="G685" i="178"/>
  <c r="D685" i="178"/>
  <c r="G684" i="178"/>
  <c r="D684" i="178"/>
  <c r="G683" i="178"/>
  <c r="D683" i="178"/>
  <c r="G682" i="178"/>
  <c r="D682" i="178"/>
  <c r="G681" i="178"/>
  <c r="D681" i="178"/>
  <c r="G680" i="178"/>
  <c r="D680" i="178"/>
  <c r="G679" i="178"/>
  <c r="D679" i="178"/>
  <c r="G678" i="178"/>
  <c r="D678" i="178"/>
  <c r="G677" i="178"/>
  <c r="D677" i="178"/>
  <c r="G676" i="178"/>
  <c r="D676" i="178"/>
  <c r="G675" i="178"/>
  <c r="D675" i="178"/>
  <c r="G674" i="178"/>
  <c r="D674" i="178"/>
  <c r="G673" i="178"/>
  <c r="D673" i="178"/>
  <c r="G672" i="178"/>
  <c r="D672" i="178"/>
  <c r="G671" i="178"/>
  <c r="D671" i="178"/>
  <c r="G670" i="178"/>
  <c r="D670" i="178"/>
  <c r="G669" i="178"/>
  <c r="D669" i="178"/>
  <c r="G668" i="178"/>
  <c r="D668" i="178"/>
  <c r="G667" i="178"/>
  <c r="D667" i="178"/>
  <c r="G666" i="178"/>
  <c r="D666" i="178"/>
  <c r="G665" i="178"/>
  <c r="D665" i="178"/>
  <c r="G664" i="178"/>
  <c r="D664" i="178"/>
  <c r="G663" i="178"/>
  <c r="D663" i="178"/>
  <c r="G662" i="178"/>
  <c r="D662" i="178"/>
  <c r="G661" i="178"/>
  <c r="D661" i="178"/>
  <c r="G660" i="178"/>
  <c r="D660" i="178"/>
  <c r="G659" i="178"/>
  <c r="D659" i="178"/>
  <c r="G658" i="178"/>
  <c r="D658" i="178"/>
  <c r="G657" i="178"/>
  <c r="D657" i="178"/>
  <c r="G656" i="178"/>
  <c r="D656" i="178"/>
  <c r="G655" i="178"/>
  <c r="D655" i="178"/>
  <c r="G654" i="178"/>
  <c r="D654" i="178"/>
  <c r="G653" i="178"/>
  <c r="D653" i="178"/>
  <c r="G652" i="178"/>
  <c r="D652" i="178"/>
  <c r="G651" i="178"/>
  <c r="D651" i="178"/>
  <c r="G650" i="178"/>
  <c r="D650" i="178"/>
  <c r="G649" i="178"/>
  <c r="D649" i="178"/>
  <c r="G648" i="178"/>
  <c r="D648" i="178"/>
  <c r="G647" i="178"/>
  <c r="D647" i="178"/>
  <c r="G646" i="178"/>
  <c r="D646" i="178"/>
  <c r="G645" i="178"/>
  <c r="D645" i="178"/>
  <c r="G644" i="178"/>
  <c r="D644" i="178"/>
  <c r="G643" i="178"/>
  <c r="D643" i="178"/>
  <c r="G642" i="178"/>
  <c r="D642" i="178"/>
  <c r="G641" i="178"/>
  <c r="D641" i="178"/>
  <c r="G640" i="178"/>
  <c r="D640" i="178"/>
  <c r="G639" i="178"/>
  <c r="D639" i="178"/>
  <c r="G638" i="178"/>
  <c r="D638" i="178"/>
  <c r="G637" i="178"/>
  <c r="D637" i="178"/>
  <c r="G636" i="178"/>
  <c r="D636" i="178"/>
  <c r="G635" i="178"/>
  <c r="D635" i="178"/>
  <c r="G634" i="178"/>
  <c r="D634" i="178"/>
  <c r="G633" i="178"/>
  <c r="D633" i="178"/>
  <c r="G632" i="178"/>
  <c r="D632" i="178"/>
  <c r="G631" i="178"/>
  <c r="D631" i="178"/>
  <c r="G630" i="178"/>
  <c r="D630" i="178"/>
  <c r="G629" i="178"/>
  <c r="D629" i="178"/>
  <c r="G628" i="178"/>
  <c r="D628" i="178"/>
  <c r="G627" i="178"/>
  <c r="D627" i="178"/>
  <c r="G626" i="178"/>
  <c r="D626" i="178"/>
  <c r="G625" i="178"/>
  <c r="D625" i="178"/>
  <c r="G624" i="178"/>
  <c r="D624" i="178"/>
  <c r="G623" i="178"/>
  <c r="D623" i="178"/>
  <c r="G622" i="178"/>
  <c r="D622" i="178"/>
  <c r="G621" i="178"/>
  <c r="D621" i="178"/>
  <c r="G620" i="178"/>
  <c r="D620" i="178"/>
  <c r="G619" i="178"/>
  <c r="D619" i="178"/>
  <c r="G618" i="178"/>
  <c r="D618" i="178"/>
  <c r="G617" i="178"/>
  <c r="D617" i="178"/>
  <c r="G616" i="178"/>
  <c r="D616" i="178"/>
  <c r="G615" i="178"/>
  <c r="D615" i="178"/>
  <c r="G614" i="178"/>
  <c r="D614" i="178"/>
  <c r="G613" i="178"/>
  <c r="D613" i="178"/>
  <c r="G612" i="178"/>
  <c r="D612" i="178"/>
  <c r="G611" i="178"/>
  <c r="D611" i="178"/>
  <c r="G610" i="178"/>
  <c r="D610" i="178"/>
  <c r="G609" i="178"/>
  <c r="D609" i="178"/>
  <c r="G608" i="178"/>
  <c r="D608" i="178"/>
  <c r="G607" i="178"/>
  <c r="D607" i="178"/>
  <c r="G606" i="178"/>
  <c r="D606" i="178"/>
  <c r="G605" i="178"/>
  <c r="D605" i="178"/>
  <c r="G604" i="178"/>
  <c r="D604" i="178"/>
  <c r="G603" i="178"/>
  <c r="D603" i="178"/>
  <c r="G602" i="178"/>
  <c r="D602" i="178"/>
  <c r="G601" i="178"/>
  <c r="D601" i="178"/>
  <c r="G600" i="178"/>
  <c r="D600" i="178"/>
  <c r="G599" i="178"/>
  <c r="D599" i="178"/>
  <c r="G598" i="178"/>
  <c r="D598" i="178"/>
  <c r="G597" i="178"/>
  <c r="D597" i="178"/>
  <c r="G596" i="178"/>
  <c r="D596" i="178"/>
  <c r="G595" i="178"/>
  <c r="D595" i="178"/>
  <c r="G594" i="178"/>
  <c r="D594" i="178"/>
  <c r="G593" i="178"/>
  <c r="D593" i="178"/>
  <c r="G592" i="178"/>
  <c r="D592" i="178"/>
  <c r="G591" i="178"/>
  <c r="D591" i="178"/>
  <c r="G590" i="178"/>
  <c r="D590" i="178"/>
  <c r="G589" i="178"/>
  <c r="D589" i="178"/>
  <c r="G588" i="178"/>
  <c r="D588" i="178"/>
  <c r="G587" i="178"/>
  <c r="D587" i="178"/>
  <c r="G586" i="178"/>
  <c r="D586" i="178"/>
  <c r="G585" i="178"/>
  <c r="D585" i="178"/>
  <c r="G584" i="178"/>
  <c r="D584" i="178"/>
  <c r="G583" i="178"/>
  <c r="D583" i="178"/>
  <c r="G582" i="178"/>
  <c r="D582" i="178"/>
  <c r="G581" i="178"/>
  <c r="D581" i="178"/>
  <c r="G580" i="178"/>
  <c r="D580" i="178"/>
  <c r="G579" i="178"/>
  <c r="D579" i="178"/>
  <c r="G578" i="178"/>
  <c r="D578" i="178"/>
  <c r="G577" i="178"/>
  <c r="D577" i="178"/>
  <c r="G576" i="178"/>
  <c r="D576" i="178"/>
  <c r="G575" i="178"/>
  <c r="D575" i="178"/>
  <c r="G574" i="178"/>
  <c r="D574" i="178"/>
  <c r="G573" i="178"/>
  <c r="D573" i="178"/>
  <c r="G572" i="178"/>
  <c r="D572" i="178"/>
  <c r="G571" i="178"/>
  <c r="D571" i="178"/>
  <c r="G570" i="178"/>
  <c r="D570" i="178"/>
  <c r="G569" i="178"/>
  <c r="D569" i="178"/>
  <c r="G568" i="178"/>
  <c r="D568" i="178"/>
  <c r="G567" i="178"/>
  <c r="D567" i="178"/>
  <c r="G566" i="178"/>
  <c r="D566" i="178"/>
  <c r="G565" i="178"/>
  <c r="D565" i="178"/>
  <c r="G564" i="178"/>
  <c r="D564" i="178"/>
  <c r="G563" i="178"/>
  <c r="D563" i="178"/>
  <c r="G562" i="178"/>
  <c r="D562" i="178"/>
  <c r="G561" i="178"/>
  <c r="D561" i="178"/>
  <c r="G560" i="178"/>
  <c r="D560" i="178"/>
  <c r="G559" i="178"/>
  <c r="D559" i="178"/>
  <c r="G558" i="178"/>
  <c r="D558" i="178"/>
  <c r="G557" i="178"/>
  <c r="D557" i="178"/>
  <c r="G556" i="178"/>
  <c r="D556" i="178"/>
  <c r="G555" i="178"/>
  <c r="D555" i="178"/>
  <c r="G554" i="178"/>
  <c r="D554" i="178"/>
  <c r="G553" i="178"/>
  <c r="D553" i="178"/>
  <c r="G552" i="178"/>
  <c r="D552" i="178"/>
  <c r="G551" i="178"/>
  <c r="D551" i="178"/>
  <c r="G550" i="178"/>
  <c r="D550" i="178"/>
  <c r="G549" i="178"/>
  <c r="D549" i="178"/>
  <c r="G548" i="178"/>
  <c r="D548" i="178"/>
  <c r="G547" i="178"/>
  <c r="D547" i="178"/>
  <c r="G546" i="178"/>
  <c r="D546" i="178"/>
  <c r="G545" i="178"/>
  <c r="D545" i="178"/>
  <c r="G544" i="178"/>
  <c r="D544" i="178"/>
  <c r="G543" i="178"/>
  <c r="D543" i="178"/>
  <c r="G542" i="178"/>
  <c r="D542" i="178"/>
  <c r="G541" i="178"/>
  <c r="D541" i="178"/>
  <c r="G540" i="178"/>
  <c r="D540" i="178"/>
  <c r="G539" i="178"/>
  <c r="D539" i="178"/>
  <c r="G538" i="178"/>
  <c r="D538" i="178"/>
  <c r="G537" i="178"/>
  <c r="D537" i="178"/>
  <c r="G536" i="178"/>
  <c r="D536" i="178"/>
  <c r="G535" i="178"/>
  <c r="D535" i="178"/>
  <c r="G534" i="178"/>
  <c r="D534" i="178"/>
  <c r="G533" i="178"/>
  <c r="D533" i="178"/>
  <c r="G532" i="178"/>
  <c r="D532" i="178"/>
  <c r="G531" i="178"/>
  <c r="D531" i="178"/>
  <c r="G530" i="178"/>
  <c r="D530" i="178"/>
  <c r="G529" i="178"/>
  <c r="D529" i="178"/>
  <c r="G528" i="178"/>
  <c r="D528" i="178"/>
  <c r="G527" i="178"/>
  <c r="D527" i="178"/>
  <c r="G526" i="178"/>
  <c r="D526" i="178"/>
  <c r="G525" i="178"/>
  <c r="D525" i="178"/>
  <c r="G524" i="178"/>
  <c r="D524" i="178"/>
  <c r="G523" i="178"/>
  <c r="D523" i="178"/>
  <c r="G522" i="178"/>
  <c r="D522" i="178"/>
  <c r="G521" i="178"/>
  <c r="D521" i="178"/>
  <c r="G520" i="178"/>
  <c r="D520" i="178"/>
  <c r="G519" i="178"/>
  <c r="D519" i="178"/>
  <c r="G518" i="178"/>
  <c r="D518" i="178"/>
  <c r="G517" i="178"/>
  <c r="D517" i="178"/>
  <c r="G516" i="178"/>
  <c r="D516" i="178"/>
  <c r="G515" i="178"/>
  <c r="D515" i="178"/>
  <c r="G514" i="178"/>
  <c r="D514" i="178"/>
  <c r="G513" i="178"/>
  <c r="D513" i="178"/>
  <c r="G512" i="178"/>
  <c r="D512" i="178"/>
  <c r="G511" i="178"/>
  <c r="D511" i="178"/>
  <c r="G510" i="178"/>
  <c r="D510" i="178"/>
  <c r="G509" i="178"/>
  <c r="D509" i="178"/>
  <c r="G508" i="178"/>
  <c r="D508" i="178"/>
  <c r="G507" i="178"/>
  <c r="D507" i="178"/>
  <c r="G506" i="178"/>
  <c r="D506" i="178"/>
  <c r="G505" i="178"/>
  <c r="D505" i="178"/>
  <c r="G504" i="178"/>
  <c r="D504" i="178"/>
  <c r="G503" i="178"/>
  <c r="D503" i="178"/>
  <c r="G502" i="178"/>
  <c r="D502" i="178"/>
  <c r="G501" i="178"/>
  <c r="D501" i="178"/>
  <c r="G500" i="178"/>
  <c r="D500" i="178"/>
  <c r="G499" i="178"/>
  <c r="D499" i="178"/>
  <c r="G498" i="178"/>
  <c r="D498" i="178"/>
  <c r="G497" i="178"/>
  <c r="D497" i="178"/>
  <c r="G496" i="178"/>
  <c r="D496" i="178"/>
  <c r="G495" i="178"/>
  <c r="D495" i="178"/>
  <c r="G494" i="178"/>
  <c r="D494" i="178"/>
  <c r="G493" i="178"/>
  <c r="D493" i="178"/>
  <c r="G492" i="178"/>
  <c r="D492" i="178"/>
  <c r="G491" i="178"/>
  <c r="D491" i="178"/>
  <c r="G490" i="178"/>
  <c r="D490" i="178"/>
  <c r="G489" i="178"/>
  <c r="D489" i="178"/>
  <c r="G488" i="178"/>
  <c r="D488" i="178"/>
  <c r="G487" i="178"/>
  <c r="D487" i="178"/>
  <c r="G486" i="178"/>
  <c r="D486" i="178"/>
  <c r="G485" i="178"/>
  <c r="D485" i="178"/>
  <c r="G484" i="178"/>
  <c r="D484" i="178"/>
  <c r="G483" i="178"/>
  <c r="D483" i="178"/>
  <c r="G482" i="178"/>
  <c r="D482" i="178"/>
  <c r="G481" i="178"/>
  <c r="D481" i="178"/>
  <c r="G480" i="178"/>
  <c r="D480" i="178"/>
  <c r="G479" i="178"/>
  <c r="D479" i="178"/>
  <c r="G478" i="178"/>
  <c r="D478" i="178"/>
  <c r="G477" i="178"/>
  <c r="D477" i="178"/>
  <c r="G476" i="178"/>
  <c r="D476" i="178"/>
  <c r="G475" i="178"/>
  <c r="D475" i="178"/>
  <c r="G474" i="178"/>
  <c r="D474" i="178"/>
  <c r="G473" i="178"/>
  <c r="D473" i="178"/>
  <c r="G472" i="178"/>
  <c r="D472" i="178"/>
  <c r="G471" i="178"/>
  <c r="D471" i="178"/>
  <c r="G470" i="178"/>
  <c r="D470" i="178"/>
  <c r="G469" i="178"/>
  <c r="D469" i="178"/>
  <c r="G468" i="178"/>
  <c r="D468" i="178"/>
  <c r="G467" i="178"/>
  <c r="D467" i="178"/>
  <c r="G466" i="178"/>
  <c r="D466" i="178"/>
  <c r="G465" i="178"/>
  <c r="D465" i="178"/>
  <c r="G464" i="178"/>
  <c r="D464" i="178"/>
  <c r="G463" i="178"/>
  <c r="D463" i="178"/>
  <c r="G462" i="178"/>
  <c r="D462" i="178"/>
  <c r="G461" i="178"/>
  <c r="D461" i="178"/>
  <c r="G460" i="178"/>
  <c r="D460" i="178"/>
  <c r="G459" i="178"/>
  <c r="D459" i="178"/>
  <c r="G458" i="178"/>
  <c r="D458" i="178"/>
  <c r="G457" i="178"/>
  <c r="D457" i="178"/>
  <c r="G456" i="178"/>
  <c r="D456" i="178"/>
  <c r="G455" i="178"/>
  <c r="D455" i="178"/>
  <c r="G454" i="178"/>
  <c r="D454" i="178"/>
  <c r="G453" i="178"/>
  <c r="D453" i="178"/>
  <c r="G452" i="178"/>
  <c r="D452" i="178"/>
  <c r="G451" i="178"/>
  <c r="D451" i="178"/>
  <c r="G450" i="178"/>
  <c r="D450" i="178"/>
  <c r="G449" i="178"/>
  <c r="D449" i="178"/>
  <c r="G448" i="178"/>
  <c r="D448" i="178"/>
  <c r="G447" i="178"/>
  <c r="D447" i="178"/>
  <c r="G446" i="178"/>
  <c r="D446" i="178"/>
  <c r="G445" i="178"/>
  <c r="D445" i="178"/>
  <c r="G444" i="178"/>
  <c r="D444" i="178"/>
  <c r="G443" i="178"/>
  <c r="D443" i="178"/>
  <c r="G442" i="178"/>
  <c r="D442" i="178"/>
  <c r="G441" i="178"/>
  <c r="D441" i="178"/>
  <c r="G440" i="178"/>
  <c r="D440" i="178"/>
  <c r="G439" i="178"/>
  <c r="D439" i="178"/>
  <c r="G438" i="178"/>
  <c r="D438" i="178"/>
  <c r="G437" i="178"/>
  <c r="D437" i="178"/>
  <c r="G436" i="178"/>
  <c r="D436" i="178"/>
  <c r="G435" i="178"/>
  <c r="D435" i="178"/>
  <c r="G434" i="178"/>
  <c r="D434" i="178"/>
  <c r="G433" i="178"/>
  <c r="D433" i="178"/>
  <c r="G432" i="178"/>
  <c r="D432" i="178"/>
  <c r="G431" i="178"/>
  <c r="D431" i="178"/>
  <c r="G430" i="178"/>
  <c r="D430" i="178"/>
  <c r="G429" i="178"/>
  <c r="D429" i="178"/>
  <c r="G428" i="178"/>
  <c r="D428" i="178"/>
  <c r="G427" i="178"/>
  <c r="D427" i="178"/>
  <c r="G426" i="178"/>
  <c r="D426" i="178"/>
  <c r="G425" i="178"/>
  <c r="D425" i="178"/>
  <c r="G424" i="178"/>
  <c r="D424" i="178"/>
  <c r="G423" i="178"/>
  <c r="D423" i="178"/>
  <c r="G422" i="178"/>
  <c r="D422" i="178"/>
  <c r="G421" i="178"/>
  <c r="D421" i="178"/>
  <c r="G420" i="178"/>
  <c r="D420" i="178"/>
  <c r="G419" i="178"/>
  <c r="D419" i="178"/>
  <c r="G418" i="178"/>
  <c r="D418" i="178"/>
  <c r="G417" i="178"/>
  <c r="D417" i="178"/>
  <c r="G416" i="178"/>
  <c r="D416" i="178"/>
  <c r="G415" i="178"/>
  <c r="D415" i="178"/>
  <c r="G414" i="178"/>
  <c r="D414" i="178"/>
  <c r="G413" i="178"/>
  <c r="D413" i="178"/>
  <c r="G412" i="178"/>
  <c r="D412" i="178"/>
  <c r="G411" i="178"/>
  <c r="D411" i="178"/>
  <c r="G410" i="178"/>
  <c r="D410" i="178"/>
  <c r="G409" i="178"/>
  <c r="D409" i="178"/>
  <c r="G408" i="178"/>
  <c r="D408" i="178"/>
  <c r="G407" i="178"/>
  <c r="D407" i="178"/>
  <c r="G406" i="178"/>
  <c r="D406" i="178"/>
  <c r="G405" i="178"/>
  <c r="D405" i="178"/>
  <c r="G404" i="178"/>
  <c r="D404" i="178"/>
  <c r="G403" i="178"/>
  <c r="D403" i="178"/>
  <c r="G402" i="178"/>
  <c r="D402" i="178"/>
  <c r="G401" i="178"/>
  <c r="D401" i="178"/>
  <c r="G400" i="178"/>
  <c r="D400" i="178"/>
  <c r="G399" i="178"/>
  <c r="D399" i="178"/>
  <c r="G398" i="178"/>
  <c r="D398" i="178"/>
  <c r="G397" i="178"/>
  <c r="D397" i="178"/>
  <c r="G396" i="178"/>
  <c r="D396" i="178"/>
  <c r="G395" i="178"/>
  <c r="D395" i="178"/>
  <c r="G394" i="178"/>
  <c r="D394" i="178"/>
  <c r="G393" i="178"/>
  <c r="D393" i="178"/>
  <c r="G392" i="178"/>
  <c r="D392" i="178"/>
  <c r="G391" i="178"/>
  <c r="D391" i="178"/>
  <c r="G390" i="178"/>
  <c r="D390" i="178"/>
  <c r="G389" i="178"/>
  <c r="D389" i="178"/>
  <c r="G388" i="178"/>
  <c r="D388" i="178"/>
  <c r="G387" i="178"/>
  <c r="D387" i="178"/>
  <c r="G386" i="178"/>
  <c r="D386" i="178"/>
  <c r="G385" i="178"/>
  <c r="D385" i="178"/>
  <c r="G384" i="178"/>
  <c r="D384" i="178"/>
  <c r="G383" i="178"/>
  <c r="D383" i="178"/>
  <c r="G382" i="178"/>
  <c r="D382" i="178"/>
  <c r="G381" i="178"/>
  <c r="D381" i="178"/>
  <c r="G380" i="178"/>
  <c r="D380" i="178"/>
  <c r="G379" i="178"/>
  <c r="D379" i="178"/>
  <c r="G378" i="178"/>
  <c r="D378" i="178"/>
  <c r="G377" i="178"/>
  <c r="D377" i="178"/>
  <c r="G376" i="178"/>
  <c r="D376" i="178"/>
  <c r="G375" i="178"/>
  <c r="D375" i="178"/>
  <c r="G374" i="178"/>
  <c r="D374" i="178"/>
  <c r="G373" i="178"/>
  <c r="D373" i="178"/>
  <c r="G372" i="178"/>
  <c r="D372" i="178"/>
  <c r="G371" i="178"/>
  <c r="D371" i="178"/>
  <c r="G370" i="178"/>
  <c r="D370" i="178"/>
  <c r="G369" i="178"/>
  <c r="D369" i="178"/>
  <c r="G368" i="178"/>
  <c r="D368" i="178"/>
  <c r="G367" i="178"/>
  <c r="D367" i="178"/>
  <c r="G366" i="178"/>
  <c r="D366" i="178"/>
  <c r="G365" i="178"/>
  <c r="D365" i="178"/>
  <c r="G364" i="178"/>
  <c r="D364" i="178"/>
  <c r="G363" i="178"/>
  <c r="D363" i="178"/>
  <c r="G362" i="178"/>
  <c r="D362" i="178"/>
  <c r="G361" i="178"/>
  <c r="D361" i="178"/>
  <c r="G360" i="178"/>
  <c r="D360" i="178"/>
  <c r="G359" i="178"/>
  <c r="D359" i="178"/>
  <c r="G358" i="178"/>
  <c r="D358" i="178"/>
  <c r="G357" i="178"/>
  <c r="D357" i="178"/>
  <c r="G356" i="178"/>
  <c r="D356" i="178"/>
  <c r="G355" i="178"/>
  <c r="D355" i="178"/>
  <c r="G354" i="178"/>
  <c r="D354" i="178"/>
  <c r="G353" i="178"/>
  <c r="D353" i="178"/>
  <c r="G352" i="178"/>
  <c r="D352" i="178"/>
  <c r="G351" i="178"/>
  <c r="D351" i="178"/>
  <c r="G350" i="178"/>
  <c r="D350" i="178"/>
  <c r="G349" i="178"/>
  <c r="D349" i="178"/>
  <c r="G348" i="178"/>
  <c r="D348" i="178"/>
  <c r="G347" i="178"/>
  <c r="D347" i="178"/>
  <c r="G346" i="178"/>
  <c r="D346" i="178"/>
  <c r="G345" i="178"/>
  <c r="D345" i="178"/>
  <c r="G344" i="178"/>
  <c r="D344" i="178"/>
  <c r="G343" i="178"/>
  <c r="D343" i="178"/>
  <c r="G342" i="178"/>
  <c r="D342" i="178"/>
  <c r="G341" i="178"/>
  <c r="D341" i="178"/>
  <c r="G340" i="178"/>
  <c r="D340" i="178"/>
  <c r="G339" i="178"/>
  <c r="D339" i="178"/>
  <c r="G338" i="178"/>
  <c r="D338" i="178"/>
  <c r="G337" i="178"/>
  <c r="D337" i="178"/>
  <c r="G336" i="178"/>
  <c r="D336" i="178"/>
  <c r="G335" i="178"/>
  <c r="D335" i="178"/>
  <c r="G334" i="178"/>
  <c r="D334" i="178"/>
  <c r="G333" i="178"/>
  <c r="D333" i="178"/>
  <c r="G332" i="178"/>
  <c r="D332" i="178"/>
  <c r="G331" i="178"/>
  <c r="D331" i="178"/>
  <c r="G330" i="178"/>
  <c r="D330" i="178"/>
  <c r="G329" i="178"/>
  <c r="D329" i="178"/>
  <c r="G328" i="178"/>
  <c r="D328" i="178"/>
  <c r="G327" i="178"/>
  <c r="D327" i="178"/>
  <c r="G326" i="178"/>
  <c r="D326" i="178"/>
  <c r="G325" i="178"/>
  <c r="D325" i="178"/>
  <c r="G324" i="178"/>
  <c r="D324" i="178"/>
  <c r="G323" i="178"/>
  <c r="D323" i="178"/>
  <c r="G322" i="178"/>
  <c r="D322" i="178"/>
  <c r="G321" i="178"/>
  <c r="D321" i="178"/>
  <c r="G320" i="178"/>
  <c r="D320" i="178"/>
  <c r="G319" i="178"/>
  <c r="D319" i="178"/>
  <c r="G318" i="178"/>
  <c r="D318" i="178"/>
  <c r="G317" i="178"/>
  <c r="D317" i="178"/>
  <c r="G316" i="178"/>
  <c r="D316" i="178"/>
  <c r="G315" i="178"/>
  <c r="D315" i="178"/>
  <c r="G314" i="178"/>
  <c r="D314" i="178"/>
  <c r="G313" i="178"/>
  <c r="D313" i="178"/>
  <c r="G312" i="178"/>
  <c r="D312" i="178"/>
  <c r="G311" i="178"/>
  <c r="D311" i="178"/>
  <c r="G310" i="178"/>
  <c r="D310" i="178"/>
  <c r="G309" i="178"/>
  <c r="D309" i="178"/>
  <c r="G308" i="178"/>
  <c r="D308" i="178"/>
  <c r="G307" i="178"/>
  <c r="D307" i="178"/>
  <c r="G306" i="178"/>
  <c r="D306" i="178"/>
  <c r="G305" i="178"/>
  <c r="D305" i="178"/>
  <c r="G304" i="178"/>
  <c r="D304" i="178"/>
  <c r="G303" i="178"/>
  <c r="D303" i="178"/>
  <c r="G302" i="178"/>
  <c r="D302" i="178"/>
  <c r="G301" i="178"/>
  <c r="D301" i="178"/>
  <c r="G300" i="178"/>
  <c r="D300" i="178"/>
  <c r="G299" i="178"/>
  <c r="D299" i="178"/>
  <c r="G298" i="178"/>
  <c r="D298" i="178"/>
  <c r="G297" i="178"/>
  <c r="D297" i="178"/>
  <c r="G296" i="178"/>
  <c r="D296" i="178"/>
  <c r="G295" i="178"/>
  <c r="D295" i="178"/>
  <c r="G294" i="178"/>
  <c r="D294" i="178"/>
  <c r="G293" i="178"/>
  <c r="D293" i="178"/>
  <c r="G292" i="178"/>
  <c r="D292" i="178"/>
  <c r="G291" i="178"/>
  <c r="D291" i="178"/>
  <c r="G290" i="178"/>
  <c r="D290" i="178"/>
  <c r="G289" i="178"/>
  <c r="D289" i="178"/>
  <c r="G288" i="178"/>
  <c r="D288" i="178"/>
  <c r="G287" i="178"/>
  <c r="D287" i="178"/>
  <c r="G286" i="178"/>
  <c r="D286" i="178"/>
  <c r="G285" i="178"/>
  <c r="D285" i="178"/>
  <c r="G284" i="178"/>
  <c r="D284" i="178"/>
  <c r="G283" i="178"/>
  <c r="D283" i="178"/>
  <c r="G282" i="178"/>
  <c r="D282" i="178"/>
  <c r="G281" i="178"/>
  <c r="D281" i="178"/>
  <c r="G280" i="178"/>
  <c r="D280" i="178"/>
  <c r="G279" i="178"/>
  <c r="D279" i="178"/>
  <c r="G278" i="178"/>
  <c r="D278" i="178"/>
  <c r="G277" i="178"/>
  <c r="D277" i="178"/>
  <c r="G276" i="178"/>
  <c r="D276" i="178"/>
  <c r="G275" i="178"/>
  <c r="D275" i="178"/>
  <c r="G274" i="178"/>
  <c r="D274" i="178"/>
  <c r="G273" i="178"/>
  <c r="D273" i="178"/>
  <c r="G272" i="178"/>
  <c r="D272" i="178"/>
  <c r="G271" i="178"/>
  <c r="D271" i="178"/>
  <c r="G270" i="178"/>
  <c r="D270" i="178"/>
  <c r="G269" i="178"/>
  <c r="D269" i="178"/>
  <c r="G268" i="178"/>
  <c r="D268" i="178"/>
  <c r="G267" i="178"/>
  <c r="D267" i="178"/>
  <c r="G266" i="178"/>
  <c r="D266" i="178"/>
  <c r="G265" i="178"/>
  <c r="D265" i="178"/>
  <c r="G264" i="178"/>
  <c r="D264" i="178"/>
  <c r="G263" i="178"/>
  <c r="D263" i="178"/>
  <c r="G262" i="178"/>
  <c r="D262" i="178"/>
  <c r="G261" i="178"/>
  <c r="D261" i="178"/>
  <c r="G260" i="178"/>
  <c r="D260" i="178"/>
  <c r="G259" i="178"/>
  <c r="D259" i="178"/>
  <c r="G258" i="178"/>
  <c r="D258" i="178"/>
  <c r="G257" i="178"/>
  <c r="D257" i="178"/>
  <c r="G256" i="178"/>
  <c r="D256" i="178"/>
  <c r="G255" i="178"/>
  <c r="D255" i="178"/>
  <c r="G254" i="178"/>
  <c r="D254" i="178"/>
  <c r="G253" i="178"/>
  <c r="D253" i="178"/>
  <c r="G252" i="178"/>
  <c r="D252" i="178"/>
  <c r="G251" i="178"/>
  <c r="D251" i="178"/>
  <c r="G250" i="178"/>
  <c r="D250" i="178"/>
  <c r="G249" i="178"/>
  <c r="D249" i="178"/>
  <c r="G248" i="178"/>
  <c r="D248" i="178"/>
  <c r="G247" i="178"/>
  <c r="D247" i="178"/>
  <c r="G246" i="178"/>
  <c r="D246" i="178"/>
  <c r="G245" i="178"/>
  <c r="D245" i="178"/>
  <c r="G244" i="178"/>
  <c r="D244" i="178"/>
  <c r="G243" i="178"/>
  <c r="D243" i="178"/>
  <c r="G242" i="178"/>
  <c r="D242" i="178"/>
  <c r="G241" i="178"/>
  <c r="D241" i="178"/>
  <c r="G240" i="178"/>
  <c r="D240" i="178"/>
  <c r="G239" i="178"/>
  <c r="D239" i="178"/>
  <c r="G238" i="178"/>
  <c r="D238" i="178"/>
  <c r="G237" i="178"/>
  <c r="D237" i="178"/>
  <c r="G236" i="178"/>
  <c r="D236" i="178"/>
  <c r="G235" i="178"/>
  <c r="D235" i="178"/>
  <c r="G234" i="178"/>
  <c r="D234" i="178"/>
  <c r="G233" i="178"/>
  <c r="D233" i="178"/>
  <c r="G232" i="178"/>
  <c r="D232" i="178"/>
  <c r="G231" i="178"/>
  <c r="D231" i="178"/>
  <c r="G230" i="178"/>
  <c r="D230" i="178"/>
  <c r="G229" i="178"/>
  <c r="D229" i="178"/>
  <c r="G228" i="178"/>
  <c r="D228" i="178"/>
  <c r="G227" i="178"/>
  <c r="D227" i="178"/>
  <c r="G226" i="178"/>
  <c r="D226" i="178"/>
  <c r="G225" i="178"/>
  <c r="D225" i="178"/>
  <c r="G224" i="178"/>
  <c r="D224" i="178"/>
  <c r="G223" i="178"/>
  <c r="D223" i="178"/>
  <c r="G222" i="178"/>
  <c r="D222" i="178"/>
  <c r="G221" i="178"/>
  <c r="D221" i="178"/>
  <c r="G220" i="178"/>
  <c r="D220" i="178"/>
  <c r="G219" i="178"/>
  <c r="D219" i="178"/>
  <c r="G218" i="178"/>
  <c r="D218" i="178"/>
  <c r="G217" i="178"/>
  <c r="D217" i="178"/>
  <c r="G216" i="178"/>
  <c r="D216" i="178"/>
  <c r="G215" i="178"/>
  <c r="D215" i="178"/>
  <c r="G214" i="178"/>
  <c r="D214" i="178"/>
  <c r="G213" i="178"/>
  <c r="D213" i="178"/>
  <c r="G212" i="178"/>
  <c r="D212" i="178"/>
  <c r="G211" i="178"/>
  <c r="D211" i="178"/>
  <c r="G210" i="178"/>
  <c r="D210" i="178"/>
  <c r="G209" i="178"/>
  <c r="D209" i="178"/>
  <c r="G208" i="178"/>
  <c r="D208" i="178"/>
  <c r="G207" i="178"/>
  <c r="D207" i="178"/>
  <c r="G206" i="178"/>
  <c r="D206" i="178"/>
  <c r="G205" i="178"/>
  <c r="D205" i="178"/>
  <c r="G204" i="178"/>
  <c r="D204" i="178"/>
  <c r="G203" i="178"/>
  <c r="D203" i="178"/>
  <c r="G202" i="178"/>
  <c r="D202" i="178"/>
  <c r="G201" i="178"/>
  <c r="D201" i="178"/>
  <c r="G200" i="178"/>
  <c r="D200" i="178"/>
  <c r="G199" i="178"/>
  <c r="D199" i="178"/>
  <c r="G198" i="178"/>
  <c r="D198" i="178"/>
  <c r="G197" i="178"/>
  <c r="D197" i="178"/>
  <c r="G196" i="178"/>
  <c r="D196" i="178"/>
  <c r="G195" i="178"/>
  <c r="D195" i="178"/>
  <c r="G194" i="178"/>
  <c r="D194" i="178"/>
  <c r="G193" i="178"/>
  <c r="D193" i="178"/>
  <c r="G192" i="178"/>
  <c r="D192" i="178"/>
  <c r="G191" i="178"/>
  <c r="D191" i="178"/>
  <c r="G190" i="178"/>
  <c r="D190" i="178"/>
  <c r="G189" i="178"/>
  <c r="D189" i="178"/>
  <c r="G188" i="178"/>
  <c r="D188" i="178"/>
  <c r="G187" i="178"/>
  <c r="D187" i="178"/>
  <c r="G186" i="178"/>
  <c r="D186" i="178"/>
  <c r="G185" i="178"/>
  <c r="D185" i="178"/>
  <c r="G184" i="178"/>
  <c r="D184" i="178"/>
  <c r="G183" i="178"/>
  <c r="D183" i="178"/>
  <c r="G182" i="178"/>
  <c r="D182" i="178"/>
  <c r="G181" i="178"/>
  <c r="D181" i="178"/>
  <c r="G180" i="178"/>
  <c r="D180" i="178"/>
  <c r="G179" i="178"/>
  <c r="D179" i="178"/>
  <c r="G178" i="178"/>
  <c r="D178" i="178"/>
  <c r="G177" i="178"/>
  <c r="D177" i="178"/>
  <c r="G176" i="178"/>
  <c r="D176" i="178"/>
  <c r="G175" i="178"/>
  <c r="D175" i="178"/>
  <c r="G174" i="178"/>
  <c r="D174" i="178"/>
  <c r="G173" i="178"/>
  <c r="D173" i="178"/>
  <c r="G172" i="178"/>
  <c r="D172" i="178"/>
  <c r="G171" i="178"/>
  <c r="D171" i="178"/>
  <c r="G170" i="178"/>
  <c r="D170" i="178"/>
  <c r="G169" i="178"/>
  <c r="D169" i="178"/>
  <c r="G168" i="178"/>
  <c r="D168" i="178"/>
  <c r="G167" i="178"/>
  <c r="D167" i="178"/>
  <c r="G166" i="178"/>
  <c r="D166" i="178"/>
  <c r="G165" i="178"/>
  <c r="D165" i="178"/>
  <c r="G164" i="178"/>
  <c r="D164" i="178"/>
  <c r="G163" i="178"/>
  <c r="D163" i="178"/>
  <c r="G162" i="178"/>
  <c r="D162" i="178"/>
  <c r="G161" i="178"/>
  <c r="D161" i="178"/>
  <c r="G160" i="178"/>
  <c r="D160" i="178"/>
  <c r="G159" i="178"/>
  <c r="D159" i="178"/>
  <c r="G158" i="178"/>
  <c r="D158" i="178"/>
  <c r="G157" i="178"/>
  <c r="D157" i="178"/>
  <c r="G156" i="178"/>
  <c r="D156" i="178"/>
  <c r="G155" i="178"/>
  <c r="D155" i="178"/>
  <c r="G154" i="178"/>
  <c r="D154" i="178"/>
  <c r="G153" i="178"/>
  <c r="D153" i="178"/>
  <c r="G152" i="178"/>
  <c r="D152" i="178"/>
  <c r="G151" i="178"/>
  <c r="D151" i="178"/>
  <c r="G150" i="178"/>
  <c r="D150" i="178"/>
  <c r="G149" i="178"/>
  <c r="D149" i="178"/>
  <c r="G148" i="178"/>
  <c r="D148" i="178"/>
  <c r="G147" i="178"/>
  <c r="D147" i="178"/>
  <c r="G146" i="178"/>
  <c r="D146" i="178"/>
  <c r="G145" i="178"/>
  <c r="D145" i="178"/>
  <c r="G144" i="178"/>
  <c r="D144" i="178"/>
  <c r="G143" i="178"/>
  <c r="D143" i="178"/>
  <c r="G142" i="178"/>
  <c r="D142" i="178"/>
  <c r="G141" i="178"/>
  <c r="D141" i="178"/>
  <c r="G140" i="178"/>
  <c r="D140" i="178"/>
  <c r="G139" i="178"/>
  <c r="D139" i="178"/>
  <c r="G138" i="178"/>
  <c r="D138" i="178"/>
  <c r="G137" i="178"/>
  <c r="D137" i="178"/>
  <c r="G136" i="178"/>
  <c r="D136" i="178"/>
  <c r="G135" i="178"/>
  <c r="D135" i="178"/>
  <c r="G134" i="178"/>
  <c r="D134" i="178"/>
  <c r="G133" i="178"/>
  <c r="D133" i="178"/>
  <c r="G132" i="178"/>
  <c r="D132" i="178"/>
  <c r="G131" i="178"/>
  <c r="D131" i="178"/>
  <c r="G130" i="178"/>
  <c r="D130" i="178"/>
  <c r="G129" i="178"/>
  <c r="D129" i="178"/>
  <c r="G128" i="178"/>
  <c r="D128" i="178"/>
  <c r="G127" i="178"/>
  <c r="D127" i="178"/>
  <c r="G126" i="178"/>
  <c r="D126" i="178"/>
  <c r="G125" i="178"/>
  <c r="D125" i="178"/>
  <c r="G124" i="178"/>
  <c r="D124" i="178"/>
  <c r="G123" i="178"/>
  <c r="D123" i="178"/>
  <c r="G122" i="178"/>
  <c r="D122" i="178"/>
  <c r="G121" i="178"/>
  <c r="D121" i="178"/>
  <c r="G120" i="178"/>
  <c r="D120" i="178"/>
  <c r="G119" i="178"/>
  <c r="D119" i="178"/>
  <c r="G118" i="178"/>
  <c r="D118" i="178"/>
  <c r="G117" i="178"/>
  <c r="D117" i="178"/>
  <c r="G116" i="178"/>
  <c r="D116" i="178"/>
  <c r="G115" i="178"/>
  <c r="D115" i="178"/>
  <c r="G114" i="178"/>
  <c r="D114" i="178"/>
  <c r="G113" i="178"/>
  <c r="D113" i="178"/>
  <c r="G112" i="178"/>
  <c r="D112" i="178"/>
  <c r="G111" i="178"/>
  <c r="D111" i="178"/>
  <c r="G110" i="178"/>
  <c r="D110" i="178"/>
  <c r="G109" i="178"/>
  <c r="D109" i="178"/>
  <c r="G108" i="178"/>
  <c r="D108" i="178"/>
  <c r="G107" i="178"/>
  <c r="D107" i="178"/>
  <c r="G106" i="178"/>
  <c r="D106" i="178"/>
  <c r="G105" i="178"/>
  <c r="D105" i="178"/>
  <c r="G104" i="178"/>
  <c r="D104" i="178"/>
  <c r="G103" i="178"/>
  <c r="D103" i="178"/>
  <c r="G102" i="178"/>
  <c r="D102" i="178"/>
  <c r="G101" i="178"/>
  <c r="D101" i="178"/>
  <c r="G100" i="178"/>
  <c r="D100" i="178"/>
  <c r="G99" i="178"/>
  <c r="D99" i="178"/>
  <c r="G98" i="178"/>
  <c r="D98" i="178"/>
  <c r="G97" i="178"/>
  <c r="D97" i="178"/>
  <c r="G96" i="178"/>
  <c r="D96" i="178"/>
  <c r="G95" i="178"/>
  <c r="D95" i="178"/>
  <c r="G94" i="178"/>
  <c r="D94" i="178"/>
  <c r="G93" i="178"/>
  <c r="D93" i="178"/>
  <c r="G92" i="178"/>
  <c r="D92" i="178"/>
  <c r="G91" i="178"/>
  <c r="D91" i="178"/>
  <c r="G90" i="178"/>
  <c r="D90" i="178"/>
  <c r="G89" i="178"/>
  <c r="D89" i="178"/>
  <c r="G88" i="178"/>
  <c r="D88" i="178"/>
  <c r="G87" i="178"/>
  <c r="D87" i="178"/>
  <c r="G86" i="178"/>
  <c r="D86" i="178"/>
  <c r="G85" i="178"/>
  <c r="D85" i="178"/>
  <c r="G84" i="178"/>
  <c r="D84" i="178"/>
  <c r="G83" i="178"/>
  <c r="D83" i="178"/>
  <c r="G82" i="178"/>
  <c r="D82" i="178"/>
  <c r="G81" i="178"/>
  <c r="D81" i="178"/>
  <c r="G80" i="178"/>
  <c r="D80" i="178"/>
  <c r="G79" i="178"/>
  <c r="D79" i="178"/>
  <c r="G78" i="178"/>
  <c r="D78" i="178"/>
  <c r="G77" i="178"/>
  <c r="D77" i="178"/>
  <c r="G76" i="178"/>
  <c r="D76" i="178"/>
  <c r="G75" i="178"/>
  <c r="D75" i="178"/>
  <c r="G74" i="178"/>
  <c r="D74" i="178"/>
  <c r="G73" i="178"/>
  <c r="D73" i="178"/>
  <c r="G72" i="178"/>
  <c r="D72" i="178"/>
  <c r="G71" i="178"/>
  <c r="D71" i="178"/>
  <c r="G70" i="178"/>
  <c r="D70" i="178"/>
  <c r="G69" i="178"/>
  <c r="D69" i="178"/>
  <c r="G68" i="178"/>
  <c r="D68" i="178"/>
  <c r="G67" i="178"/>
  <c r="D67" i="178"/>
  <c r="G66" i="178"/>
  <c r="D66" i="178"/>
  <c r="G65" i="178"/>
  <c r="D65" i="178"/>
  <c r="G64" i="178"/>
  <c r="D64" i="178"/>
  <c r="G63" i="178"/>
  <c r="D63" i="178"/>
  <c r="G62" i="178"/>
  <c r="D62" i="178"/>
  <c r="G61" i="178"/>
  <c r="D61" i="178"/>
  <c r="G60" i="178"/>
  <c r="D60" i="178"/>
  <c r="G59" i="178"/>
  <c r="D59" i="178"/>
  <c r="G58" i="178"/>
  <c r="D58" i="178"/>
  <c r="G57" i="178"/>
  <c r="D57" i="178"/>
  <c r="G56" i="178"/>
  <c r="D56" i="178"/>
  <c r="G55" i="178"/>
  <c r="D55" i="178"/>
  <c r="G54" i="178"/>
  <c r="D54" i="178"/>
  <c r="G53" i="178"/>
  <c r="D53" i="178"/>
  <c r="G52" i="178"/>
  <c r="D52" i="178"/>
  <c r="G51" i="178"/>
  <c r="D51" i="178"/>
  <c r="G50" i="178"/>
  <c r="D50" i="178"/>
  <c r="G49" i="178"/>
  <c r="D49" i="178"/>
  <c r="G48" i="178"/>
  <c r="D48" i="178"/>
  <c r="G47" i="178"/>
  <c r="D47" i="178"/>
  <c r="G46" i="178"/>
  <c r="D46" i="178"/>
  <c r="G45" i="178"/>
  <c r="D45" i="178"/>
  <c r="G44" i="178"/>
  <c r="D44" i="178"/>
  <c r="G43" i="178"/>
  <c r="D43" i="178"/>
  <c r="G42" i="178"/>
  <c r="D42" i="178"/>
  <c r="G41" i="178"/>
  <c r="D41" i="178"/>
  <c r="G40" i="178"/>
  <c r="D40" i="178"/>
  <c r="G39" i="178"/>
  <c r="D39" i="178"/>
  <c r="G38" i="178"/>
  <c r="D38" i="178"/>
  <c r="G37" i="178"/>
  <c r="D37" i="178"/>
  <c r="G36" i="178"/>
  <c r="D36" i="178"/>
  <c r="G35" i="178"/>
  <c r="D35" i="178"/>
  <c r="G34" i="178"/>
  <c r="D34" i="178"/>
  <c r="G33" i="178"/>
  <c r="D33" i="178"/>
  <c r="G32" i="178"/>
  <c r="D32" i="178"/>
  <c r="G31" i="178"/>
  <c r="D31" i="178"/>
  <c r="G30" i="178"/>
  <c r="D30" i="178"/>
  <c r="G29" i="178"/>
  <c r="D29" i="178"/>
  <c r="G28" i="178"/>
  <c r="D28" i="178"/>
  <c r="G27" i="178"/>
  <c r="D27" i="178"/>
  <c r="G26" i="178"/>
  <c r="D26" i="178"/>
  <c r="G25" i="178"/>
  <c r="D25" i="178"/>
  <c r="G24" i="178"/>
  <c r="D24" i="178"/>
  <c r="G23" i="178"/>
  <c r="D23" i="178"/>
  <c r="G22" i="178"/>
  <c r="D22" i="178"/>
  <c r="G21" i="178"/>
  <c r="D21" i="178"/>
  <c r="G20" i="178"/>
  <c r="D20" i="178"/>
  <c r="G19" i="178"/>
  <c r="D19" i="178"/>
  <c r="G18" i="178"/>
  <c r="D18" i="178"/>
  <c r="G17" i="178"/>
  <c r="D17" i="178"/>
  <c r="G16" i="178"/>
  <c r="D16" i="178"/>
  <c r="G15" i="178"/>
  <c r="D15" i="178"/>
  <c r="G14" i="178"/>
  <c r="D14" i="178"/>
  <c r="G13" i="178"/>
  <c r="D13" i="178"/>
  <c r="G12" i="178"/>
  <c r="D12" i="178"/>
  <c r="G11" i="178"/>
  <c r="D11" i="178"/>
  <c r="G10" i="178"/>
  <c r="D10" i="178"/>
  <c r="G9" i="178"/>
  <c r="D9" i="178"/>
  <c r="G8" i="178"/>
  <c r="D8" i="178"/>
  <c r="G7" i="178"/>
  <c r="D7" i="178"/>
  <c r="G6" i="178"/>
  <c r="D6" i="178"/>
  <c r="M22" i="191" l="1"/>
  <c r="N22" i="191" s="1"/>
  <c r="O22" i="191"/>
  <c r="F22" i="191"/>
  <c r="G22" i="191" s="1"/>
  <c r="H22" i="191" s="1"/>
  <c r="E5" i="153"/>
  <c r="E6" i="153"/>
  <c r="E7" i="153"/>
  <c r="E8" i="153"/>
  <c r="E9" i="153"/>
  <c r="E10" i="153"/>
  <c r="C18" i="143"/>
  <c r="C17" i="143"/>
  <c r="C16" i="143"/>
  <c r="C15" i="143"/>
  <c r="C14" i="143"/>
  <c r="C13" i="143"/>
  <c r="C12" i="143"/>
  <c r="C11" i="143"/>
  <c r="C10" i="143"/>
  <c r="C9" i="143"/>
  <c r="C8" i="143"/>
  <c r="C5" i="143"/>
  <c r="I4" i="52"/>
  <c r="K4" i="52" s="1"/>
  <c r="L4" i="52" s="1"/>
  <c r="M4" i="52" s="1"/>
  <c r="J4" i="52"/>
  <c r="I5" i="52"/>
  <c r="J5" i="52"/>
  <c r="I6" i="52"/>
  <c r="J6" i="52"/>
  <c r="K6" i="52"/>
  <c r="L6" i="52" s="1"/>
  <c r="M6" i="52" s="1"/>
  <c r="I7" i="52"/>
  <c r="J7" i="52"/>
  <c r="I8" i="52"/>
  <c r="J8" i="52"/>
  <c r="I9" i="52"/>
  <c r="K9" i="52" s="1"/>
  <c r="L9" i="52" s="1"/>
  <c r="M9" i="52" s="1"/>
  <c r="J9" i="52"/>
  <c r="I10" i="52"/>
  <c r="J10" i="52"/>
  <c r="K10" i="52" s="1"/>
  <c r="L10" i="52" s="1"/>
  <c r="M10" i="52" s="1"/>
  <c r="I11" i="52"/>
  <c r="J11" i="52"/>
  <c r="I12" i="52"/>
  <c r="J12" i="52"/>
  <c r="K12" i="52" s="1"/>
  <c r="I13" i="52"/>
  <c r="K13" i="52" s="1"/>
  <c r="J13" i="52"/>
  <c r="I14" i="52"/>
  <c r="J14" i="52"/>
  <c r="K14" i="52" s="1"/>
  <c r="I15" i="52"/>
  <c r="J15" i="52"/>
  <c r="I16" i="52"/>
  <c r="J16" i="52"/>
  <c r="I17" i="52"/>
  <c r="J17" i="52"/>
  <c r="K17" i="52"/>
  <c r="L17" i="52" s="1"/>
  <c r="I18" i="52"/>
  <c r="K18" i="52" s="1"/>
  <c r="L18" i="52" s="1"/>
  <c r="M18" i="52" s="1"/>
  <c r="J18" i="52"/>
  <c r="I19" i="52"/>
  <c r="J19" i="52"/>
  <c r="I20" i="52"/>
  <c r="K20" i="52" s="1"/>
  <c r="J20" i="52"/>
  <c r="I21" i="52"/>
  <c r="J21" i="52"/>
  <c r="I22" i="52"/>
  <c r="K22" i="52" s="1"/>
  <c r="J22" i="52"/>
  <c r="I23" i="52"/>
  <c r="J23" i="52"/>
  <c r="I24" i="52"/>
  <c r="K24" i="52" s="1"/>
  <c r="L24" i="52" s="1"/>
  <c r="M24" i="52" s="1"/>
  <c r="J24" i="52"/>
  <c r="I25" i="52"/>
  <c r="J25" i="52"/>
  <c r="K25" i="52" s="1"/>
  <c r="L25" i="52" s="1"/>
  <c r="I26" i="52"/>
  <c r="K26" i="52" s="1"/>
  <c r="L26" i="52" s="1"/>
  <c r="J26" i="52"/>
  <c r="I27" i="52"/>
  <c r="J27" i="52"/>
  <c r="I28" i="52"/>
  <c r="K28" i="52" s="1"/>
  <c r="L28" i="52" s="1"/>
  <c r="M28" i="52" s="1"/>
  <c r="J28" i="52"/>
  <c r="I29" i="52"/>
  <c r="J29" i="52"/>
  <c r="I30" i="52"/>
  <c r="K30" i="52" s="1"/>
  <c r="L30" i="52" s="1"/>
  <c r="M30" i="52" s="1"/>
  <c r="J30" i="52"/>
  <c r="I31" i="52"/>
  <c r="J31" i="52"/>
  <c r="I32" i="52"/>
  <c r="J32" i="52"/>
  <c r="I33" i="52"/>
  <c r="J33" i="52"/>
  <c r="I34" i="52"/>
  <c r="K34" i="52" s="1"/>
  <c r="L34" i="52" s="1"/>
  <c r="M34" i="52" s="1"/>
  <c r="J34" i="52"/>
  <c r="I35" i="52"/>
  <c r="K35" i="52" s="1"/>
  <c r="L35" i="52" s="1"/>
  <c r="M35" i="52" s="1"/>
  <c r="J35" i="52"/>
  <c r="I36" i="52"/>
  <c r="J36" i="52"/>
  <c r="I37" i="52"/>
  <c r="J37" i="52"/>
  <c r="I38" i="52"/>
  <c r="J38" i="52"/>
  <c r="I39" i="52"/>
  <c r="K39" i="52" s="1"/>
  <c r="J39" i="52"/>
  <c r="I40" i="52"/>
  <c r="J40" i="52"/>
  <c r="I41" i="52"/>
  <c r="J41" i="52"/>
  <c r="I42" i="52"/>
  <c r="K42" i="52" s="1"/>
  <c r="L42" i="52" s="1"/>
  <c r="M42" i="52" s="1"/>
  <c r="J42" i="52"/>
  <c r="I43" i="52"/>
  <c r="K43" i="52" s="1"/>
  <c r="L43" i="52" s="1"/>
  <c r="M43" i="52" s="1"/>
  <c r="J43" i="52"/>
  <c r="I44" i="52"/>
  <c r="J44" i="52"/>
  <c r="I45" i="52"/>
  <c r="J45" i="52"/>
  <c r="I46" i="52"/>
  <c r="J46" i="52"/>
  <c r="I47" i="52"/>
  <c r="K47" i="52" s="1"/>
  <c r="L47" i="52" s="1"/>
  <c r="M47" i="52" s="1"/>
  <c r="J47" i="52"/>
  <c r="I48" i="52"/>
  <c r="J48" i="52"/>
  <c r="I49" i="52"/>
  <c r="J49" i="52"/>
  <c r="I50" i="52"/>
  <c r="J50" i="52"/>
  <c r="I51" i="52"/>
  <c r="J51" i="52"/>
  <c r="I52" i="52"/>
  <c r="J52" i="52"/>
  <c r="I53" i="52"/>
  <c r="J53" i="52"/>
  <c r="I54" i="52"/>
  <c r="K54" i="52" s="1"/>
  <c r="L54" i="52" s="1"/>
  <c r="M54" i="52" s="1"/>
  <c r="J54" i="52"/>
  <c r="I55" i="52"/>
  <c r="J55" i="52"/>
  <c r="I56" i="52"/>
  <c r="K56" i="52" s="1"/>
  <c r="J56" i="52"/>
  <c r="I57" i="52"/>
  <c r="J57" i="52"/>
  <c r="I58" i="52"/>
  <c r="K58" i="52" s="1"/>
  <c r="J58" i="52"/>
  <c r="I59" i="52"/>
  <c r="K59" i="52" s="1"/>
  <c r="L59" i="52" s="1"/>
  <c r="M59" i="52" s="1"/>
  <c r="J59" i="52"/>
  <c r="I60" i="52"/>
  <c r="K60" i="52" s="1"/>
  <c r="J60" i="52"/>
  <c r="I61" i="52"/>
  <c r="J61" i="52"/>
  <c r="K61" i="52" s="1"/>
  <c r="I62" i="52"/>
  <c r="K62" i="52" s="1"/>
  <c r="J62" i="52"/>
  <c r="I63" i="52"/>
  <c r="K63" i="52" s="1"/>
  <c r="J63" i="52"/>
  <c r="I64" i="52"/>
  <c r="K64" i="52" s="1"/>
  <c r="J64" i="52"/>
  <c r="I65" i="52"/>
  <c r="J65" i="52"/>
  <c r="K65" i="52" s="1"/>
  <c r="L65" i="52" s="1"/>
  <c r="I66" i="52"/>
  <c r="J66" i="52"/>
  <c r="I67" i="52"/>
  <c r="K67" i="52" s="1"/>
  <c r="L67" i="52" s="1"/>
  <c r="M67" i="52" s="1"/>
  <c r="J67" i="52"/>
  <c r="I68" i="52"/>
  <c r="J68" i="52"/>
  <c r="I69" i="52"/>
  <c r="J69" i="52"/>
  <c r="I70" i="52"/>
  <c r="J70" i="52"/>
  <c r="I71" i="52"/>
  <c r="J71" i="52"/>
  <c r="I72" i="52"/>
  <c r="J72" i="52"/>
  <c r="I73" i="52"/>
  <c r="J73" i="52"/>
  <c r="I74" i="52"/>
  <c r="J74" i="52"/>
  <c r="K74" i="52"/>
  <c r="L74" i="52" s="1"/>
  <c r="M74" i="52" s="1"/>
  <c r="I75" i="52"/>
  <c r="J75" i="52"/>
  <c r="I76" i="52"/>
  <c r="J76" i="52"/>
  <c r="I77" i="52"/>
  <c r="J77" i="52"/>
  <c r="K77" i="52" s="1"/>
  <c r="L77" i="52" s="1"/>
  <c r="M77" i="52" s="1"/>
  <c r="I78" i="52"/>
  <c r="J78" i="52"/>
  <c r="K78" i="52" s="1"/>
  <c r="L78" i="52" s="1"/>
  <c r="I79" i="52"/>
  <c r="J79" i="52"/>
  <c r="I80" i="52"/>
  <c r="J80" i="52"/>
  <c r="I81" i="52"/>
  <c r="J81" i="52"/>
  <c r="I82" i="52"/>
  <c r="J82" i="52"/>
  <c r="I83" i="52"/>
  <c r="J83" i="52"/>
  <c r="I84" i="52"/>
  <c r="J84" i="52"/>
  <c r="I85" i="52"/>
  <c r="J85" i="52"/>
  <c r="I86" i="52"/>
  <c r="J86" i="52"/>
  <c r="K86" i="52" s="1"/>
  <c r="I87" i="52"/>
  <c r="J87" i="52"/>
  <c r="K87" i="52" s="1"/>
  <c r="L87" i="52" s="1"/>
  <c r="M87" i="52" s="1"/>
  <c r="I88" i="52"/>
  <c r="J88" i="52"/>
  <c r="I89" i="52"/>
  <c r="J89" i="52"/>
  <c r="K89" i="52"/>
  <c r="L89" i="52" s="1"/>
  <c r="M89" i="52" s="1"/>
  <c r="I90" i="52"/>
  <c r="J90" i="52"/>
  <c r="I91" i="52"/>
  <c r="K91" i="52" s="1"/>
  <c r="J91" i="52"/>
  <c r="I92" i="52"/>
  <c r="J92" i="52"/>
  <c r="K92" i="52" s="1"/>
  <c r="L92" i="52" s="1"/>
  <c r="M92" i="52" s="1"/>
  <c r="I93" i="52"/>
  <c r="J93" i="52"/>
  <c r="I94" i="52"/>
  <c r="J94" i="52"/>
  <c r="I95" i="52"/>
  <c r="J95" i="52"/>
  <c r="I96" i="52"/>
  <c r="K96" i="52" s="1"/>
  <c r="L96" i="52" s="1"/>
  <c r="M96" i="52" s="1"/>
  <c r="J96" i="52"/>
  <c r="I97" i="52"/>
  <c r="K97" i="52" s="1"/>
  <c r="J97" i="52"/>
  <c r="I98" i="52"/>
  <c r="J98" i="52"/>
  <c r="I99" i="52"/>
  <c r="J99" i="52"/>
  <c r="I100" i="52"/>
  <c r="K100" i="52" s="1"/>
  <c r="J100" i="52"/>
  <c r="I101" i="52"/>
  <c r="K101" i="52" s="1"/>
  <c r="L101" i="52" s="1"/>
  <c r="M101" i="52" s="1"/>
  <c r="J101" i="52"/>
  <c r="I102" i="52"/>
  <c r="K102" i="52" s="1"/>
  <c r="J102" i="52"/>
  <c r="I3" i="52"/>
  <c r="J3" i="52"/>
  <c r="L5" i="81"/>
  <c r="K5" i="81"/>
  <c r="J5" i="81"/>
  <c r="I5" i="81"/>
  <c r="H5" i="81"/>
  <c r="G5" i="81"/>
  <c r="F5" i="81"/>
  <c r="E5" i="81"/>
  <c r="D5" i="81"/>
  <c r="C5" i="81"/>
  <c r="E37" i="88"/>
  <c r="E38" i="88" s="1"/>
  <c r="E27" i="88"/>
  <c r="D37" i="88"/>
  <c r="D38" i="88" s="1"/>
  <c r="D27" i="88"/>
  <c r="C37" i="88"/>
  <c r="C38" i="88" s="1"/>
  <c r="C27" i="88"/>
  <c r="E13" i="85"/>
  <c r="E14" i="85" s="1"/>
  <c r="E15" i="85" s="1"/>
  <c r="E16" i="85" s="1"/>
  <c r="E17" i="85" s="1"/>
  <c r="E18" i="85" s="1"/>
  <c r="E19" i="85" s="1"/>
  <c r="E20" i="85" s="1"/>
  <c r="G11" i="85"/>
  <c r="H11" i="85" s="1"/>
  <c r="I11" i="85" s="1"/>
  <c r="J11" i="85" s="1"/>
  <c r="K11" i="85" s="1"/>
  <c r="L11" i="85" s="1"/>
  <c r="M11" i="85" s="1"/>
  <c r="E11" i="85"/>
  <c r="K88" i="52"/>
  <c r="L88" i="52" s="1"/>
  <c r="M88" i="52" s="1"/>
  <c r="K53" i="52"/>
  <c r="K49" i="52"/>
  <c r="L49" i="52" s="1"/>
  <c r="K81" i="52"/>
  <c r="L81" i="52" s="1"/>
  <c r="K70" i="52"/>
  <c r="L70" i="52" s="1"/>
  <c r="K29" i="52"/>
  <c r="L29" i="52" s="1"/>
  <c r="M29" i="52" s="1"/>
  <c r="K94" i="52"/>
  <c r="L94" i="52" s="1"/>
  <c r="K90" i="52"/>
  <c r="L90" i="52" s="1"/>
  <c r="M90" i="52" s="1"/>
  <c r="K80" i="52"/>
  <c r="L80" i="52" s="1"/>
  <c r="M80" i="52" s="1"/>
  <c r="K51" i="52"/>
  <c r="L51" i="52" s="1"/>
  <c r="K32" i="52"/>
  <c r="K69" i="52"/>
  <c r="L69" i="52" s="1"/>
  <c r="M69" i="52" s="1"/>
  <c r="K66" i="52"/>
  <c r="K50" i="52"/>
  <c r="L50" i="52" s="1"/>
  <c r="M50" i="52" s="1"/>
  <c r="K41" i="52"/>
  <c r="L41" i="52" s="1"/>
  <c r="M41" i="52" s="1"/>
  <c r="K99" i="52"/>
  <c r="L99" i="52" s="1"/>
  <c r="K72" i="52"/>
  <c r="L72" i="52" s="1"/>
  <c r="M72" i="52" s="1"/>
  <c r="K46" i="52"/>
  <c r="L46" i="52" s="1"/>
  <c r="M46" i="52" s="1"/>
  <c r="K44" i="52"/>
  <c r="L44" i="52" s="1"/>
  <c r="M44" i="52" s="1"/>
  <c r="K40" i="52"/>
  <c r="L40" i="52" s="1"/>
  <c r="K8" i="52"/>
  <c r="L8" i="52" s="1"/>
  <c r="M8" i="52" s="1"/>
  <c r="L66" i="52"/>
  <c r="M66" i="52" s="1"/>
  <c r="L53" i="52"/>
  <c r="M53" i="52" s="1"/>
  <c r="D41" i="88" l="1"/>
  <c r="L97" i="52"/>
  <c r="M97" i="52"/>
  <c r="L63" i="52"/>
  <c r="M63" i="52" s="1"/>
  <c r="K93" i="52"/>
  <c r="K82" i="52"/>
  <c r="M82" i="52" s="1"/>
  <c r="K15" i="52"/>
  <c r="L15" i="52" s="1"/>
  <c r="M15" i="52" s="1"/>
  <c r="K11" i="52"/>
  <c r="L11" i="52" s="1"/>
  <c r="K7" i="52"/>
  <c r="K84" i="52"/>
  <c r="L84" i="52" s="1"/>
  <c r="M84" i="52" s="1"/>
  <c r="K76" i="52"/>
  <c r="L76" i="52" s="1"/>
  <c r="K73" i="52"/>
  <c r="L73" i="52" s="1"/>
  <c r="M73" i="52" s="1"/>
  <c r="K45" i="52"/>
  <c r="L45" i="52" s="1"/>
  <c r="K37" i="52"/>
  <c r="L37" i="52" s="1"/>
  <c r="M37" i="52" s="1"/>
  <c r="K33" i="52"/>
  <c r="L33" i="52" s="1"/>
  <c r="M33" i="52" s="1"/>
  <c r="K98" i="52"/>
  <c r="L98" i="52" s="1"/>
  <c r="M98" i="52" s="1"/>
  <c r="K5" i="52"/>
  <c r="L5" i="52" s="1"/>
  <c r="M5" i="52" s="1"/>
  <c r="M51" i="52"/>
  <c r="K83" i="52"/>
  <c r="K79" i="52"/>
  <c r="M79" i="52" s="1"/>
  <c r="K75" i="52"/>
  <c r="L75" i="52" s="1"/>
  <c r="M75" i="52" s="1"/>
  <c r="K71" i="52"/>
  <c r="K55" i="52"/>
  <c r="L55" i="52" s="1"/>
  <c r="M55" i="52" s="1"/>
  <c r="K31" i="52"/>
  <c r="L31" i="52" s="1"/>
  <c r="M31" i="52" s="1"/>
  <c r="K16" i="52"/>
  <c r="L16" i="52" s="1"/>
  <c r="M16" i="52" s="1"/>
  <c r="M23" i="191"/>
  <c r="N23" i="191" s="1"/>
  <c r="O23" i="191" s="1"/>
  <c r="F23" i="191"/>
  <c r="G23" i="191" s="1"/>
  <c r="H23" i="191" s="1"/>
  <c r="L91" i="52"/>
  <c r="M91" i="52"/>
  <c r="L82" i="52"/>
  <c r="M64" i="52"/>
  <c r="L64" i="52"/>
  <c r="L56" i="52"/>
  <c r="M56" i="52" s="1"/>
  <c r="M22" i="52"/>
  <c r="L22" i="52"/>
  <c r="L14" i="52"/>
  <c r="M14" i="52" s="1"/>
  <c r="L79" i="52"/>
  <c r="L93" i="52"/>
  <c r="M93" i="52" s="1"/>
  <c r="L39" i="52"/>
  <c r="M39" i="52" s="1"/>
  <c r="M62" i="52"/>
  <c r="K52" i="52"/>
  <c r="L52" i="52" s="1"/>
  <c r="M52" i="52" s="1"/>
  <c r="K48" i="52"/>
  <c r="L48" i="52" s="1"/>
  <c r="M48" i="52" s="1"/>
  <c r="M81" i="52"/>
  <c r="M40" i="52"/>
  <c r="M99" i="52"/>
  <c r="M70" i="52"/>
  <c r="C41" i="88"/>
  <c r="E41" i="88"/>
  <c r="K3" i="52"/>
  <c r="K85" i="52"/>
  <c r="L85" i="52" s="1"/>
  <c r="M85" i="52" s="1"/>
  <c r="K68" i="52"/>
  <c r="K57" i="52"/>
  <c r="K38" i="52"/>
  <c r="L38" i="52" s="1"/>
  <c r="M38" i="52" s="1"/>
  <c r="K36" i="52"/>
  <c r="K27" i="52"/>
  <c r="L27" i="52" s="1"/>
  <c r="M27" i="52" s="1"/>
  <c r="K23" i="52"/>
  <c r="L23" i="52" s="1"/>
  <c r="M23" i="52" s="1"/>
  <c r="K21" i="52"/>
  <c r="L21" i="52" s="1"/>
  <c r="M21" i="52" s="1"/>
  <c r="K19" i="52"/>
  <c r="L19" i="52" s="1"/>
  <c r="L62" i="52"/>
  <c r="K95" i="52"/>
  <c r="L95" i="52" s="1"/>
  <c r="M95" i="52" s="1"/>
  <c r="L102" i="52"/>
  <c r="M102" i="52" s="1"/>
  <c r="L58" i="52"/>
  <c r="M58" i="52" s="1"/>
  <c r="L20" i="52"/>
  <c r="M20" i="52" s="1"/>
  <c r="L61" i="52"/>
  <c r="M61" i="52" s="1"/>
  <c r="L68" i="52"/>
  <c r="M68" i="52" s="1"/>
  <c r="L57" i="52"/>
  <c r="M57" i="52"/>
  <c r="L83" i="52"/>
  <c r="M83" i="52" s="1"/>
  <c r="L60" i="52"/>
  <c r="M60" i="52" s="1"/>
  <c r="L7" i="52"/>
  <c r="M7" i="52" s="1"/>
  <c r="L36" i="52"/>
  <c r="M36" i="52" s="1"/>
  <c r="L13" i="52"/>
  <c r="M13" i="52" s="1"/>
  <c r="L86" i="52"/>
  <c r="M86" i="52" s="1"/>
  <c r="L71" i="52"/>
  <c r="M71" i="52" s="1"/>
  <c r="L100" i="52"/>
  <c r="M100" i="52" s="1"/>
  <c r="L32" i="52"/>
  <c r="M32" i="52" s="1"/>
  <c r="L12" i="52"/>
  <c r="M12" i="52" s="1"/>
  <c r="M49" i="52"/>
  <c r="M76" i="52"/>
  <c r="M25" i="52"/>
  <c r="M78" i="52"/>
  <c r="M45" i="52"/>
  <c r="M26" i="52"/>
  <c r="M65" i="52"/>
  <c r="M94" i="52"/>
  <c r="M17" i="52"/>
  <c r="M19" i="52" l="1"/>
  <c r="M11" i="52"/>
  <c r="M24" i="191"/>
  <c r="N24" i="191" s="1"/>
  <c r="O24" i="191" s="1"/>
  <c r="F24" i="191"/>
  <c r="G24" i="191" s="1"/>
  <c r="H24" i="191" s="1"/>
  <c r="L3" i="52"/>
  <c r="M3" i="52" s="1"/>
  <c r="M25" i="191" l="1"/>
  <c r="N25" i="191" s="1"/>
  <c r="O25" i="191" s="1"/>
  <c r="F25" i="191"/>
  <c r="G25" i="191" s="1"/>
  <c r="H25" i="191" s="1"/>
  <c r="M26" i="191" l="1"/>
  <c r="N26" i="191" s="1"/>
  <c r="O26" i="191" s="1"/>
  <c r="F26" i="191"/>
  <c r="G26" i="191" s="1"/>
  <c r="H26" i="191" s="1"/>
  <c r="M27" i="191" l="1"/>
  <c r="N27" i="191" s="1"/>
  <c r="O27" i="191" s="1"/>
  <c r="F27" i="191"/>
  <c r="G27" i="191" s="1"/>
  <c r="H27" i="191" s="1"/>
  <c r="M28" i="191" l="1"/>
  <c r="N28" i="191" s="1"/>
  <c r="O28" i="191" s="1"/>
  <c r="F28" i="191"/>
  <c r="G28" i="191" s="1"/>
  <c r="H28" i="191" s="1"/>
  <c r="M29" i="191" l="1"/>
  <c r="N29" i="191" s="1"/>
  <c r="O29" i="191" s="1"/>
  <c r="F29" i="191"/>
  <c r="G29" i="191" s="1"/>
  <c r="H29" i="191" s="1"/>
  <c r="M30" i="191" l="1"/>
  <c r="N30" i="191" s="1"/>
  <c r="O30" i="191" s="1"/>
  <c r="F30" i="191"/>
  <c r="G30" i="191" s="1"/>
  <c r="H30" i="191" s="1"/>
  <c r="M31" i="191" l="1"/>
  <c r="N31" i="191" s="1"/>
  <c r="O31" i="191" s="1"/>
  <c r="F31" i="191"/>
  <c r="G31" i="191" s="1"/>
  <c r="H31" i="191" s="1"/>
  <c r="M32" i="191" l="1"/>
  <c r="N32" i="191" s="1"/>
  <c r="O32" i="191" s="1"/>
  <c r="F32" i="191"/>
  <c r="G32" i="191" s="1"/>
  <c r="H32" i="191" s="1"/>
  <c r="M33" i="191" l="1"/>
  <c r="N33" i="191" s="1"/>
  <c r="O33" i="191" s="1"/>
  <c r="F33" i="191"/>
  <c r="G33" i="191" s="1"/>
  <c r="H33" i="191" s="1"/>
  <c r="M34" i="191" l="1"/>
  <c r="N34" i="191" s="1"/>
  <c r="O34" i="191"/>
  <c r="F34" i="191"/>
  <c r="G34" i="191" s="1"/>
  <c r="H34" i="191" s="1"/>
  <c r="M35" i="191" l="1"/>
  <c r="N35" i="191" s="1"/>
  <c r="O35" i="191" s="1"/>
  <c r="F35" i="191"/>
  <c r="G35" i="191" s="1"/>
  <c r="H35" i="191" s="1"/>
  <c r="M36" i="191" l="1"/>
  <c r="N36" i="191" s="1"/>
  <c r="O36" i="191" s="1"/>
  <c r="F36" i="191"/>
  <c r="G36" i="191" s="1"/>
  <c r="H36" i="191"/>
  <c r="M37" i="191" l="1"/>
  <c r="N37" i="191" s="1"/>
  <c r="O37" i="191" s="1"/>
  <c r="F37" i="191"/>
  <c r="G37" i="191" s="1"/>
  <c r="H37" i="191" s="1"/>
  <c r="M38" i="191" l="1"/>
  <c r="N38" i="191" s="1"/>
  <c r="O38" i="191" s="1"/>
  <c r="F38" i="191"/>
  <c r="G38" i="191" s="1"/>
  <c r="H38" i="191" s="1"/>
  <c r="M39" i="191" l="1"/>
  <c r="N39" i="191" s="1"/>
  <c r="O39" i="191" s="1"/>
  <c r="H39" i="191"/>
  <c r="F39" i="191"/>
  <c r="G39" i="191" s="1"/>
  <c r="M40" i="191" l="1"/>
  <c r="N40" i="191" s="1"/>
  <c r="O40" i="191" s="1"/>
  <c r="F40" i="191"/>
  <c r="G40" i="191" s="1"/>
  <c r="H40" i="191" s="1"/>
  <c r="M41" i="191" l="1"/>
  <c r="N41" i="191" s="1"/>
  <c r="O41" i="191" s="1"/>
  <c r="F41" i="191"/>
  <c r="G41" i="191" s="1"/>
  <c r="H41" i="191" s="1"/>
  <c r="M42" i="191" l="1"/>
  <c r="N42" i="191" s="1"/>
  <c r="O42" i="191" s="1"/>
  <c r="F42" i="191"/>
  <c r="G42" i="191" s="1"/>
  <c r="H42" i="191" s="1"/>
  <c r="M43" i="191" l="1"/>
  <c r="N43" i="191" s="1"/>
  <c r="O43" i="191" s="1"/>
  <c r="F43" i="191"/>
  <c r="G43" i="191" s="1"/>
  <c r="H43" i="191" s="1"/>
  <c r="O44" i="191" l="1"/>
  <c r="M44" i="191"/>
  <c r="N44" i="191" s="1"/>
  <c r="F44" i="191"/>
  <c r="G44" i="191" s="1"/>
  <c r="H44" i="191"/>
  <c r="M45" i="191" l="1"/>
  <c r="N45" i="191" s="1"/>
  <c r="O45" i="191" s="1"/>
  <c r="F45" i="191"/>
  <c r="G45" i="191" s="1"/>
  <c r="H45" i="191" s="1"/>
  <c r="M46" i="191" l="1"/>
  <c r="N46" i="191" s="1"/>
  <c r="O46" i="191" s="1"/>
  <c r="F46" i="191"/>
  <c r="G46" i="191" s="1"/>
  <c r="H46" i="191" s="1"/>
  <c r="M47" i="191" l="1"/>
  <c r="N47" i="191" s="1"/>
  <c r="O47" i="191"/>
  <c r="F47" i="191"/>
  <c r="G47" i="191" s="1"/>
  <c r="H47" i="191" s="1"/>
  <c r="M48" i="191" l="1"/>
  <c r="N48" i="191" s="1"/>
  <c r="O48" i="191"/>
  <c r="F48" i="191"/>
  <c r="G48" i="191" s="1"/>
  <c r="H48" i="191" s="1"/>
  <c r="M49" i="191" l="1"/>
  <c r="N49" i="191" s="1"/>
  <c r="O49" i="191" s="1"/>
  <c r="F49" i="191"/>
  <c r="G49" i="191" s="1"/>
  <c r="H49" i="191" s="1"/>
  <c r="M50" i="191" l="1"/>
  <c r="N50" i="191" s="1"/>
  <c r="O50" i="191"/>
  <c r="F50" i="191"/>
  <c r="G50" i="191" s="1"/>
  <c r="H50" i="191" s="1"/>
  <c r="M51" i="191" l="1"/>
  <c r="N51" i="191" s="1"/>
  <c r="O51" i="191"/>
  <c r="F51" i="191"/>
  <c r="G51" i="191" s="1"/>
  <c r="H51" i="191"/>
  <c r="M52" i="191" l="1"/>
  <c r="N52" i="191" s="1"/>
  <c r="O52" i="191" s="1"/>
  <c r="F52" i="191"/>
  <c r="G52" i="191" s="1"/>
  <c r="H52" i="191"/>
  <c r="M53" i="191" l="1"/>
  <c r="N53" i="191" s="1"/>
  <c r="O53" i="191" s="1"/>
  <c r="F53" i="191"/>
  <c r="G53" i="191" s="1"/>
  <c r="H53" i="191"/>
  <c r="M54" i="191" l="1"/>
  <c r="N54" i="191" s="1"/>
  <c r="O54" i="191" s="1"/>
  <c r="F54" i="191"/>
  <c r="G54" i="191" s="1"/>
  <c r="H54" i="191" s="1"/>
  <c r="M55" i="191" l="1"/>
  <c r="N55" i="191" s="1"/>
  <c r="O55" i="191" s="1"/>
  <c r="F55" i="191"/>
  <c r="G55" i="191" s="1"/>
  <c r="H55" i="191"/>
  <c r="M56" i="191" l="1"/>
  <c r="N56" i="191" s="1"/>
  <c r="O56" i="191" s="1"/>
  <c r="F56" i="191"/>
  <c r="G56" i="191" s="1"/>
  <c r="H56" i="191"/>
  <c r="M57" i="191" l="1"/>
  <c r="N57" i="191" s="1"/>
  <c r="O57" i="191" s="1"/>
  <c r="F57" i="191"/>
  <c r="G57" i="191" s="1"/>
  <c r="H57" i="191"/>
  <c r="M58" i="191" l="1"/>
  <c r="N58" i="191" s="1"/>
  <c r="O58" i="191"/>
  <c r="F58" i="191"/>
  <c r="G58" i="191" s="1"/>
  <c r="H58" i="191" s="1"/>
  <c r="M59" i="191" l="1"/>
  <c r="N59" i="191" s="1"/>
  <c r="O59" i="191"/>
  <c r="F59" i="191"/>
  <c r="G59" i="191" s="1"/>
  <c r="H59" i="191" s="1"/>
  <c r="M60" i="191" l="1"/>
  <c r="N60" i="191" s="1"/>
  <c r="O60" i="191" s="1"/>
  <c r="F60" i="191"/>
  <c r="G60" i="191" s="1"/>
  <c r="H60" i="191"/>
  <c r="M61" i="191" l="1"/>
  <c r="N61" i="191" s="1"/>
  <c r="O61" i="191" s="1"/>
  <c r="F61" i="191"/>
  <c r="G61" i="191" s="1"/>
  <c r="H61" i="191"/>
  <c r="M62" i="191" l="1"/>
  <c r="N62" i="191" s="1"/>
  <c r="O62" i="191" s="1"/>
  <c r="F62" i="191"/>
  <c r="G62" i="191" s="1"/>
  <c r="H62" i="191" s="1"/>
  <c r="M63" i="191" l="1"/>
  <c r="N63" i="191" s="1"/>
  <c r="O63" i="191"/>
  <c r="F63" i="191"/>
  <c r="G63" i="191" s="1"/>
  <c r="H63" i="191" s="1"/>
  <c r="M64" i="191" l="1"/>
  <c r="N64" i="191" s="1"/>
  <c r="O64" i="191" s="1"/>
  <c r="F64" i="191"/>
  <c r="G64" i="191" s="1"/>
  <c r="H64" i="191"/>
  <c r="M65" i="191" l="1"/>
  <c r="N65" i="191" s="1"/>
  <c r="O65" i="191" s="1"/>
  <c r="F65" i="191"/>
  <c r="G65" i="191" s="1"/>
  <c r="H65" i="191" s="1"/>
  <c r="M66" i="191" l="1"/>
  <c r="N66" i="191" s="1"/>
  <c r="O66" i="191"/>
  <c r="F66" i="191"/>
  <c r="G66" i="191" s="1"/>
  <c r="H66" i="191" s="1"/>
  <c r="M67" i="191" l="1"/>
  <c r="N67" i="191" s="1"/>
  <c r="O67" i="191"/>
  <c r="F67" i="191"/>
  <c r="G67" i="191" s="1"/>
  <c r="H67" i="191" s="1"/>
  <c r="M68" i="191" l="1"/>
  <c r="N68" i="191" s="1"/>
  <c r="O68" i="191" s="1"/>
  <c r="F68" i="191"/>
  <c r="G68" i="191" s="1"/>
  <c r="H68" i="191" s="1"/>
  <c r="M69" i="191" l="1"/>
  <c r="N69" i="191" s="1"/>
  <c r="O69" i="191" s="1"/>
  <c r="F69" i="191"/>
  <c r="G69" i="191" s="1"/>
  <c r="H69" i="191" s="1"/>
  <c r="M70" i="191" l="1"/>
  <c r="N70" i="191" s="1"/>
  <c r="O70" i="191" s="1"/>
  <c r="F70" i="191"/>
  <c r="G70" i="191" s="1"/>
  <c r="H70" i="191" s="1"/>
  <c r="M71" i="191" l="1"/>
  <c r="N71" i="191" s="1"/>
  <c r="O71" i="191" s="1"/>
  <c r="F71" i="191"/>
  <c r="G71" i="191" s="1"/>
  <c r="H71" i="191" s="1"/>
  <c r="M72" i="191" l="1"/>
  <c r="N72" i="191" s="1"/>
  <c r="O72" i="191" s="1"/>
  <c r="F72" i="191"/>
  <c r="G72" i="191" s="1"/>
  <c r="H72" i="19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</author>
  </authors>
  <commentList>
    <comment ref="D11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Vsingal</author>
  </authors>
  <commentList>
    <comment ref="F6" authorId="0" shapeId="0" xr:uid="{00000000-0006-0000-0D00-000001000000}">
      <text>
        <r>
          <rPr>
            <sz val="8"/>
            <color indexed="81"/>
            <rFont val="Tahoma"/>
            <family val="2"/>
          </rPr>
          <t xml:space="preserve">
Highlight Cells if Region=West</t>
        </r>
      </text>
    </comment>
    <comment ref="H6" authorId="0" shapeId="0" xr:uid="{00000000-0006-0000-0D00-000002000000}">
      <text>
        <r>
          <rPr>
            <sz val="8"/>
            <color indexed="81"/>
            <rFont val="Tahoma"/>
            <family val="2"/>
          </rPr>
          <t xml:space="preserve">
Highlight Cells if year of Hiredate is between 1985 to 1990</t>
        </r>
      </text>
    </comment>
    <comment ref="J6" authorId="0" shapeId="0" xr:uid="{00000000-0006-0000-0D00-000003000000}">
      <text>
        <r>
          <rPr>
            <sz val="8"/>
            <color indexed="81"/>
            <rFont val="Tahoma"/>
            <family val="2"/>
          </rPr>
          <t>Highlight The Cell if Bonus&gt;=50% of Salary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<sst xmlns="http://schemas.openxmlformats.org/spreadsheetml/2006/main" count="16612" uniqueCount="4061">
  <si>
    <t>Calculate Sum</t>
  </si>
  <si>
    <t>Multiply all the numbers in column B by 100</t>
  </si>
  <si>
    <t>Divide all the numbers in column B by 100</t>
  </si>
  <si>
    <t>Count the number of items</t>
  </si>
  <si>
    <t>Find out year by Year change</t>
  </si>
  <si>
    <t>Sales Figures</t>
  </si>
  <si>
    <t>% Change</t>
  </si>
  <si>
    <t>info@thewallstreetschool.com</t>
  </si>
  <si>
    <t>www.thewallstreetschool.com</t>
  </si>
  <si>
    <t>Key Combination</t>
  </si>
  <si>
    <t>Left Arrow</t>
  </si>
  <si>
    <t>Right Arrow</t>
  </si>
  <si>
    <t>Up Arrow</t>
  </si>
  <si>
    <t>Down Arrow</t>
  </si>
  <si>
    <t>Space Bar</t>
  </si>
  <si>
    <t>Home</t>
  </si>
  <si>
    <t>End</t>
  </si>
  <si>
    <t>Page Up</t>
  </si>
  <si>
    <t>Page Down</t>
  </si>
  <si>
    <t>+</t>
  </si>
  <si>
    <t>-</t>
  </si>
  <si>
    <t>Shift</t>
  </si>
  <si>
    <t>Select Left</t>
  </si>
  <si>
    <t>Select Right</t>
  </si>
  <si>
    <t>Select Up</t>
  </si>
  <si>
    <t>Select Down</t>
  </si>
  <si>
    <t>Select Row</t>
  </si>
  <si>
    <t>Ctrl</t>
  </si>
  <si>
    <t>Move Left Area</t>
  </si>
  <si>
    <t>Move Right Area</t>
  </si>
  <si>
    <t>Move Up Area</t>
  </si>
  <si>
    <t>Move Down Area</t>
  </si>
  <si>
    <t>Select Column</t>
  </si>
  <si>
    <t>Start Of Worksheet</t>
  </si>
  <si>
    <t>End Of Worksheet</t>
  </si>
  <si>
    <t>Previous Worksheet</t>
  </si>
  <si>
    <t>Next Worksheet</t>
  </si>
  <si>
    <t>Insert Cell / Row / Column</t>
  </si>
  <si>
    <t>Delete Cell / Row / Column</t>
  </si>
  <si>
    <t>Alt</t>
  </si>
  <si>
    <t>Drop down list</t>
  </si>
  <si>
    <t>Left 1 screen</t>
  </si>
  <si>
    <t>Right 1 screen</t>
  </si>
  <si>
    <t>Shift Ctrl</t>
  </si>
  <si>
    <t>Select All</t>
  </si>
  <si>
    <t>Revenue per Student</t>
  </si>
  <si>
    <t>No of Student per Batch</t>
  </si>
  <si>
    <t>No of Batches Per Year (weekend)</t>
  </si>
  <si>
    <t>Per Batch Total Revenue</t>
  </si>
  <si>
    <t>Annual Revenue</t>
  </si>
  <si>
    <t>Populate the below table by freezing the cells and using multiplication signs</t>
  </si>
  <si>
    <t>No. of Student per Batch</t>
  </si>
  <si>
    <t>Revenue per student</t>
  </si>
  <si>
    <t>Lower Limit</t>
  </si>
  <si>
    <t>Upper Limit</t>
  </si>
  <si>
    <t>Frequency Class</t>
  </si>
  <si>
    <t>Using the appropriate function get the frequency class of values mentioned below</t>
  </si>
  <si>
    <t>0-160</t>
  </si>
  <si>
    <t>161-320</t>
  </si>
  <si>
    <t>321-480</t>
  </si>
  <si>
    <t>Values</t>
  </si>
  <si>
    <t>Class</t>
  </si>
  <si>
    <t>481-640</t>
  </si>
  <si>
    <t>641-800</t>
  </si>
  <si>
    <t>801-960</t>
  </si>
  <si>
    <t>961-1120</t>
  </si>
  <si>
    <t>1121-1280</t>
  </si>
  <si>
    <t>1281-1440</t>
  </si>
  <si>
    <t>1441-1600</t>
  </si>
  <si>
    <t>1601-1760</t>
  </si>
  <si>
    <t>1761-1920</t>
  </si>
  <si>
    <t>1921-2080</t>
  </si>
  <si>
    <t>2081-2240</t>
  </si>
  <si>
    <t>2241-2400</t>
  </si>
  <si>
    <t>2401-2560</t>
  </si>
  <si>
    <t>Financial Statement Data ($ millions)</t>
  </si>
  <si>
    <t>Sales</t>
  </si>
  <si>
    <t>EBIT</t>
  </si>
  <si>
    <t>Interest Expense (Non-0perating)</t>
  </si>
  <si>
    <t>Tax Expense</t>
  </si>
  <si>
    <t>Net Income (Income for Primary EPS)</t>
  </si>
  <si>
    <t>Assets</t>
  </si>
  <si>
    <t>Equity</t>
  </si>
  <si>
    <t>Empcode</t>
  </si>
  <si>
    <t>First Name</t>
  </si>
  <si>
    <t>Last Name</t>
  </si>
  <si>
    <t>Dept</t>
  </si>
  <si>
    <t>Region</t>
  </si>
  <si>
    <t>Deptcode</t>
  </si>
  <si>
    <t>Hiredate</t>
  </si>
  <si>
    <t>Salary</t>
  </si>
  <si>
    <t>Anuradha</t>
  </si>
  <si>
    <t>Zha</t>
  </si>
  <si>
    <t>Admin</t>
  </si>
  <si>
    <t>north</t>
  </si>
  <si>
    <t>Kabir</t>
  </si>
  <si>
    <t>Vora</t>
  </si>
  <si>
    <t>Mktg</t>
  </si>
  <si>
    <t>south</t>
  </si>
  <si>
    <t>Zarina</t>
  </si>
  <si>
    <t>CCD</t>
  </si>
  <si>
    <t>Vishal</t>
  </si>
  <si>
    <t>Virsinghani</t>
  </si>
  <si>
    <t>east</t>
  </si>
  <si>
    <t>Aalok</t>
  </si>
  <si>
    <t>Trivedi</t>
  </si>
  <si>
    <t>Asha</t>
  </si>
  <si>
    <t>Harsha</t>
  </si>
  <si>
    <t>Jignesh</t>
  </si>
  <si>
    <t>Tripathi</t>
  </si>
  <si>
    <t>Pankaj</t>
  </si>
  <si>
    <t>Sutradhar</t>
  </si>
  <si>
    <t>Katti</t>
  </si>
  <si>
    <t>Surti</t>
  </si>
  <si>
    <t>Piyush</t>
  </si>
  <si>
    <t>Personal</t>
  </si>
  <si>
    <t>Payal</t>
  </si>
  <si>
    <t>Singhani</t>
  </si>
  <si>
    <t>Vinit</t>
  </si>
  <si>
    <t>Shrivastava</t>
  </si>
  <si>
    <t>west</t>
  </si>
  <si>
    <t>Priya</t>
  </si>
  <si>
    <t>Shirodkar</t>
  </si>
  <si>
    <t>Kalpana</t>
  </si>
  <si>
    <t>Shirishkar</t>
  </si>
  <si>
    <t>R&amp;D</t>
  </si>
  <si>
    <t>Suman</t>
  </si>
  <si>
    <t>Shinde</t>
  </si>
  <si>
    <t>Bharat</t>
  </si>
  <si>
    <t>Shetty</t>
  </si>
  <si>
    <t>Mehul</t>
  </si>
  <si>
    <t>Sheth</t>
  </si>
  <si>
    <t>Laveena</t>
  </si>
  <si>
    <t>Shenoy</t>
  </si>
  <si>
    <t>Shazia</t>
  </si>
  <si>
    <t>Sheikh</t>
  </si>
  <si>
    <t>Waheda</t>
  </si>
  <si>
    <t>Beena</t>
  </si>
  <si>
    <t>Sharma</t>
  </si>
  <si>
    <t>Kuldeep</t>
  </si>
  <si>
    <t>Drishti</t>
  </si>
  <si>
    <t>Shah</t>
  </si>
  <si>
    <t>Indu</t>
  </si>
  <si>
    <t>Finance</t>
  </si>
  <si>
    <t>Kunal</t>
  </si>
  <si>
    <t>Parul</t>
  </si>
  <si>
    <t>Rupesh</t>
  </si>
  <si>
    <t>Sawant</t>
  </si>
  <si>
    <t>Satinder Kaur</t>
  </si>
  <si>
    <t>Sasan</t>
  </si>
  <si>
    <t>Sonia</t>
  </si>
  <si>
    <t>Kirtikar</t>
  </si>
  <si>
    <t>Sardesai</t>
  </si>
  <si>
    <t>Suraj</t>
  </si>
  <si>
    <t>Saksena</t>
  </si>
  <si>
    <t>Farhan</t>
  </si>
  <si>
    <t>Sadiq</t>
  </si>
  <si>
    <t>Pinky</t>
  </si>
  <si>
    <t>Robert</t>
  </si>
  <si>
    <t>Raja</t>
  </si>
  <si>
    <t>Raymondekar</t>
  </si>
  <si>
    <t>Pushpa</t>
  </si>
  <si>
    <t>Raut</t>
  </si>
  <si>
    <t>Lalita</t>
  </si>
  <si>
    <t>Rao</t>
  </si>
  <si>
    <t>Seema</t>
  </si>
  <si>
    <t>Ranganathan</t>
  </si>
  <si>
    <t>Richa</t>
  </si>
  <si>
    <t>Raje</t>
  </si>
  <si>
    <t>Aalam</t>
  </si>
  <si>
    <t>Qureshi</t>
  </si>
  <si>
    <t>Tara</t>
  </si>
  <si>
    <t>Phule</t>
  </si>
  <si>
    <t>Chitra</t>
  </si>
  <si>
    <t>Pednekar</t>
  </si>
  <si>
    <t>Veena</t>
  </si>
  <si>
    <t>Patil</t>
  </si>
  <si>
    <t>Tejal</t>
  </si>
  <si>
    <t>Patel</t>
  </si>
  <si>
    <t>Disha</t>
  </si>
  <si>
    <t>Parmar</t>
  </si>
  <si>
    <t>Shilpa</t>
  </si>
  <si>
    <t>Parikh</t>
  </si>
  <si>
    <t>Nita</t>
  </si>
  <si>
    <t>Pandhya</t>
  </si>
  <si>
    <t>Maya</t>
  </si>
  <si>
    <t>Panchal</t>
  </si>
  <si>
    <t>Suchita</t>
  </si>
  <si>
    <t>Pooja</t>
  </si>
  <si>
    <t>Nimkar</t>
  </si>
  <si>
    <t>K. Sita</t>
  </si>
  <si>
    <t>Narayanan</t>
  </si>
  <si>
    <t>Reeta</t>
  </si>
  <si>
    <t>Naik</t>
  </si>
  <si>
    <t>Uday</t>
  </si>
  <si>
    <t>Neena</t>
  </si>
  <si>
    <t>Mukherjee</t>
  </si>
  <si>
    <t>Kinnari</t>
  </si>
  <si>
    <t>Mehta</t>
  </si>
  <si>
    <t>Priyanka</t>
  </si>
  <si>
    <t>Mavadia</t>
  </si>
  <si>
    <t>Rishi</t>
  </si>
  <si>
    <t>Malik</t>
  </si>
  <si>
    <t>Sujay</t>
  </si>
  <si>
    <t>Madhrani</t>
  </si>
  <si>
    <t>Lele</t>
  </si>
  <si>
    <t>Meera</t>
  </si>
  <si>
    <t>Lalwani</t>
  </si>
  <si>
    <t>Rakesh</t>
  </si>
  <si>
    <t>Kumar</t>
  </si>
  <si>
    <t>Radhika</t>
  </si>
  <si>
    <t>Kulkarni</t>
  </si>
  <si>
    <t>Jasbinder</t>
  </si>
  <si>
    <t>Khurana</t>
  </si>
  <si>
    <t>Khetan</t>
  </si>
  <si>
    <t>Parvati</t>
  </si>
  <si>
    <t>Khanna</t>
  </si>
  <si>
    <t>Nayeem</t>
  </si>
  <si>
    <t>Khan</t>
  </si>
  <si>
    <t>Shaheen</t>
  </si>
  <si>
    <t>Ankur</t>
  </si>
  <si>
    <t>Joshi</t>
  </si>
  <si>
    <t>Arun</t>
  </si>
  <si>
    <t>Neha</t>
  </si>
  <si>
    <t>Pravin</t>
  </si>
  <si>
    <t>Vicky</t>
  </si>
  <si>
    <t>Ruby</t>
  </si>
  <si>
    <t>Joseph</t>
  </si>
  <si>
    <t>Kajal</t>
  </si>
  <si>
    <t>Joglekar</t>
  </si>
  <si>
    <t>Deepak</t>
  </si>
  <si>
    <t>Jain</t>
  </si>
  <si>
    <t>Hajra</t>
  </si>
  <si>
    <t>Hoonjan</t>
  </si>
  <si>
    <t>Giriraj</t>
  </si>
  <si>
    <t>Gupta</t>
  </si>
  <si>
    <t>Yamini</t>
  </si>
  <si>
    <t>Gokhale</t>
  </si>
  <si>
    <t>Surendra</t>
  </si>
  <si>
    <t>Godse</t>
  </si>
  <si>
    <t>Heena</t>
  </si>
  <si>
    <t>Godbole</t>
  </si>
  <si>
    <t>Tapan</t>
  </si>
  <si>
    <t>Ghoshal</t>
  </si>
  <si>
    <t>Dayanand</t>
  </si>
  <si>
    <t>Gandhi</t>
  </si>
  <si>
    <t>Andre</t>
  </si>
  <si>
    <t>Fernendes</t>
  </si>
  <si>
    <t>Mario</t>
  </si>
  <si>
    <t>Fernandes</t>
  </si>
  <si>
    <t>Julie</t>
  </si>
  <si>
    <t>D'Souza</t>
  </si>
  <si>
    <t>Sheetal</t>
  </si>
  <si>
    <t>Dodhia</t>
  </si>
  <si>
    <t>Aakash</t>
  </si>
  <si>
    <t>Dixit</t>
  </si>
  <si>
    <t>Niki</t>
  </si>
  <si>
    <t>Digaria</t>
  </si>
  <si>
    <t>Mandakini</t>
  </si>
  <si>
    <t>Desai</t>
  </si>
  <si>
    <t>Director</t>
  </si>
  <si>
    <t>Timsi</t>
  </si>
  <si>
    <t>Geeta</t>
  </si>
  <si>
    <t>Darekar</t>
  </si>
  <si>
    <t>Chetan</t>
  </si>
  <si>
    <t>Dalvi</t>
  </si>
  <si>
    <t>Deep</t>
  </si>
  <si>
    <t>Chhaya</t>
  </si>
  <si>
    <t>Sagar</t>
  </si>
  <si>
    <t>Bidkar</t>
  </si>
  <si>
    <t>Mala</t>
  </si>
  <si>
    <t>Bhaduri</t>
  </si>
  <si>
    <t>Jeena</t>
  </si>
  <si>
    <t>Baig</t>
  </si>
  <si>
    <t>Ruheal</t>
  </si>
  <si>
    <t>What is the minimum Profit /Sales Ratio? (Answer with a single formula)</t>
  </si>
  <si>
    <t>Sales Person</t>
  </si>
  <si>
    <t>No. Customers</t>
  </si>
  <si>
    <t>Net Sales</t>
  </si>
  <si>
    <t>Profit / Loss</t>
  </si>
  <si>
    <t>John</t>
  </si>
  <si>
    <t>Josh</t>
  </si>
  <si>
    <t>Jamie</t>
  </si>
  <si>
    <t>What is sale per customer for the person who has lowest profit ratio? (Answer with a single formula)</t>
  </si>
  <si>
    <t>Jackie</t>
  </si>
  <si>
    <t>Johnson</t>
  </si>
  <si>
    <t>Jonathan</t>
  </si>
  <si>
    <t>Jagjit</t>
  </si>
  <si>
    <t>Jairam</t>
  </si>
  <si>
    <t>Jessy</t>
  </si>
  <si>
    <t>Javed</t>
  </si>
  <si>
    <t>Jimmy</t>
  </si>
  <si>
    <t>Juno</t>
  </si>
  <si>
    <t>BANKS</t>
  </si>
  <si>
    <t>Total Assets</t>
  </si>
  <si>
    <t>2006-07</t>
  </si>
  <si>
    <t>2007-08</t>
  </si>
  <si>
    <t>2008-09</t>
  </si>
  <si>
    <t>Populate the data from the source data in such manner that you drag the formula and populate</t>
  </si>
  <si>
    <t>NATIONALISED BANKS</t>
  </si>
  <si>
    <t>Calculate CAGR</t>
  </si>
  <si>
    <t>Populate the data from the source data</t>
  </si>
  <si>
    <t xml:space="preserve">Allahabad Bank </t>
  </si>
  <si>
    <t>Andhra Bank</t>
  </si>
  <si>
    <t>Central Bank of India</t>
  </si>
  <si>
    <t xml:space="preserve">Bank of Baroda </t>
  </si>
  <si>
    <t>State Bank of India (SBI)</t>
  </si>
  <si>
    <t xml:space="preserve">Bank of India </t>
  </si>
  <si>
    <t xml:space="preserve">Punjab National Bank  </t>
  </si>
  <si>
    <t>Bank of Maharashtra</t>
  </si>
  <si>
    <t>Oriental Bank of Commerce</t>
  </si>
  <si>
    <t xml:space="preserve">Canara Bank </t>
  </si>
  <si>
    <t xml:space="preserve">Indian Bank </t>
  </si>
  <si>
    <t>Corporation Bank</t>
  </si>
  <si>
    <t>Dena Bank</t>
  </si>
  <si>
    <t xml:space="preserve">Indian Overseas Bank </t>
  </si>
  <si>
    <t>Punjab &amp; Sind  Bank</t>
  </si>
  <si>
    <t>Syndicate Bank</t>
  </si>
  <si>
    <t xml:space="preserve">UCO Bank </t>
  </si>
  <si>
    <t>Union Bank of India</t>
  </si>
  <si>
    <t>United Bank of India</t>
  </si>
  <si>
    <t>Vijaya Bank</t>
  </si>
  <si>
    <t>TOTAL OF 19 NATIONALISED  BANKS [I]</t>
  </si>
  <si>
    <t>ASSOCIATES OF SBI</t>
  </si>
  <si>
    <t xml:space="preserve">State Bank of Bikaner &amp; Jaipur </t>
  </si>
  <si>
    <t>State Bank of Hyderabad</t>
  </si>
  <si>
    <t>State Bank of Indore</t>
  </si>
  <si>
    <t>State Bank of Mysore</t>
  </si>
  <si>
    <t>State Bank of Patiala</t>
  </si>
  <si>
    <t>State Bank of Saurashtra</t>
  </si>
  <si>
    <t xml:space="preserve">State Bank of Travancore </t>
  </si>
  <si>
    <t>TOTAL OF 7 ASSOCIATES [III]</t>
  </si>
  <si>
    <t>TOTAL OF STATE BANK GROUP.[II+III]</t>
  </si>
  <si>
    <t>Other Public Sector Bank</t>
  </si>
  <si>
    <t>IDBI Bank Ltd. @</t>
  </si>
  <si>
    <t>TOTAL OF PUBLIC SECTOR BANKS[I+II+III+IV]</t>
  </si>
  <si>
    <t>Salary&gt;10000 then 5% of Salary
else 10% of salary</t>
  </si>
  <si>
    <t>Salary&gt;10000 then 5% of Salary
Salary between 5000-10000 then 10% of Salary
else 15% of salary</t>
  </si>
  <si>
    <t>Dept= Admin or sales 
then 2500 else 1000</t>
  </si>
  <si>
    <t>Region is East and
Dept is Admin or Sales
then 5000 else 2500</t>
  </si>
  <si>
    <t>DA</t>
  </si>
  <si>
    <t>HRA</t>
  </si>
  <si>
    <t>Gross</t>
  </si>
  <si>
    <t>Tax</t>
  </si>
  <si>
    <t>Net</t>
  </si>
  <si>
    <t>Q1. Compute the Compunded Annual Growth Rate for the following data set.</t>
  </si>
  <si>
    <t>Company</t>
  </si>
  <si>
    <t>McDonalds</t>
  </si>
  <si>
    <t xml:space="preserve">DIAGEO </t>
  </si>
  <si>
    <t xml:space="preserve">Wendy's Intl. </t>
  </si>
  <si>
    <t>Outback Steakhouse</t>
  </si>
  <si>
    <t>Jack in the Box</t>
  </si>
  <si>
    <t xml:space="preserve">Yum! Brands </t>
  </si>
  <si>
    <t>Procter &amp; Gamble</t>
  </si>
  <si>
    <t>Coca - Cola</t>
  </si>
  <si>
    <t>Wal Mart Stores</t>
  </si>
  <si>
    <t>S&amp;P 500 Composite</t>
  </si>
  <si>
    <t>CAGR</t>
  </si>
  <si>
    <t>Extract the share price for the following companies for the following dates.</t>
  </si>
  <si>
    <t>Date</t>
  </si>
  <si>
    <t>Share Price</t>
  </si>
  <si>
    <t>Calculate the CAGR of the stock price performance</t>
  </si>
  <si>
    <t>n/a</t>
  </si>
  <si>
    <t>Q1) Total submitted amount</t>
  </si>
  <si>
    <t>Bill Type</t>
  </si>
  <si>
    <t>PH</t>
  </si>
  <si>
    <t>OP</t>
  </si>
  <si>
    <t>Indicator</t>
  </si>
  <si>
    <t>IN</t>
  </si>
  <si>
    <t>OUT</t>
  </si>
  <si>
    <t>CCN</t>
  </si>
  <si>
    <t>PRIVATE HEALTHCARE SYSTEMS, INC</t>
  </si>
  <si>
    <t>ALLIANCE PPO</t>
  </si>
  <si>
    <t>MEDCOST</t>
  </si>
  <si>
    <t>DEVON HEALTH SERVICES, INC.</t>
  </si>
  <si>
    <t>BEECH STREET/FIRST CHOICE</t>
  </si>
  <si>
    <t>BEECH STREET</t>
  </si>
  <si>
    <t>Network</t>
  </si>
  <si>
    <t>MSA</t>
  </si>
  <si>
    <t>Submitted Amount</t>
  </si>
  <si>
    <t>Discount Amount</t>
  </si>
  <si>
    <t>Year</t>
  </si>
  <si>
    <t>GREENSBORO-HIGH POINT, NC</t>
  </si>
  <si>
    <t>CHARLOTTE-GASTONIA-CONCORD, NC-SC</t>
  </si>
  <si>
    <t>WINSTON-SALEM, NC</t>
  </si>
  <si>
    <t>RALEIGH-CARY, NC</t>
  </si>
  <si>
    <t>DURHAM, NC</t>
  </si>
  <si>
    <t>VIRGINIA BEACH-NORFOLK-NEWPORT NEWS, VA-NC</t>
  </si>
  <si>
    <t>HICKORY-LENOIR-MORGANTON, NC</t>
  </si>
  <si>
    <t>ASHEVILLE, NC</t>
  </si>
  <si>
    <t>FAYETTEVILLE, NC</t>
  </si>
  <si>
    <t>NEW BERN, NC</t>
  </si>
  <si>
    <t>WILMINGTON, NC</t>
  </si>
  <si>
    <t>Use Orange color for highlighting</t>
  </si>
  <si>
    <t>Bonus</t>
  </si>
  <si>
    <t>No Formatting</t>
  </si>
  <si>
    <t>Top 3 Sales Persons</t>
  </si>
  <si>
    <t>Above Average Sales Persons</t>
  </si>
  <si>
    <t>Customers</t>
  </si>
  <si>
    <t>Jon</t>
  </si>
  <si>
    <t>Martin</t>
  </si>
  <si>
    <t>Samantha</t>
  </si>
  <si>
    <t>Bob</t>
  </si>
  <si>
    <t>Ram</t>
  </si>
  <si>
    <t>Yusuf</t>
  </si>
  <si>
    <t>Kelly</t>
  </si>
  <si>
    <t>Sam</t>
  </si>
  <si>
    <t>Tony</t>
  </si>
  <si>
    <t>Jessica</t>
  </si>
  <si>
    <t>Heatmap based on Customers</t>
  </si>
  <si>
    <t>Highlight Top 5 Average Sales Person Sales</t>
  </si>
  <si>
    <t>Traffic Lights, Icon Sets</t>
  </si>
  <si>
    <t>Q. If Age is above 33 then get the corresponding Unit Price and ProductID, otherwise put "Not Applicable"</t>
  </si>
  <si>
    <t>Product</t>
  </si>
  <si>
    <t xml:space="preserve">Age </t>
  </si>
  <si>
    <t xml:space="preserve">UnitPrice </t>
  </si>
  <si>
    <t>ProductID</t>
  </si>
  <si>
    <t>Apple</t>
  </si>
  <si>
    <t>P1</t>
  </si>
  <si>
    <t>P2</t>
  </si>
  <si>
    <t>Banana</t>
  </si>
  <si>
    <t>P3</t>
  </si>
  <si>
    <t>Orange</t>
  </si>
  <si>
    <t>P4</t>
  </si>
  <si>
    <t>Mango</t>
  </si>
  <si>
    <t>P5</t>
  </si>
  <si>
    <t>Papaya</t>
  </si>
  <si>
    <t>Employee Details Form</t>
  </si>
  <si>
    <t>Employee_code</t>
  </si>
  <si>
    <t>First_name</t>
  </si>
  <si>
    <t>SSN</t>
  </si>
  <si>
    <t>Earnings</t>
  </si>
  <si>
    <t>Department</t>
  </si>
  <si>
    <t>Start_date</t>
  </si>
  <si>
    <t>Last_name</t>
  </si>
  <si>
    <t>S001</t>
  </si>
  <si>
    <t>Malcom</t>
  </si>
  <si>
    <t>Pingault</t>
  </si>
  <si>
    <t>816-17-3312</t>
  </si>
  <si>
    <t>East</t>
  </si>
  <si>
    <t>Human resources</t>
  </si>
  <si>
    <t>S002</t>
  </si>
  <si>
    <t>Shannon</t>
  </si>
  <si>
    <t>Lee</t>
  </si>
  <si>
    <t>799-70-8097</t>
  </si>
  <si>
    <t>South</t>
  </si>
  <si>
    <t>Accounts</t>
  </si>
  <si>
    <t>S003</t>
  </si>
  <si>
    <t>Melinda</t>
  </si>
  <si>
    <t>McGregor</t>
  </si>
  <si>
    <t>336-68-4467</t>
  </si>
  <si>
    <t>Administration</t>
  </si>
  <si>
    <t>S004</t>
  </si>
  <si>
    <t>James</t>
  </si>
  <si>
    <t>Overmire</t>
  </si>
  <si>
    <t>312-71-3816</t>
  </si>
  <si>
    <t>S005</t>
  </si>
  <si>
    <t>Roger</t>
  </si>
  <si>
    <t>Williams</t>
  </si>
  <si>
    <t>534-98-7549</t>
  </si>
  <si>
    <t>Marketing</t>
  </si>
  <si>
    <t>S006</t>
  </si>
  <si>
    <t>Annie</t>
  </si>
  <si>
    <t>Philips</t>
  </si>
  <si>
    <t>856-85-8586</t>
  </si>
  <si>
    <t>West</t>
  </si>
  <si>
    <t>S007</t>
  </si>
  <si>
    <t>Melissa</t>
  </si>
  <si>
    <t>456-78-8906</t>
  </si>
  <si>
    <t>S008</t>
  </si>
  <si>
    <t>Mary</t>
  </si>
  <si>
    <t>Smith</t>
  </si>
  <si>
    <t>654-58-9578</t>
  </si>
  <si>
    <t>North</t>
  </si>
  <si>
    <t>S009</t>
  </si>
  <si>
    <t>Rita</t>
  </si>
  <si>
    <t>Greg</t>
  </si>
  <si>
    <t>986-07-5705</t>
  </si>
  <si>
    <t>S010</t>
  </si>
  <si>
    <t>Trevor</t>
  </si>
  <si>
    <t>376-31-3383</t>
  </si>
  <si>
    <t>S011</t>
  </si>
  <si>
    <t>Paul</t>
  </si>
  <si>
    <t>Anderson</t>
  </si>
  <si>
    <t>777-76-8856</t>
  </si>
  <si>
    <t>S012</t>
  </si>
  <si>
    <t>Rebecca</t>
  </si>
  <si>
    <t>Austin</t>
  </si>
  <si>
    <t>476-20-9932</t>
  </si>
  <si>
    <t>S013</t>
  </si>
  <si>
    <t>Cynthia</t>
  </si>
  <si>
    <t>Roberts</t>
  </si>
  <si>
    <t>785-87-9898</t>
  </si>
  <si>
    <t>S014</t>
  </si>
  <si>
    <t>Michael</t>
  </si>
  <si>
    <t>784-98-8094</t>
  </si>
  <si>
    <t>S015</t>
  </si>
  <si>
    <t>Sandra</t>
  </si>
  <si>
    <t>Lawrence</t>
  </si>
  <si>
    <t>133-30-3389</t>
  </si>
  <si>
    <t>S016</t>
  </si>
  <si>
    <t>Kendra</t>
  </si>
  <si>
    <t>631-10-3178</t>
  </si>
  <si>
    <t>S017</t>
  </si>
  <si>
    <t>Kevin</t>
  </si>
  <si>
    <t>Mayers</t>
  </si>
  <si>
    <t>332-20-1728</t>
  </si>
  <si>
    <t>S018</t>
  </si>
  <si>
    <t>Adam</t>
  </si>
  <si>
    <t>Long</t>
  </si>
  <si>
    <t>343-27-6567</t>
  </si>
  <si>
    <t>S019</t>
  </si>
  <si>
    <t>Morrison</t>
  </si>
  <si>
    <t>712-35-4665</t>
  </si>
  <si>
    <t>S020</t>
  </si>
  <si>
    <t>Maureen</t>
  </si>
  <si>
    <t>O'Connor</t>
  </si>
  <si>
    <t>189-85-3313</t>
  </si>
  <si>
    <t>S021</t>
  </si>
  <si>
    <t>Stuart</t>
  </si>
  <si>
    <t>Young</t>
  </si>
  <si>
    <t>389-10-2721</t>
  </si>
  <si>
    <t>Customer support</t>
  </si>
  <si>
    <t>S022</t>
  </si>
  <si>
    <t>Jesse</t>
  </si>
  <si>
    <t>Bennet</t>
  </si>
  <si>
    <t>213-44-4547</t>
  </si>
  <si>
    <t>S023</t>
  </si>
  <si>
    <t>Owens</t>
  </si>
  <si>
    <t>172-21-4107</t>
  </si>
  <si>
    <t>S024</t>
  </si>
  <si>
    <t>Pamela</t>
  </si>
  <si>
    <t>Carter</t>
  </si>
  <si>
    <t>212-21-2232</t>
  </si>
  <si>
    <t>S025</t>
  </si>
  <si>
    <t>Anna</t>
  </si>
  <si>
    <t>Morris</t>
  </si>
  <si>
    <t>421-11-1111</t>
  </si>
  <si>
    <t>S026</t>
  </si>
  <si>
    <t>Jim</t>
  </si>
  <si>
    <t>Jones</t>
  </si>
  <si>
    <t>956-49-1739</t>
  </si>
  <si>
    <t>S027</t>
  </si>
  <si>
    <t>Robertson</t>
  </si>
  <si>
    <t>519-26-9428</t>
  </si>
  <si>
    <t>S028</t>
  </si>
  <si>
    <t>Mickey</t>
  </si>
  <si>
    <t>628-76-6529</t>
  </si>
  <si>
    <t>S029</t>
  </si>
  <si>
    <t>Lila</t>
  </si>
  <si>
    <t>476-20-4792</t>
  </si>
  <si>
    <t>S030</t>
  </si>
  <si>
    <t>Eleonora</t>
  </si>
  <si>
    <t>Morrell</t>
  </si>
  <si>
    <t>785-48-9898</t>
  </si>
  <si>
    <t>S031</t>
  </si>
  <si>
    <t>Kate</t>
  </si>
  <si>
    <t>Gable</t>
  </si>
  <si>
    <t>720-92-8094</t>
  </si>
  <si>
    <t>S032</t>
  </si>
  <si>
    <t>Miller</t>
  </si>
  <si>
    <t>784-62-8371</t>
  </si>
  <si>
    <t>S033</t>
  </si>
  <si>
    <t>Ryan</t>
  </si>
  <si>
    <t>133-30-3940</t>
  </si>
  <si>
    <t>S034</t>
  </si>
  <si>
    <t>Lisa</t>
  </si>
  <si>
    <t>631-20-3941</t>
  </si>
  <si>
    <t>S035</t>
  </si>
  <si>
    <t>Carol</t>
  </si>
  <si>
    <t>Thomas</t>
  </si>
  <si>
    <t>561-16-1748</t>
  </si>
  <si>
    <t>S036</t>
  </si>
  <si>
    <t>Nancy</t>
  </si>
  <si>
    <t>Van Hof</t>
  </si>
  <si>
    <t>343-27-2839</t>
  </si>
  <si>
    <t>S037</t>
  </si>
  <si>
    <t>712-35-2971</t>
  </si>
  <si>
    <t>S038</t>
  </si>
  <si>
    <t>Donald</t>
  </si>
  <si>
    <t>816-17-8291</t>
  </si>
  <si>
    <t>S039</t>
  </si>
  <si>
    <t>Simon</t>
  </si>
  <si>
    <t>Goldstein</t>
  </si>
  <si>
    <t>799-70-5719</t>
  </si>
  <si>
    <t>S040</t>
  </si>
  <si>
    <t>Jacob</t>
  </si>
  <si>
    <t>Schmidt</t>
  </si>
  <si>
    <t>336-68-6293</t>
  </si>
  <si>
    <t>S041</t>
  </si>
  <si>
    <t>Jennifer</t>
  </si>
  <si>
    <t>Thompson</t>
  </si>
  <si>
    <t>312-41-5291</t>
  </si>
  <si>
    <t>S042</t>
  </si>
  <si>
    <t>391-71-3710</t>
  </si>
  <si>
    <t>S043</t>
  </si>
  <si>
    <t>Zachary</t>
  </si>
  <si>
    <t>Taylor</t>
  </si>
  <si>
    <t>856-85-6910</t>
  </si>
  <si>
    <t>S044</t>
  </si>
  <si>
    <t>Tina</t>
  </si>
  <si>
    <t>Adams</t>
  </si>
  <si>
    <t>591-61-8906</t>
  </si>
  <si>
    <t>S045</t>
  </si>
  <si>
    <t>293-71-9578</t>
  </si>
  <si>
    <t>S046</t>
  </si>
  <si>
    <t>Samuel</t>
  </si>
  <si>
    <t>Gregory</t>
  </si>
  <si>
    <t>785-87-5193</t>
  </si>
  <si>
    <t>S047</t>
  </si>
  <si>
    <t>Luke</t>
  </si>
  <si>
    <t>Linden</t>
  </si>
  <si>
    <t>784-50-2831</t>
  </si>
  <si>
    <t>S048</t>
  </si>
  <si>
    <t>Mark</t>
  </si>
  <si>
    <t>Fulkerson</t>
  </si>
  <si>
    <t>133-30-3861</t>
  </si>
  <si>
    <t>S049</t>
  </si>
  <si>
    <t>Kaylen</t>
  </si>
  <si>
    <t>Knapp</t>
  </si>
  <si>
    <t>639-39-3139</t>
  </si>
  <si>
    <t>S050</t>
  </si>
  <si>
    <t>Motts</t>
  </si>
  <si>
    <t>342-49-1722</t>
  </si>
  <si>
    <t>S051</t>
  </si>
  <si>
    <t>Hope</t>
  </si>
  <si>
    <t>343-27-5193</t>
  </si>
  <si>
    <t>S052</t>
  </si>
  <si>
    <t>Aiden</t>
  </si>
  <si>
    <t>Kiln</t>
  </si>
  <si>
    <t>712-35-8120</t>
  </si>
  <si>
    <t>S053</t>
  </si>
  <si>
    <t>William</t>
  </si>
  <si>
    <t>Tate</t>
  </si>
  <si>
    <t>189-85-4910</t>
  </si>
  <si>
    <t>S054</t>
  </si>
  <si>
    <t>Spencer</t>
  </si>
  <si>
    <t>Morgan</t>
  </si>
  <si>
    <t>389-10-7124</t>
  </si>
  <si>
    <t>S055</t>
  </si>
  <si>
    <t>Minnie</t>
  </si>
  <si>
    <t>Dungen</t>
  </si>
  <si>
    <t>213-82-1947</t>
  </si>
  <si>
    <t>S056</t>
  </si>
  <si>
    <t>Joe</t>
  </si>
  <si>
    <t>Pecks</t>
  </si>
  <si>
    <t>172-38-4107</t>
  </si>
  <si>
    <t>S057</t>
  </si>
  <si>
    <t>Carla</t>
  </si>
  <si>
    <t>212-21-2121</t>
  </si>
  <si>
    <t>S058</t>
  </si>
  <si>
    <t>Debbie</t>
  </si>
  <si>
    <t>Marks</t>
  </si>
  <si>
    <t>421-40-2831</t>
  </si>
  <si>
    <t>S059</t>
  </si>
  <si>
    <t>Denise</t>
  </si>
  <si>
    <t>729-49-1739</t>
  </si>
  <si>
    <t>S060</t>
  </si>
  <si>
    <t>Carroll</t>
  </si>
  <si>
    <t>519-49-6913</t>
  </si>
  <si>
    <t>S061</t>
  </si>
  <si>
    <t>Thomson</t>
  </si>
  <si>
    <t>628-71-8341</t>
  </si>
  <si>
    <t>S062</t>
  </si>
  <si>
    <t>719-20-4792</t>
  </si>
  <si>
    <t>S063</t>
  </si>
  <si>
    <t>785-48-2491</t>
  </si>
  <si>
    <t>S064</t>
  </si>
  <si>
    <t>720-92-7216</t>
  </si>
  <si>
    <t>S065</t>
  </si>
  <si>
    <t>381-62-8371</t>
  </si>
  <si>
    <t>S066</t>
  </si>
  <si>
    <t>391-30-3940</t>
  </si>
  <si>
    <t>S067</t>
  </si>
  <si>
    <t>816-17-3314</t>
  </si>
  <si>
    <t>S068</t>
  </si>
  <si>
    <t>799-74-8097</t>
  </si>
  <si>
    <t>S069</t>
  </si>
  <si>
    <t>336-68-4267</t>
  </si>
  <si>
    <t>S070</t>
  </si>
  <si>
    <t>312-71-3818</t>
  </si>
  <si>
    <t>S071</t>
  </si>
  <si>
    <t>519-98-7549</t>
  </si>
  <si>
    <t>S072</t>
  </si>
  <si>
    <t>856-29-8586</t>
  </si>
  <si>
    <t>S073</t>
  </si>
  <si>
    <t>291-73-8906</t>
  </si>
  <si>
    <t>S074</t>
  </si>
  <si>
    <t>591-58-9578</t>
  </si>
  <si>
    <t>S075</t>
  </si>
  <si>
    <t>986-03-5705</t>
  </si>
  <si>
    <t>S076</t>
  </si>
  <si>
    <t>076-10-3383</t>
  </si>
  <si>
    <t>S077</t>
  </si>
  <si>
    <t>027-76-8856</t>
  </si>
  <si>
    <t>S078</t>
  </si>
  <si>
    <t>476-45-9932</t>
  </si>
  <si>
    <t>S079</t>
  </si>
  <si>
    <t>785-87-4619</t>
  </si>
  <si>
    <t>S080</t>
  </si>
  <si>
    <t>784-23-7193</t>
  </si>
  <si>
    <t>S081</t>
  </si>
  <si>
    <t>022-38-3389</t>
  </si>
  <si>
    <t>S082</t>
  </si>
  <si>
    <t>Light</t>
  </si>
  <si>
    <t>631-16-3178</t>
  </si>
  <si>
    <t>S083</t>
  </si>
  <si>
    <t>032-20-1728</t>
  </si>
  <si>
    <t>S084</t>
  </si>
  <si>
    <t>043-27-6267</t>
  </si>
  <si>
    <t>S085</t>
  </si>
  <si>
    <t>712-35-4005</t>
  </si>
  <si>
    <t>S086</t>
  </si>
  <si>
    <t>089-85-3313</t>
  </si>
  <si>
    <t>S087</t>
  </si>
  <si>
    <t>349-10-2721</t>
  </si>
  <si>
    <t>S088</t>
  </si>
  <si>
    <t>213-71-4547</t>
  </si>
  <si>
    <t>S089</t>
  </si>
  <si>
    <t>175-21-4107</t>
  </si>
  <si>
    <t>S090</t>
  </si>
  <si>
    <t>212-19-2232</t>
  </si>
  <si>
    <t>S091</t>
  </si>
  <si>
    <t>421-39-2830</t>
  </si>
  <si>
    <t>S092</t>
  </si>
  <si>
    <t>058-49-1739</t>
  </si>
  <si>
    <t>S093</t>
  </si>
  <si>
    <t>019-26-9428</t>
  </si>
  <si>
    <t>S094</t>
  </si>
  <si>
    <t>028-62-6529</t>
  </si>
  <si>
    <t>S095</t>
  </si>
  <si>
    <t>076-20-4792</t>
  </si>
  <si>
    <t>S096</t>
  </si>
  <si>
    <t>785-48-2931</t>
  </si>
  <si>
    <t>S097</t>
  </si>
  <si>
    <t>724-92-8094</t>
  </si>
  <si>
    <t>S098</t>
  </si>
  <si>
    <t>080-62-8371</t>
  </si>
  <si>
    <t>S099</t>
  </si>
  <si>
    <t>819-27-3940</t>
  </si>
  <si>
    <t>S100</t>
  </si>
  <si>
    <t>631-38-3711</t>
  </si>
  <si>
    <t>S101</t>
  </si>
  <si>
    <t>501-16-1748</t>
  </si>
  <si>
    <t>S102</t>
  </si>
  <si>
    <t>340-27-2839</t>
  </si>
  <si>
    <t>S103</t>
  </si>
  <si>
    <t>012-35-2971</t>
  </si>
  <si>
    <t>S104</t>
  </si>
  <si>
    <t>816-17-7191</t>
  </si>
  <si>
    <t>S105</t>
  </si>
  <si>
    <t>Perry</t>
  </si>
  <si>
    <t>790-70-5719</t>
  </si>
  <si>
    <t>S106</t>
  </si>
  <si>
    <t>336-60-6293</t>
  </si>
  <si>
    <t>S107</t>
  </si>
  <si>
    <t>312-43-5291</t>
  </si>
  <si>
    <t>S108</t>
  </si>
  <si>
    <t>391-71-3712</t>
  </si>
  <si>
    <t>S109</t>
  </si>
  <si>
    <t>806-85-6910</t>
  </si>
  <si>
    <t>S110</t>
  </si>
  <si>
    <t>591-37-8906</t>
  </si>
  <si>
    <t>S111</t>
  </si>
  <si>
    <t>290-71-9578</t>
  </si>
  <si>
    <t>S112</t>
  </si>
  <si>
    <t>785-87-5171</t>
  </si>
  <si>
    <t>S113</t>
  </si>
  <si>
    <t>784-56-2831</t>
  </si>
  <si>
    <t>S114</t>
  </si>
  <si>
    <t>133-27-3861</t>
  </si>
  <si>
    <t>S115</t>
  </si>
  <si>
    <t>630-39-3139</t>
  </si>
  <si>
    <t>S116</t>
  </si>
  <si>
    <t>342-49-1758</t>
  </si>
  <si>
    <t>S117</t>
  </si>
  <si>
    <t>343-71-5193</t>
  </si>
  <si>
    <t>S118</t>
  </si>
  <si>
    <t>712-35-8719</t>
  </si>
  <si>
    <t>S119</t>
  </si>
  <si>
    <t>172-85-4910</t>
  </si>
  <si>
    <t>S120</t>
  </si>
  <si>
    <t>389-58-7124</t>
  </si>
  <si>
    <t>S121</t>
  </si>
  <si>
    <t>343-27-2090</t>
  </si>
  <si>
    <t>S122</t>
  </si>
  <si>
    <t>282-82-1947</t>
  </si>
  <si>
    <t>S123</t>
  </si>
  <si>
    <t>172-38-3910</t>
  </si>
  <si>
    <t>S124</t>
  </si>
  <si>
    <t>491-57-2121</t>
  </si>
  <si>
    <t>S125</t>
  </si>
  <si>
    <t>421-61-2831</t>
  </si>
  <si>
    <t>S126</t>
  </si>
  <si>
    <t>729-49-1742</t>
  </si>
  <si>
    <t>S127</t>
  </si>
  <si>
    <t>519-49-8203</t>
  </si>
  <si>
    <t>S128</t>
  </si>
  <si>
    <t>608-71-8341</t>
  </si>
  <si>
    <t>S129</t>
  </si>
  <si>
    <t>719-24-4792</t>
  </si>
  <si>
    <t>S130</t>
  </si>
  <si>
    <t>783-48-2491</t>
  </si>
  <si>
    <t>S131</t>
  </si>
  <si>
    <t>720-92-7336</t>
  </si>
  <si>
    <t>S132</t>
  </si>
  <si>
    <t>381-62-8351</t>
  </si>
  <si>
    <t>S133</t>
  </si>
  <si>
    <t>391-82-3940</t>
  </si>
  <si>
    <t>S134</t>
  </si>
  <si>
    <t>816-17-8295</t>
  </si>
  <si>
    <t>S135</t>
  </si>
  <si>
    <t>099-70-8097</t>
  </si>
  <si>
    <t>S136</t>
  </si>
  <si>
    <t>336-82-4467</t>
  </si>
  <si>
    <t>S137</t>
  </si>
  <si>
    <t>312-82-3816</t>
  </si>
  <si>
    <t>S138</t>
  </si>
  <si>
    <t>534-98-7820</t>
  </si>
  <si>
    <t>S139</t>
  </si>
  <si>
    <t>027-85-8586</t>
  </si>
  <si>
    <t>S140</t>
  </si>
  <si>
    <t>381-78-8906</t>
  </si>
  <si>
    <t>S141</t>
  </si>
  <si>
    <t>654-73-9578</t>
  </si>
  <si>
    <t>S142</t>
  </si>
  <si>
    <t>986-07-8259</t>
  </si>
  <si>
    <t>S143</t>
  </si>
  <si>
    <t>376-61-3383</t>
  </si>
  <si>
    <t>S144</t>
  </si>
  <si>
    <t>924-76-8856</t>
  </si>
  <si>
    <t>S145</t>
  </si>
  <si>
    <t>476-71-9932</t>
  </si>
  <si>
    <t>S146</t>
  </si>
  <si>
    <t>785-87-1947</t>
  </si>
  <si>
    <t>S147</t>
  </si>
  <si>
    <t>Jeffrey</t>
  </si>
  <si>
    <t>784-82-8094</t>
  </si>
  <si>
    <t>S148</t>
  </si>
  <si>
    <t>931-30-3389</t>
  </si>
  <si>
    <t>S149</t>
  </si>
  <si>
    <t>631-82-3178</t>
  </si>
  <si>
    <t>S150</t>
  </si>
  <si>
    <t>045-20-1728</t>
  </si>
  <si>
    <t>S151</t>
  </si>
  <si>
    <t>343-27-7193</t>
  </si>
  <si>
    <t>S152</t>
  </si>
  <si>
    <t>721-35-4665</t>
  </si>
  <si>
    <t>S153</t>
  </si>
  <si>
    <t>198-85-3313</t>
  </si>
  <si>
    <t>S154</t>
  </si>
  <si>
    <t>983-10-2721</t>
  </si>
  <si>
    <t>S155</t>
  </si>
  <si>
    <t>213-59-4547</t>
  </si>
  <si>
    <t>S156</t>
  </si>
  <si>
    <t>172-21-4817</t>
  </si>
  <si>
    <t>S157</t>
  </si>
  <si>
    <t>926-21-7230</t>
  </si>
  <si>
    <t>S158</t>
  </si>
  <si>
    <t>421-72-9230</t>
  </si>
  <si>
    <t>S159</t>
  </si>
  <si>
    <t>025-49-1739</t>
  </si>
  <si>
    <t>S160</t>
  </si>
  <si>
    <t>519-71-9428</t>
  </si>
  <si>
    <t>S161</t>
  </si>
  <si>
    <t>628-82-6529</t>
  </si>
  <si>
    <t>S162</t>
  </si>
  <si>
    <t>476-82-4792</t>
  </si>
  <si>
    <t>S163</t>
  </si>
  <si>
    <t>785-48-0268</t>
  </si>
  <si>
    <t>S164</t>
  </si>
  <si>
    <t>720-92-9138</t>
  </si>
  <si>
    <t>S165</t>
  </si>
  <si>
    <t>847-62-8371</t>
  </si>
  <si>
    <t>S166</t>
  </si>
  <si>
    <t>331-30-3940</t>
  </si>
  <si>
    <t>S167</t>
  </si>
  <si>
    <t>361-20-3941</t>
  </si>
  <si>
    <t>S168</t>
  </si>
  <si>
    <t>562-17-1748</t>
  </si>
  <si>
    <t>S169</t>
  </si>
  <si>
    <t>343-27-2840</t>
  </si>
  <si>
    <t>S170</t>
  </si>
  <si>
    <t>712-85-2971</t>
  </si>
  <si>
    <t>S171</t>
  </si>
  <si>
    <t>216-17-8291</t>
  </si>
  <si>
    <t>S172</t>
  </si>
  <si>
    <t>335-68-6293</t>
  </si>
  <si>
    <t>S173</t>
  </si>
  <si>
    <t>316-48-5291</t>
  </si>
  <si>
    <t>S174</t>
  </si>
  <si>
    <t>391-39-3710</t>
  </si>
  <si>
    <t>S175</t>
  </si>
  <si>
    <t>856-93-6910</t>
  </si>
  <si>
    <t>S176</t>
  </si>
  <si>
    <t>591-62-8906</t>
  </si>
  <si>
    <t>S177</t>
  </si>
  <si>
    <t>293-87-9578</t>
  </si>
  <si>
    <t>S178</t>
  </si>
  <si>
    <t>729-51-5193</t>
  </si>
  <si>
    <t>S179</t>
  </si>
  <si>
    <t>784-75-2831</t>
  </si>
  <si>
    <t>S180</t>
  </si>
  <si>
    <t>295-49-3861</t>
  </si>
  <si>
    <t>S181</t>
  </si>
  <si>
    <t>639-42-3139</t>
  </si>
  <si>
    <t>S182</t>
  </si>
  <si>
    <t>342-49-6139</t>
  </si>
  <si>
    <t>S183</t>
  </si>
  <si>
    <t>343-47-5193</t>
  </si>
  <si>
    <t>S184</t>
  </si>
  <si>
    <t>712-61-8120</t>
  </si>
  <si>
    <t>S185</t>
  </si>
  <si>
    <t>981-85-4910</t>
  </si>
  <si>
    <t>S186</t>
  </si>
  <si>
    <t>389-86-7124</t>
  </si>
  <si>
    <t>S187</t>
  </si>
  <si>
    <t>312-82-1947</t>
  </si>
  <si>
    <t>S188</t>
  </si>
  <si>
    <t>172-38-6293</t>
  </si>
  <si>
    <t>S189</t>
  </si>
  <si>
    <t>613-61-9247</t>
  </si>
  <si>
    <t>S190</t>
  </si>
  <si>
    <t>421-71-2831</t>
  </si>
  <si>
    <t>S191</t>
  </si>
  <si>
    <t>927-49-1739</t>
  </si>
  <si>
    <t>S192</t>
  </si>
  <si>
    <t>519-72-6913</t>
  </si>
  <si>
    <t>S193</t>
  </si>
  <si>
    <t>826-71-8341</t>
  </si>
  <si>
    <t>S194</t>
  </si>
  <si>
    <t>719-74-4792</t>
  </si>
  <si>
    <t>S195</t>
  </si>
  <si>
    <t>785-51-2491</t>
  </si>
  <si>
    <t>S196</t>
  </si>
  <si>
    <t>072-92-7216</t>
  </si>
  <si>
    <t>S197</t>
  </si>
  <si>
    <t>381-78-8371</t>
  </si>
  <si>
    <t>S198</t>
  </si>
  <si>
    <t>391-93-3940</t>
  </si>
  <si>
    <t>S199</t>
  </si>
  <si>
    <t>882-17-3314</t>
  </si>
  <si>
    <t>Increment</t>
  </si>
  <si>
    <t>S0160</t>
  </si>
  <si>
    <t>S0456</t>
  </si>
  <si>
    <t>S0479</t>
  </si>
  <si>
    <t>Questions</t>
  </si>
  <si>
    <t>In a chart highlight the month which has got the highest sales and make it dynamic</t>
  </si>
  <si>
    <t>Value</t>
  </si>
  <si>
    <t>Q :Please Make the most relevant chart per your discretion</t>
  </si>
  <si>
    <t>Monthly Sales</t>
  </si>
  <si>
    <t>Max</t>
  </si>
  <si>
    <t>Min</t>
  </si>
  <si>
    <t>Average</t>
  </si>
  <si>
    <t>Productivity by department</t>
  </si>
  <si>
    <t>Efficiency Percentage</t>
  </si>
  <si>
    <t>CXO</t>
  </si>
  <si>
    <t>HR</t>
  </si>
  <si>
    <t>OPS</t>
  </si>
  <si>
    <t>Q: From the data set given below, please suggest atleast 4 different types of charts that can be prepared</t>
  </si>
  <si>
    <t>Sales (m$)</t>
  </si>
  <si>
    <t>Costs (m$)</t>
  </si>
  <si>
    <t>Profits (m$)</t>
  </si>
  <si>
    <t>Number of Customers (millions)</t>
  </si>
  <si>
    <t>% Market share</t>
  </si>
  <si>
    <t>Make most relevant chart out of it</t>
  </si>
  <si>
    <t>Total</t>
  </si>
  <si>
    <t>Prod 1</t>
  </si>
  <si>
    <t>Prod 2</t>
  </si>
  <si>
    <t>Prod 3</t>
  </si>
  <si>
    <t>Prod 4</t>
  </si>
  <si>
    <t>Prod 5</t>
  </si>
  <si>
    <t>Q</t>
  </si>
  <si>
    <t xml:space="preserve">Make the most relevant Chart from this. </t>
  </si>
  <si>
    <t>Assume industry average score is around 85%, above average is above 85% and less than 95% and Awesome is More than 95% and less Than 100%, make the chart highlighting the same</t>
  </si>
  <si>
    <t>Customer Satisfaction Rate, ABC International</t>
  </si>
  <si>
    <t>Month</t>
  </si>
  <si>
    <t>Product A</t>
  </si>
  <si>
    <t>Product B</t>
  </si>
  <si>
    <t>Product C</t>
  </si>
  <si>
    <t>State</t>
  </si>
  <si>
    <t>Murders</t>
  </si>
  <si>
    <t>Suicides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</si>
  <si>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</si>
  <si>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</si>
  <si>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</si>
  <si>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</si>
  <si>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</si>
  <si>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</si>
  <si>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</si>
  <si>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</si>
  <si>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</si>
  <si>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</si>
  <si>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</si>
  <si>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</si>
  <si>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</si>
  <si>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</si>
  <si>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</si>
  <si>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</si>
  <si>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</si>
  <si>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</si>
  <si>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</si>
  <si>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</si>
  <si>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</si>
  <si>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</si>
  <si>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</si>
  <si>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</si>
  <si>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</si>
  <si>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</si>
  <si>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</si>
  <si>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</si>
  <si>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</si>
  <si>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</si>
  <si>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</si>
  <si>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</si>
  <si>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</si>
  <si>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</si>
  <si>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</si>
  <si>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</si>
  <si>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</si>
  <si>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</si>
  <si>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</si>
  <si>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</si>
  <si>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</si>
  <si>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</si>
  <si>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</si>
  <si>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</si>
  <si>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</si>
  <si>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</si>
  <si>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</si>
  <si>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</si>
  <si>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</si>
  <si>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ProductName</t>
  </si>
  <si>
    <t>ProductCategoryName</t>
  </si>
  <si>
    <t>Last Month</t>
  </si>
  <si>
    <t>This Month</t>
  </si>
  <si>
    <t>A. Datum Advanced Digital Camera M300 Azure</t>
  </si>
  <si>
    <t>CAMERAS &amp; ACCESSORIES</t>
  </si>
  <si>
    <t>A. Datum Advanced Digital Camera M300 Black</t>
  </si>
  <si>
    <t>A. Datum Advanced Digital Camera M300 Green</t>
  </si>
  <si>
    <t>A. Datum Advanced Digital Camera M300 Grey</t>
  </si>
  <si>
    <t>A. Datum Advanced Digital Camera M300 Orange</t>
  </si>
  <si>
    <t>A. Datum Advanced Digital Camera M300 Pink</t>
  </si>
  <si>
    <t>A. Datum Advanced Digital Camera M300 Silver</t>
  </si>
  <si>
    <t>A. Datum All in One Digital Camera M200 Azure</t>
  </si>
  <si>
    <t>A. Datum All in One Digital Camera M200 Black</t>
  </si>
  <si>
    <t>A. Datum All in One Digital Camera M200 Green</t>
  </si>
  <si>
    <t>A. Datum All in One Digital Camera M200 Grey</t>
  </si>
  <si>
    <t>A. Datum All in One Digital Camera M200 Orange</t>
  </si>
  <si>
    <t>A. Datum All in One Digital Camera M200 Pink</t>
  </si>
  <si>
    <t>A. Datum All in One Digital Camera M200 Silver</t>
  </si>
  <si>
    <t>A. Datum Bridge Digital Camera M300 Azure</t>
  </si>
  <si>
    <t>A. Datum Bridge Digital Camera M300 Black</t>
  </si>
  <si>
    <t>A. Datum Bridge Digital Camera M300 Green</t>
  </si>
  <si>
    <t>A. Datum Bridge Digital Camera M300 Grey</t>
  </si>
  <si>
    <t>A. Datum Bridge Digital Camera M300 Orange</t>
  </si>
  <si>
    <t>A. Datum Bridge Digital Camera M300 Pink</t>
  </si>
  <si>
    <t>A. Datum Bridge Digital Camera M300 Silver</t>
  </si>
  <si>
    <t>A. Datum Compact Digital Camera M200 Azure</t>
  </si>
  <si>
    <t>A. Datum Compact Digital Camera M200 Green</t>
  </si>
  <si>
    <t>A. Datum Compact Digital Camera M200 Grey</t>
  </si>
  <si>
    <t>A. Datum Compact Digital Camera M200 Orange</t>
  </si>
  <si>
    <t>A. Datum Compact Digital Camera M200 Pink</t>
  </si>
  <si>
    <t>A. Datum Compact Digital Camera M200 Silver</t>
  </si>
  <si>
    <t>A. Datum Consumer Digital Camera E100 Azure</t>
  </si>
  <si>
    <t>A. Datum Consumer Digital Camera E100 Black</t>
  </si>
  <si>
    <t>A. Datum Consumer Digital Camera E100 Green</t>
  </si>
  <si>
    <t>A. Datum Consumer Digital Camera E100 Grey</t>
  </si>
  <si>
    <t>A. Datum Consumer Digital Camera E100 Orange</t>
  </si>
  <si>
    <t>A. Datum Consumer Digital Camera E100 Pink</t>
  </si>
  <si>
    <t>A. Datum Consumer Digital Camera E100 Silver</t>
  </si>
  <si>
    <t>A. Datum Consumer Digital Camera M300 Azure</t>
  </si>
  <si>
    <t>A. Datum Consumer Digital Camera M300 Black</t>
  </si>
  <si>
    <t>A. Datum Consumer Digital Camera M300 Green</t>
  </si>
  <si>
    <t>A. Datum Consumer Digital Camera M300 Grey</t>
  </si>
  <si>
    <t>A. Datum Consumer Digital Camera M300 Orange</t>
  </si>
  <si>
    <t>A. Datum Consumer Digital Camera M300 Pink</t>
  </si>
  <si>
    <t>A. Datum Full Frame Digital Camera X300 Azure</t>
  </si>
  <si>
    <t>A. Datum Full Frame Digital Camera X300 Black</t>
  </si>
  <si>
    <t>A. Datum Full Frame Digital Camera X300 Grey</t>
  </si>
  <si>
    <t>A. Datum Full Frame Digital Camera X300 Orange</t>
  </si>
  <si>
    <t>A. Datum Full Frame Digital Camera X300 Pink</t>
  </si>
  <si>
    <t>A. Datum Full Frame Digital Camera X300 Silver</t>
  </si>
  <si>
    <t>A. Datum Full Frame Digital Camera X300 Silver Grey</t>
  </si>
  <si>
    <t>A. Datum Interchangeable lens Non-SLR Digital Camera X250 Azure</t>
  </si>
  <si>
    <t>A. Datum Interchangeable lens Non-SLR Digital Camera X250 Black</t>
  </si>
  <si>
    <t>A. Datum Interchangeable lens Non-SLR Digital Camera X250 Green</t>
  </si>
  <si>
    <t>A. Datum Interchangeable lens Non-SLR Digital Camera X250 Grey</t>
  </si>
  <si>
    <t>A. Datum Interchangeable lens Non-SLR Digital Camera X250 Orange</t>
  </si>
  <si>
    <t>A. Datum Interchangeable lens Non-SLR Digital Camera X250 Pink</t>
  </si>
  <si>
    <t>A. Datum Interchangeable lens Non-SLR Digital Camera X250 Silver</t>
  </si>
  <si>
    <t>A. Datum Point n' Shoot Digital Camera M500 Azure</t>
  </si>
  <si>
    <t>A. Datum Point n' Shoot Digital Camera M500 Grey</t>
  </si>
  <si>
    <t>A. Datum Point Shoot Digital Camera M500 Black</t>
  </si>
  <si>
    <t>A. Datum Point Shoot Digital Camera M500 Green</t>
  </si>
  <si>
    <t>A. Datum Point Shoot Digital Camera M500 Orange</t>
  </si>
  <si>
    <t>A. Datum Point Shoot Digital Camera M500 Pink</t>
  </si>
  <si>
    <t>A. Datum Point Shoot Digital Camera M500 Silver</t>
  </si>
  <si>
    <t>A. Datum Point Shoot Digital Camera M500 Silver Grey</t>
  </si>
  <si>
    <t>A. Datum Rangefinder Digital Camera X200 Azure</t>
  </si>
  <si>
    <t>A. Datum Rangefinder Digital Camera X200 Black</t>
  </si>
  <si>
    <t>A. Datum Rangefinder Digital Camera X200 Green</t>
  </si>
  <si>
    <t>A. Datum Rangefinder Digital Camera X200 Grey</t>
  </si>
  <si>
    <t>A. Datum Rangefinder Digital Camera X200 Orange</t>
  </si>
  <si>
    <t>A. Datum Rangefinder Digital Camera X200 Pink</t>
  </si>
  <si>
    <t>A. Datum Rangefinder Digital Camera X200 Silver</t>
  </si>
  <si>
    <t>A. Datum Slim Digital Camera M180 Azure</t>
  </si>
  <si>
    <t>A. Datum Slim Digital Camera M180 Black</t>
  </si>
  <si>
    <t>A. Datum Slim Digital Camera M180 Green</t>
  </si>
  <si>
    <t>A. Datum Slim Digital Camera M180 Grey</t>
  </si>
  <si>
    <t>A. Datum Slim Digital Camera M180 Orange</t>
  </si>
  <si>
    <t>A. Datum Slim Digital Camera M180 Pink</t>
  </si>
  <si>
    <t>A. Datum Slim Digital Camera M180 Silver</t>
  </si>
  <si>
    <t>A. Datum SLR Camera 35" M358 Black</t>
  </si>
  <si>
    <t>A. Datum SLR Camera 35" M358 Blue</t>
  </si>
  <si>
    <t>A. Datum SLR Camera 35" M358 Gold</t>
  </si>
  <si>
    <t>A. Datum SLR Camera 35" M358 Grey</t>
  </si>
  <si>
    <t>A. Datum SLR Camera 35" M358 Orange</t>
  </si>
  <si>
    <t>A. Datum SLR Camera 35" M358 Pink</t>
  </si>
  <si>
    <t>A. Datum SLR Camera 35" M358 Silver</t>
  </si>
  <si>
    <t>A. Datum SLR Camera 35" M358 Silver Grey</t>
  </si>
  <si>
    <t>A. Datum SLR Camera 35" X358 Black</t>
  </si>
  <si>
    <t>A. Datum SLR Camera 35" X358 Blue</t>
  </si>
  <si>
    <t>A. Datum SLR Camera 35" X358 Gold</t>
  </si>
  <si>
    <t>A. Datum SLR Camera 35" X358 Grey</t>
  </si>
  <si>
    <t>A. Datum SLR Camera 35" X358 Orange</t>
  </si>
  <si>
    <t>A. Datum SLR Camera 35" X358 Pink</t>
  </si>
  <si>
    <t>A. Datum SLR Camera 35" X358 Silver</t>
  </si>
  <si>
    <t>A. Datum SLR Camera 35" X358 Silver Grey</t>
  </si>
  <si>
    <t>A. Datum SLR Camera M135 Black</t>
  </si>
  <si>
    <t>A. Datum SLR Camera M136 Silver</t>
  </si>
  <si>
    <t>A. Datum SLR Camera M137 Grey</t>
  </si>
  <si>
    <t>A. Datum SLR Camera M138 Silver Grey</t>
  </si>
  <si>
    <t>A. Datum SLR Camera M139 Gold</t>
  </si>
  <si>
    <t>A. Datum SLR Camera M140 Pink</t>
  </si>
  <si>
    <t>A. Datum SLR Camera M141 Blue</t>
  </si>
  <si>
    <t>A. Datum SLR Camera M142 Orange</t>
  </si>
  <si>
    <t>A. Datum SLR Camera X135 Black</t>
  </si>
  <si>
    <t>A. Datum SLR Camera X136 Silver</t>
  </si>
  <si>
    <t>A. Datum SLR Camera X137 Grey</t>
  </si>
  <si>
    <t>A. Datum SLR Camera X138 Silver Grey</t>
  </si>
  <si>
    <t>A. Datum SLR Camera X140 Pink</t>
  </si>
  <si>
    <t>A. Datum SLR Camera X141 Blue</t>
  </si>
  <si>
    <t>A. Datum SLR Camera X142 Orange</t>
  </si>
  <si>
    <t>A. Datum SLR-like Digital Camera M400 Azure</t>
  </si>
  <si>
    <t>A. Datum SLR-like Digital Camera M400 Black</t>
  </si>
  <si>
    <t>A. Datum SLR-like Digital Camera M400 Green</t>
  </si>
  <si>
    <t>A. Datum SLR-like Digital Camera M400 Grey</t>
  </si>
  <si>
    <t>A. Datum SLR-like Digital Camera M400 Orange</t>
  </si>
  <si>
    <t>A. Datum SLR-like Digital Camera M400 Pink</t>
  </si>
  <si>
    <t>A. Datum SLR-like Digital Camera M400 Silver</t>
  </si>
  <si>
    <t>A. Datum Super-zoom Digital Camera X300 Azure</t>
  </si>
  <si>
    <t>A. Datum Super-zoom Digital Camera X300 Black</t>
  </si>
  <si>
    <t>A. Datum Super-zoom Digital Camera X300 Green</t>
  </si>
  <si>
    <t>A. Datum Super-zoom Digital Camera X300 Grey</t>
  </si>
  <si>
    <t>A. Datum Super-zoom Digital Camera X300 Orange</t>
  </si>
  <si>
    <t>A. Datum Super-zoom Digital Camera X300 Pink</t>
  </si>
  <si>
    <t>A. Datum Super-zoom Digital Camera X300 Silver</t>
  </si>
  <si>
    <t>A. Datum Ultra Compact Digital Camera M190 Azure</t>
  </si>
  <si>
    <t>A. Datum Ultra Compact Digital Camera M190 Black</t>
  </si>
  <si>
    <t>A. Datum Ultra Compact Digital Camera M190 Green</t>
  </si>
  <si>
    <t>A. Datum Ultra Compact Digital Camera M190 Orange</t>
  </si>
  <si>
    <t>A. Datum Ultra Compact Digital Camera M190 Pink</t>
  </si>
  <si>
    <t>A. Datum Ultra Compact Digital Camera M190 Silver</t>
  </si>
  <si>
    <t>Adventure Works 13" Color TV E25 Black</t>
  </si>
  <si>
    <t>TV &amp; VIDEO</t>
  </si>
  <si>
    <t>Adventure Works 13" Color TV E25 Silver</t>
  </si>
  <si>
    <t>Adventure Works 13" Color TV E25 White</t>
  </si>
  <si>
    <t>Adventure Works 15.6" LCD TV M130W Black</t>
  </si>
  <si>
    <t>Adventure Works 15.6" LCD TV M130W Brown</t>
  </si>
  <si>
    <t>Adventure Works 15.6" LCD TV M130W Silver</t>
  </si>
  <si>
    <t>Adventure Works 15.6" LCD TV M130W White</t>
  </si>
  <si>
    <t>Adventure Works 19" Color Digital TV E35 Black</t>
  </si>
  <si>
    <t>Adventure Works 19" Color Digital TV E35 Brown</t>
  </si>
  <si>
    <t>Adventure Works 19" Color Digital TV E35 Silver</t>
  </si>
  <si>
    <t>Adventure Works 19" Color Digital TV E35 White</t>
  </si>
  <si>
    <t>Adventure Works 19" Portable LCD HDTV M110 Black</t>
  </si>
  <si>
    <t>Adventure Works 19" Portable LCD HDTV M110 Silver</t>
  </si>
  <si>
    <t>Adventure Works 19" Portable LCD HDTV M110 White</t>
  </si>
  <si>
    <t>Adventure Works 20" Analog CRT TV E45 Black</t>
  </si>
  <si>
    <t>Adventure Works 20" Analog CRT TV E45 Brown</t>
  </si>
  <si>
    <t>Adventure Works 20" Analog CRT TV E45 Silver</t>
  </si>
  <si>
    <t>Adventure Works 20" Analog CRT TV E45 White</t>
  </si>
  <si>
    <t>Adventure Works 20" CRT TV E15 Black</t>
  </si>
  <si>
    <t>Adventure Works 20" CRT TV E15 Silver</t>
  </si>
  <si>
    <t>Adventure Works 20" CRT TV E15 White</t>
  </si>
  <si>
    <t>Adventure Works 20" LCD HDTV M120 Black</t>
  </si>
  <si>
    <t>Adventure Works 20" LCD HDTV M120 Brown</t>
  </si>
  <si>
    <t>Adventure Works 20" LCD HDTV M120 Silver</t>
  </si>
  <si>
    <t>Adventure Works 20" LCD HDTV M120 White</t>
  </si>
  <si>
    <t>Adventure Works 26" 720p LCD HDTV M140 Black</t>
  </si>
  <si>
    <t>Adventure Works 26" 720p LCD HDTV M140 Brown</t>
  </si>
  <si>
    <t>Adventure Works 26" 720p LCD HDTV M140 Silver</t>
  </si>
  <si>
    <t>Adventure Works 26" 720p LCD HDTV M140 White</t>
  </si>
  <si>
    <t>Adventure Works 32" LCD HDTV M130 Black</t>
  </si>
  <si>
    <t>Adventure Works 32" LCD HDTV M130 Brown</t>
  </si>
  <si>
    <t>Adventure Works 32" LCD HDTV M130 Silver</t>
  </si>
  <si>
    <t>Adventure Works 32" LCD HDTV M130 White</t>
  </si>
  <si>
    <t>Adventure Works 37" 1080p LCD HDTV M150W Black</t>
  </si>
  <si>
    <t>Adventure Works 37" 1080p LCD HDTV M150W Brown</t>
  </si>
  <si>
    <t>Adventure Works 37" 1080p LCD HDTV M150W Silver</t>
  </si>
  <si>
    <t>Adventure Works 37" 1080p LCD HDTV M150W White</t>
  </si>
  <si>
    <t>Adventure Works 40" LCD HDTV M690 Black</t>
  </si>
  <si>
    <t>Adventure Works 40" LCD HDTV M690 Brown</t>
  </si>
  <si>
    <t>Adventure Works 40" LCD HDTV M690 Silver</t>
  </si>
  <si>
    <t>Adventure Works 40" LCD HDTV M690 White</t>
  </si>
  <si>
    <t>Adventure Works 42" LCD HDTV M55 Black</t>
  </si>
  <si>
    <t>Adventure Works 52" LCD HDTV X790W Black</t>
  </si>
  <si>
    <t>Adventure Works 52" LCD HDTV X790W Brown</t>
  </si>
  <si>
    <t>Adventure Works 52" LCD HDTV X790W Silver</t>
  </si>
  <si>
    <t>Adventure Works 52" LCD HDTV X790W White</t>
  </si>
  <si>
    <t>Adventure Works Chandelier M6150 Black</t>
  </si>
  <si>
    <t>HOME APPLIANCES</t>
  </si>
  <si>
    <t>Adventure Works Chandelier M6150 Blue</t>
  </si>
  <si>
    <t>Adventure Works Chandelier M6150 Grey</t>
  </si>
  <si>
    <t>Adventure Works Chandelier M6150 Silver</t>
  </si>
  <si>
    <t>Adventure Works Chandelier M6150 White</t>
  </si>
  <si>
    <t>Adventure Works Chandelier M8150 Black</t>
  </si>
  <si>
    <t>Adventure Works Chandelier M8150 Blue</t>
  </si>
  <si>
    <t>Adventure Works Chandelier M8150 Grey</t>
  </si>
  <si>
    <t>Adventure Works Chandelier M8150 Silver</t>
  </si>
  <si>
    <t>Adventure Works Chandelier M8150 White</t>
  </si>
  <si>
    <t>Adventure Works Coffee Maker 12C M100 Black</t>
  </si>
  <si>
    <t>Adventure Works Coffee Maker 12C M100 Grey</t>
  </si>
  <si>
    <t>Adventure Works Coffee Maker 12C M100 Silver</t>
  </si>
  <si>
    <t>Adventure Works Coffee Maker 12C M100 White</t>
  </si>
  <si>
    <t>Adventure Works Coffee Maker 4C E080 Black</t>
  </si>
  <si>
    <t>Adventure Works Coffee Maker 4C E080 Grey</t>
  </si>
  <si>
    <t>Adventure Works Coffee Maker 4C E080 Silver</t>
  </si>
  <si>
    <t>Adventure Works Coffee Maker 4C E080 White</t>
  </si>
  <si>
    <t>Adventure Works Coffee Maker 5C E090 Black</t>
  </si>
  <si>
    <t>Adventure Works Coffee Maker 5C E090 Grey</t>
  </si>
  <si>
    <t>Adventure Works Coffee Maker 5C E090 Silver</t>
  </si>
  <si>
    <t>Adventure Works Coffee Maker 5C E090 White</t>
  </si>
  <si>
    <t>Adventure Works Coffee Maker Auto 10C M100 Black</t>
  </si>
  <si>
    <t>Adventure Works Coffee Maker Auto 10C M100 Grey</t>
  </si>
  <si>
    <t>Adventure Works Coffee Maker Auto 10C M100 Silver</t>
  </si>
  <si>
    <t>Adventure Works Coffee Maker Auto 10C M100 White</t>
  </si>
  <si>
    <t>Adventure Works Coffee Maker Auto 5C E090 Black</t>
  </si>
  <si>
    <t>Adventure Works Coffee Maker Auto 5C E090 Grey</t>
  </si>
  <si>
    <t>Adventure Works Coffee Maker Auto 5C E090 Silver</t>
  </si>
  <si>
    <t>Adventure Works Coffee Maker Auto 5C E090 White</t>
  </si>
  <si>
    <t>Adventure Works Coffee Maker Super-Auto 12C X125 Black</t>
  </si>
  <si>
    <t>Adventure Works Coffee Maker Super-Auto 12C X125 Grey</t>
  </si>
  <si>
    <t>Adventure Works Coffee Maker Super-Auto 12C X125 Silver</t>
  </si>
  <si>
    <t>Adventure Works Coffee Maker Super-Auto 12C X125 White</t>
  </si>
  <si>
    <t>Adventure Works CRT15 E101 Black</t>
  </si>
  <si>
    <t>COMPUTERS</t>
  </si>
  <si>
    <t>Adventure Works CRT15 E101 White</t>
  </si>
  <si>
    <t>Adventure Works CRT17 E105 Black</t>
  </si>
  <si>
    <t>Adventure Works CRT17 E105 White</t>
  </si>
  <si>
    <t>Adventure Works CRT19 E10 Black</t>
  </si>
  <si>
    <t>Adventure Works CRT19 E10 White</t>
  </si>
  <si>
    <t>Adventure Works Desk Lamp E1200 Black</t>
  </si>
  <si>
    <t>Adventure Works Desk Lamp E1200 Blue</t>
  </si>
  <si>
    <t>Adventure Works Desk Lamp E1200 Grey</t>
  </si>
  <si>
    <t>Adventure Works Desk Lamp E1200 Silver</t>
  </si>
  <si>
    <t>Adventure Works Desk Lamp E1200 White</t>
  </si>
  <si>
    <t>Adventure Works Desk Lamp E1300 Black</t>
  </si>
  <si>
    <t>Adventure Works Desk Lamp E1300 Blue</t>
  </si>
  <si>
    <t>Adventure Works Desk Lamp E1300 Grey</t>
  </si>
  <si>
    <t>Adventure Works Desk Lamp E1300 Silver</t>
  </si>
  <si>
    <t>Adventure Works Desk Lamp E1300 White</t>
  </si>
  <si>
    <t>Adventure Works Desktop PC1.60 ED160 Black</t>
  </si>
  <si>
    <t>Adventure Works Desktop PC1.60 ED160 Brown</t>
  </si>
  <si>
    <t>Adventure Works Desktop PC1.60 ED160 Silver</t>
  </si>
  <si>
    <t>Adventure Works Desktop PC1.60 ED160 White</t>
  </si>
  <si>
    <t>Adventure Works Desktop PC1.80 ED180 Black</t>
  </si>
  <si>
    <t>Adventure Works Desktop PC1.80 ED180 Brown</t>
  </si>
  <si>
    <t>Adventure Works Desktop PC1.80 ED180 Silver</t>
  </si>
  <si>
    <t>Adventure Works Desktop PC1.80 ED180 White</t>
  </si>
  <si>
    <t>Adventure Works Desktop PC1.80 ED182 Black</t>
  </si>
  <si>
    <t>Adventure Works Desktop PC1.80 ED182 Brown</t>
  </si>
  <si>
    <t>Adventure Works Desktop PC1.80 ED182 Silver</t>
  </si>
  <si>
    <t>Adventure Works Desktop PC1.80 ED182 White</t>
  </si>
  <si>
    <t>Adventure Works Desktop PC2.30 MD230 Black</t>
  </si>
  <si>
    <t>Adventure Works Desktop PC2.30 MD230 Brown</t>
  </si>
  <si>
    <t>Adventure Works Desktop PC2.30 MD230 Silver</t>
  </si>
  <si>
    <t>Adventure Works Desktop PC2.30 MD230 White</t>
  </si>
  <si>
    <t>Adventure Works Desktop PC2.33 XD233 Black</t>
  </si>
  <si>
    <t>Adventure Works Desktop PC2.33 XD233 Brown</t>
  </si>
  <si>
    <t>Adventure Works Desktop PC2.33 XD233 Silver</t>
  </si>
  <si>
    <t>Adventure Works Desktop PC2.33 XD233 White</t>
  </si>
  <si>
    <t>Adventure Works Desktop PC3.0 MS300 Black</t>
  </si>
  <si>
    <t>Adventure Works Desktop PC3.0 MS300 Silver</t>
  </si>
  <si>
    <t>Adventure Works Floor Lamp M2150 Black</t>
  </si>
  <si>
    <t>Adventure Works Floor Lamp M2150 Blue</t>
  </si>
  <si>
    <t>Adventure Works Floor Lamp M2150 Grey</t>
  </si>
  <si>
    <t>Adventure Works Floor Lamp M2150 Silver</t>
  </si>
  <si>
    <t>Adventure Works Floor Lamp M2150 White</t>
  </si>
  <si>
    <t>Adventure Works Floor Lamp X1150 Black</t>
  </si>
  <si>
    <t>Adventure Works Floor Lamp X1150 Blue</t>
  </si>
  <si>
    <t>Adventure Works Floor Lamp X1150 Grey</t>
  </si>
  <si>
    <t>Adventure Works Floor Lamp X1150 Silver</t>
  </si>
  <si>
    <t>Adventure Works Floor Lamp X1150 White</t>
  </si>
  <si>
    <t>Adventure Works Laptop12 M1200 Black</t>
  </si>
  <si>
    <t>Adventure Works Laptop12 M1201 Blue</t>
  </si>
  <si>
    <t>Adventure Works Laptop12 M1201 Red</t>
  </si>
  <si>
    <t>Adventure Works Laptop12 M1201 Silver</t>
  </si>
  <si>
    <t>Adventure Works Laptop12 M1201 White</t>
  </si>
  <si>
    <t>Adventure Works Laptop15 M1500 Black</t>
  </si>
  <si>
    <t>Adventure Works Laptop15 M1501 Blue</t>
  </si>
  <si>
    <t>Adventure Works Laptop15 M1501 Red</t>
  </si>
  <si>
    <t>Adventure Works Laptop15 M1501 Silver</t>
  </si>
  <si>
    <t>Adventure Works Laptop15 M1501 White</t>
  </si>
  <si>
    <t>Adventure Works Laptop15.4W M1548 Black</t>
  </si>
  <si>
    <t>Adventure Works Laptop15.4W M1548 Red</t>
  </si>
  <si>
    <t>Adventure Works Laptop15.4W M1548 Silver</t>
  </si>
  <si>
    <t>Adventure Works Laptop15.4W M1548 White</t>
  </si>
  <si>
    <t>Adventure Works Laptop16 M1600 Black</t>
  </si>
  <si>
    <t>Adventure Works Laptop16 M1601 Blue</t>
  </si>
  <si>
    <t>Adventure Works Laptop16 M1601 Red</t>
  </si>
  <si>
    <t>Adventure Works Laptop16 M1601 Silver</t>
  </si>
  <si>
    <t>Adventure Works Laptop16 M1601 White</t>
  </si>
  <si>
    <t>Adventure Works Laptop19 X1900 Black</t>
  </si>
  <si>
    <t>Adventure Works Laptop19W X1980 Blue</t>
  </si>
  <si>
    <t>Adventure Works Laptop19W X1980 Red</t>
  </si>
  <si>
    <t>Adventure Works Laptop19W X1980 Silver</t>
  </si>
  <si>
    <t>Adventure Works Laptop19W X1980 White</t>
  </si>
  <si>
    <t>Adventure Works Laptop8.9 E0890 Black</t>
  </si>
  <si>
    <t>Adventure Works Laptop8.9 E0890 Red</t>
  </si>
  <si>
    <t>Adventure Works Laptop8.9 E0890 Silver</t>
  </si>
  <si>
    <t>Adventure Works Laptop8.9 E0890 White</t>
  </si>
  <si>
    <t>Adventure Works LCD15 E100 Black</t>
  </si>
  <si>
    <t>Adventure Works LCD15 E100 White</t>
  </si>
  <si>
    <t>Adventure Works LCD17 E200 Black</t>
  </si>
  <si>
    <t>Adventure Works LCD17 E200 White</t>
  </si>
  <si>
    <t>Adventure Works LCD17W E203 Black</t>
  </si>
  <si>
    <t>Adventure Works LCD17W E203 White</t>
  </si>
  <si>
    <t>Adventure Works LCD19 E108 Black</t>
  </si>
  <si>
    <t>Adventure Works LCD19 E108 White</t>
  </si>
  <si>
    <t>Adventure Works LCD19W M100 Black</t>
  </si>
  <si>
    <t>Adventure Works LCD19W M100 White</t>
  </si>
  <si>
    <t>Adventure Works LCD20 M210 Black</t>
  </si>
  <si>
    <t>Adventure Works LCD20 M210 White</t>
  </si>
  <si>
    <t>Adventure Works LCD20W M240 Black</t>
  </si>
  <si>
    <t>Adventure Works LCD20W M240 White</t>
  </si>
  <si>
    <t>Adventure Works LCD22 M200 Black</t>
  </si>
  <si>
    <t>Adventure Works LCD22 M200 White</t>
  </si>
  <si>
    <t>Adventure Works LCD22W M200 Black</t>
  </si>
  <si>
    <t>Adventure Works LCD22W M200 White</t>
  </si>
  <si>
    <t>Adventure Works LCD24W X300 Black</t>
  </si>
  <si>
    <t>Adventure Works LCD24W X300 White</t>
  </si>
  <si>
    <t>Adventure Works Wall Lamp E2150 Black</t>
  </si>
  <si>
    <t>Adventure Works Wall Lamp E2150 Blue</t>
  </si>
  <si>
    <t>Adventure Works Wall Lamp E2150 Grey</t>
  </si>
  <si>
    <t>Adventure Works Wall Lamp E2150 Silver</t>
  </si>
  <si>
    <t>Adventure Works Wall Lamp E2150 White</t>
  </si>
  <si>
    <t>Adventure Works Wall Lamp E3150 Black</t>
  </si>
  <si>
    <t>Adventure Works Wall Lamp E3150 Blue</t>
  </si>
  <si>
    <t>Adventure Works Wall Lamp E3150 Grey</t>
  </si>
  <si>
    <t>Adventure Works Wall Lamp E3150 Silver</t>
  </si>
  <si>
    <t>Adventure Works Wall Lamp E3150 White</t>
  </si>
  <si>
    <t>Cigarette Lighter Adapter for Contoso Phones E110 Black</t>
  </si>
  <si>
    <t>CELL PHONES</t>
  </si>
  <si>
    <t>Cigarette Lighter Adapter for Contoso Phones E110 Red</t>
  </si>
  <si>
    <t>Cigarette Lighter Adapter for Contoso Phones E110 White</t>
  </si>
  <si>
    <t>Contoso 1G MP3 Player E100 White</t>
  </si>
  <si>
    <t>AUDIO</t>
  </si>
  <si>
    <t>Contoso 2G MP3 Player E200 Black</t>
  </si>
  <si>
    <t>Contoso 2G MP3 Player E200 Blue</t>
  </si>
  <si>
    <t>Contoso 2G MP3 Player E200 Red</t>
  </si>
  <si>
    <t>Contoso 2G MP3 Player E200 Silver</t>
  </si>
  <si>
    <t>Contoso 2-Line Corded Cordless Telephone M202 Black</t>
  </si>
  <si>
    <t>Contoso 2-Line Corded Cordless Telephone M202 Grey</t>
  </si>
  <si>
    <t>Contoso 2-Line Corded Cordless Telephone M202 White</t>
  </si>
  <si>
    <t>Contoso 2-Line Speakerphone M109 Black</t>
  </si>
  <si>
    <t>Contoso 2-Line Speakerphone M109 Grey</t>
  </si>
  <si>
    <t>Contoso 2-Line Speakerphone M109 White</t>
  </si>
  <si>
    <t>Contoso 3 Handset Cordless Phone System  E30 Black</t>
  </si>
  <si>
    <t>Contoso 3 Handset Cordless Phone System E30 Grey</t>
  </si>
  <si>
    <t>Contoso 3 Handset Cordless Phone System E30 White</t>
  </si>
  <si>
    <t>Contoso 32GB Video MP3 Player M3200 Black</t>
  </si>
  <si>
    <t>Contoso 32GB Video MP3 Player M3200 Orange</t>
  </si>
  <si>
    <t>Contoso 32GB Video MP3 Player M3200 Pink</t>
  </si>
  <si>
    <t>Contoso 32GB Video MP3 Player M3200 Red</t>
  </si>
  <si>
    <t>Contoso 32GB Video MP3 Player M3200 White</t>
  </si>
  <si>
    <t>Contoso 4 Handset Cordless Phone System M86 Black</t>
  </si>
  <si>
    <t>Contoso 4 Handset Cordless Phone System M86 Grey</t>
  </si>
  <si>
    <t>Contoso 4 Handset Cordless Phone System M86 White</t>
  </si>
  <si>
    <t>Contoso 4G MP3 Player E400 Black</t>
  </si>
  <si>
    <t>Contoso 4G MP3 Player E400 Green</t>
  </si>
  <si>
    <t>Contoso 4G MP3 Player E400 Orange</t>
  </si>
  <si>
    <t>Contoso 4G MP3 Player E400 Silver</t>
  </si>
  <si>
    <t>Contoso 4GB Flash MP3 Player E401 Black</t>
  </si>
  <si>
    <t>Contoso 4GB Flash MP3 Player E401 Blue</t>
  </si>
  <si>
    <t>Contoso 4GB Flash MP3 Player E401 Silver</t>
  </si>
  <si>
    <t>Contoso 4GB Flash MP3 Player E401 White</t>
  </si>
  <si>
    <t>Contoso 4GB Portable MP3 Player M450 Black</t>
  </si>
  <si>
    <t>Contoso 4GB Portable MP3 Player M450 White</t>
  </si>
  <si>
    <t>Contoso 4GB Portable MP3 Player M450 Yellow</t>
  </si>
  <si>
    <t>Contoso 4-Line Expandable Cordless Phone System M900 Black</t>
  </si>
  <si>
    <t>Contoso 4-Line Expandable Cordless Phone System M900 White</t>
  </si>
  <si>
    <t>Contoso 512MB MP3 Player E51 Blue</t>
  </si>
  <si>
    <t>Contoso 512MB MP3 Player E51 Silver</t>
  </si>
  <si>
    <t>Contoso 8GB Clock &amp; Radio MP3 Player X850 Black</t>
  </si>
  <si>
    <t>Contoso 8GB Clock &amp; Radio MP3 Player X850 Blue</t>
  </si>
  <si>
    <t>Contoso 8GB Clock &amp; Radio MP3 Player X850 Green</t>
  </si>
  <si>
    <t>Contoso 8GB Clock &amp; Radio MP3 Player X850 Silver</t>
  </si>
  <si>
    <t>Contoso 8GB MP3 Player new model M820 Black</t>
  </si>
  <si>
    <t>Contoso 8GB MP3 Player new model M820 Blue</t>
  </si>
  <si>
    <t>Contoso 8GB MP3 Player new model M820 White</t>
  </si>
  <si>
    <t>Contoso 8GB MP3 Player new model M820 Yellow</t>
  </si>
  <si>
    <t>Contoso 8GB Super-Slim MP3/Video Player M800 Green</t>
  </si>
  <si>
    <t>Contoso 8GB Super-Slim MP3/Video Player M800 Pink</t>
  </si>
  <si>
    <t>Contoso 8GB Super-Slim MP3/Video Player M800 Red</t>
  </si>
  <si>
    <t>Contoso 8GB Super-Slim MP3/Video Player M800 White</t>
  </si>
  <si>
    <t>Contoso 90W AC/DC Power Adapter E300 Black</t>
  </si>
  <si>
    <t>Contoso 90W AC/DC Power Adapter E300 Grey</t>
  </si>
  <si>
    <t>Contoso 90W AC/DC Power Adapter E300 White</t>
  </si>
  <si>
    <t>Contoso ADSL Modem Splitter/Filter X 1 E100 Black</t>
  </si>
  <si>
    <t>Contoso ADSL Modem Splitter/Filter X 1 E100 Grey</t>
  </si>
  <si>
    <t>Contoso ADSL Modem Splitter/Filter X 1 E100 White</t>
  </si>
  <si>
    <t>Contoso ADSL Modem Splitter/Filter X 2 E200 Black</t>
  </si>
  <si>
    <t>Contoso Air conditioner 10000BTU M0490 Blue</t>
  </si>
  <si>
    <t>Contoso Air conditioner 10000BTU M0490 Grey</t>
  </si>
  <si>
    <t>Contoso Air conditioner 10000BTU M0490 Red</t>
  </si>
  <si>
    <t>Contoso Air conditioner 10000BTU M0490 Silver</t>
  </si>
  <si>
    <t>Contoso Air conditioner 10000BTU M0490 White</t>
  </si>
  <si>
    <t>Contoso Air conditioner 12000BTU M0640 Blue</t>
  </si>
  <si>
    <t>Contoso Air conditioner 12000BTU M0640 Grey</t>
  </si>
  <si>
    <t>Contoso Air conditioner 12000BTU M0640 Red</t>
  </si>
  <si>
    <t>Contoso Air conditioner 12000BTU M0640 Silver</t>
  </si>
  <si>
    <t>Contoso Air conditioner 12000BTU M0640 White</t>
  </si>
  <si>
    <t>Contoso Air conditioner 25000BTU L1672 Blue</t>
  </si>
  <si>
    <t>Contoso Air conditioner 25000BTU L1672 Grey</t>
  </si>
  <si>
    <t>Contoso Air conditioner 25000BTU L1672 Red</t>
  </si>
  <si>
    <t>Contoso Air conditioner 25000BTU L1672 Silver</t>
  </si>
  <si>
    <t>Contoso Air conditioner 25000BTU L1672 White</t>
  </si>
  <si>
    <t>Contoso Air conditioner 5200BTU E0100 Blue</t>
  </si>
  <si>
    <t>Contoso Air conditioner 5200BTU E0100 Grey</t>
  </si>
  <si>
    <t>Contoso Air conditioner 5200BTU E0100 Red</t>
  </si>
  <si>
    <t>Contoso Air conditioner 5200BTU E0100 Silver</t>
  </si>
  <si>
    <t>Contoso Air conditioner 5200BTU E0100 White</t>
  </si>
  <si>
    <t>Contoso Air conditioner 6000BTU E0180 Blue</t>
  </si>
  <si>
    <t>Contoso Air conditioner 6000BTU E0180 Grey</t>
  </si>
  <si>
    <t>Contoso Air conditioner 6000BTU E0180 Red</t>
  </si>
  <si>
    <t>Contoso Air conditioner 6000BTU E0180 Silver</t>
  </si>
  <si>
    <t>Contoso Air conditioner 6000BTU E0180 White</t>
  </si>
  <si>
    <t>Contoso Air conditioner 7000BTU E0260 Blue</t>
  </si>
  <si>
    <t>Contoso Air conditioner 7000BTU E0260 Grey</t>
  </si>
  <si>
    <t>Contoso Air conditioner 7000BTU E0260 Red</t>
  </si>
  <si>
    <t>Contoso Air conditioner 7000BTU E0260 Silver</t>
  </si>
  <si>
    <t>Contoso Air conditioner 7000BTU E0260 White</t>
  </si>
  <si>
    <t>Contoso Air conditioner 8000BTU M0320 Blue</t>
  </si>
  <si>
    <t>Contoso Air conditioner 8000BTU M0320 Grey</t>
  </si>
  <si>
    <t>Contoso Air conditioner 8000BTU M0320 Red</t>
  </si>
  <si>
    <t>Contoso Air conditioner 8000BTU M0320 Silver</t>
  </si>
  <si>
    <t>Contoso Air conditioner 8000BTU M0320 White</t>
  </si>
  <si>
    <t>Contoso Battery charger - bike E200 Black</t>
  </si>
  <si>
    <t>Contoso Battery charger - bike E200 Grey</t>
  </si>
  <si>
    <t>Contoso Battery charger - bike E200 White</t>
  </si>
  <si>
    <t>Contoso Bedroom Phone with AM/FM Stereo and Call Waiting Caller ID M600 Black</t>
  </si>
  <si>
    <t>Contoso Bedroom Phone with AM/FM Stereo and Call Waiting Caller ID M600 White</t>
  </si>
  <si>
    <t>Contoso behind Centrex X15 Black</t>
  </si>
  <si>
    <t>Contoso behind Centrex X15 Grey</t>
  </si>
  <si>
    <t>Contoso Behind Centrex X15 White</t>
  </si>
  <si>
    <t>Contoso Bluetooth Active Headphones L15 Black</t>
  </si>
  <si>
    <t>Contoso Bluetooth Active Headphones L15 Red</t>
  </si>
  <si>
    <t>Contoso Bluetooth Active Headphones L15 White</t>
  </si>
  <si>
    <t>Contoso Bluetooth Notebook Mouse E70 Black</t>
  </si>
  <si>
    <t>Contoso Bluetooth Notebook Mouse E70 Grey</t>
  </si>
  <si>
    <t>Contoso Bluetooth Notebook Mouse E70 Silver</t>
  </si>
  <si>
    <t>Contoso Bluetooth Notebook Mouse E70 White</t>
  </si>
  <si>
    <t>Contoso Bluetooth Notebook Mouse X305 Black</t>
  </si>
  <si>
    <t>Contoso Bluetooth Notebook Mouse X305 Grey</t>
  </si>
  <si>
    <t>Contoso Bluetooth Notebook Mouse X305 Silver</t>
  </si>
  <si>
    <t>Contoso Bluetooth Notebook Mouse X305 White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</si>
  <si>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</si>
  <si>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</si>
  <si>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</si>
  <si>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</si>
  <si>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Budget Moviemaker 1'' 25mm E400 Black</t>
  </si>
  <si>
    <t>Contoso Budget Moviemaker 1/2'' 3mm E300 Black</t>
  </si>
  <si>
    <t>Contoso Budget Moviemaker 1/3'' 8.5mm E200 Black</t>
  </si>
  <si>
    <t>Contoso Budget Moviemaker 2/3'' 17mm E100 Black</t>
  </si>
  <si>
    <t>Contoso Business Videographer 1'' 25mm M600 Black</t>
  </si>
  <si>
    <t>Contoso Business Videographer 1/2'' 3mm M500 Black</t>
  </si>
  <si>
    <t>Contoso Business Videographer 1/2'' 3mm M500 White</t>
  </si>
  <si>
    <t>Contoso Business Videographer 1/3'' 8.5mm M380 Black</t>
  </si>
  <si>
    <t>Contoso Business Videographer 1/3'' 8.5mm M380 White</t>
  </si>
  <si>
    <t>Contoso Business Videographer 2/3'' 17mm M280 Black</t>
  </si>
  <si>
    <t>Contoso Business Videographer 2/3'' 17mm M280 White</t>
  </si>
  <si>
    <t>Contoso Cables To Go USB 2.0 Hard Drive Enclosure E920 Black</t>
  </si>
  <si>
    <t>Contoso Cables To Go USB 2.0 Hard Drive Enclosure E920 Grey</t>
  </si>
  <si>
    <t>Contoso Cables To Go USB 2.0 Hard Drive Enclosure E920 White</t>
  </si>
  <si>
    <t>Contoso Car power adapter M90 Black</t>
  </si>
  <si>
    <t>Contoso Car power adapter M90 Grey</t>
  </si>
  <si>
    <t>Contoso Car power adapter M90 White</t>
  </si>
  <si>
    <t>Contoso Carrying Case E312 Blue</t>
  </si>
  <si>
    <t>Contoso Carrying Case E312 Pink</t>
  </si>
  <si>
    <t>Contoso Carrying Case E312 Silver</t>
  </si>
  <si>
    <t>Contoso Carrying Case E312 White</t>
  </si>
  <si>
    <t>Contoso Centrex Phone System L10 Black</t>
  </si>
  <si>
    <t>Contoso Centrex Phone System L10 Grey</t>
  </si>
  <si>
    <t>Contoso Centrex Phone System L10 White</t>
  </si>
  <si>
    <t>Contoso Coffee Maker 12C M1000 Black</t>
  </si>
  <si>
    <t>Contoso Coffee Maker 12C M1000 Grey</t>
  </si>
  <si>
    <t>Contoso Coffee Maker 12C M1000 Silver</t>
  </si>
  <si>
    <t>Contoso Coffee Maker 12C M1000 White</t>
  </si>
  <si>
    <t>Contoso Coffee Maker 4C E0800 Black</t>
  </si>
  <si>
    <t>Contoso Coffee Maker 4C E0800 Grey</t>
  </si>
  <si>
    <t>Contoso Coffee Maker 4C E0800 Silver</t>
  </si>
  <si>
    <t>Contoso Coffee Maker 4C E0800 White</t>
  </si>
  <si>
    <t>Contoso Coffee Maker 5C E0900 Black</t>
  </si>
  <si>
    <t>Contoso Coffee Maker 5C E0900 Grey</t>
  </si>
  <si>
    <t>Contoso Coffee Maker 5C E0900 Silver</t>
  </si>
  <si>
    <t>Contoso Coffee Maker 5C E0900 White</t>
  </si>
  <si>
    <t>Contoso Coffee Maker Auto 10C M1000 Black</t>
  </si>
  <si>
    <t>Contoso Coffee Maker Auto 10C M1000 Grey</t>
  </si>
  <si>
    <t>Contoso Coffee Maker Auto 10C M1000 Silver</t>
  </si>
  <si>
    <t>Contoso Coffee Maker Auto 10C M1000 White</t>
  </si>
  <si>
    <t>Contoso Coffee Maker Auto 5C E0900 Black</t>
  </si>
  <si>
    <t>Contoso Coffee Maker Auto 5C E0900 Grey</t>
  </si>
  <si>
    <t>Contoso Coffee Maker Auto 5C E0900 Silver</t>
  </si>
  <si>
    <t>Contoso Coffee Maker Auto 5C E0900 White</t>
  </si>
  <si>
    <t>Contoso Coffee Maker Super-Auto 12C X1250 Black</t>
  </si>
  <si>
    <t>Contoso Coffee Maker Super-Auto 12C X1250 Grey</t>
  </si>
  <si>
    <t>Contoso Coffee Maker Super-Auto 12C X1250 Silver</t>
  </si>
  <si>
    <t>Contoso Coffee Maker Super-Auto 12C X1250 White</t>
  </si>
  <si>
    <t>Contoso Connectivity Starter Kit Smart Buy M680 Black</t>
  </si>
  <si>
    <t>Contoso Connectivity Starter Kit Smart Buy M680 Grey</t>
  </si>
  <si>
    <t>Contoso Connectivity Starter Kit Smart Buy M680 White</t>
  </si>
  <si>
    <t>Contoso Cyber Shot Digital Cameras Adapter E306 Black</t>
  </si>
  <si>
    <t>Contoso Cyber Shot Digital Cameras Adapter E306 Blue</t>
  </si>
  <si>
    <t>Contoso Cyber Shot Digital Cameras Adapter E306 Pink</t>
  </si>
  <si>
    <t>Contoso Desktop Alternative Bundle E200 Black</t>
  </si>
  <si>
    <t>Contoso Desktop Alternative Bundle E200 Grey</t>
  </si>
  <si>
    <t>Contoso Desktop Alternative Bundle E200 White</t>
  </si>
  <si>
    <t>Contoso Digital camera accessory kit M200 Black</t>
  </si>
  <si>
    <t>Contoso Digital camera accessory kit M200 Grey</t>
  </si>
  <si>
    <t>Contoso Digital camera accessory kit M200 White</t>
  </si>
  <si>
    <t>Contoso Digital Camera/Camcorder USB Cable E324 Black</t>
  </si>
  <si>
    <t>Contoso Digital Camera/Camcorder USB Cable E324 Purple</t>
  </si>
  <si>
    <t>Contoso Digital Camera/Camcorder USB Cable E324 Silver</t>
  </si>
  <si>
    <t>Contoso Digital Camera/Camcorder USB Cable E324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</si>
  <si>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</si>
  <si>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</si>
  <si>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</si>
  <si>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Digital Cameras Lightweight Tripod E316 White</t>
  </si>
  <si>
    <t>Contoso Digital Cordless Expansion Handset Phone M900 Black</t>
  </si>
  <si>
    <t>Contoso Digital Cordless Expansion Handset Phone M900 Grey</t>
  </si>
  <si>
    <t>Contoso Digital Cordless Expansion Handset Phone M900 White</t>
  </si>
  <si>
    <t>Contoso Dual Handset Cordless Phone System  E20 Black</t>
  </si>
  <si>
    <t>Contoso Dual Handset Cordless Phone System E20 Grey</t>
  </si>
  <si>
    <t>Contoso Dual Handset Cordless Phone System E20 White</t>
  </si>
  <si>
    <t>Contoso Dual USB Power Adapter - power adapter E300 Black</t>
  </si>
  <si>
    <t>Contoso Dual USB Power Adapter - power adapter E300 Grey</t>
  </si>
  <si>
    <t>Contoso Dual USB Power Adapter - power adapter E300 White</t>
  </si>
  <si>
    <t>Contoso DVD 12-Inch Player Portable M400 Black</t>
  </si>
  <si>
    <t>MUSIC, MOVIES &amp; AUDIO BOOKS</t>
  </si>
  <si>
    <t>Contoso DVD 12-Inch Player Portable M400 Silver</t>
  </si>
  <si>
    <t>Contoso DVD 12-Inch Player Portable M400 White</t>
  </si>
  <si>
    <t>Contoso DVD 14-Inch Player Portable L100 Black</t>
  </si>
  <si>
    <t>Contoso DVD 14-Inch Player Portable L100 Silver</t>
  </si>
  <si>
    <t>Contoso DVD 14-Inch Player Portable L100 White</t>
  </si>
  <si>
    <t>Contoso DVD 15-Inch Player Portable L200 Black</t>
  </si>
  <si>
    <t>Contoso DVD 15-Inch Player Portable L200 Silver</t>
  </si>
  <si>
    <t>Contoso DVD 15-Inch Player Portable L200 White</t>
  </si>
  <si>
    <t>Contoso DVD 38 DVD Storage Binder E25 Black</t>
  </si>
  <si>
    <t>Contoso DVD 38 DVD Storage Binder E25 Red</t>
  </si>
  <si>
    <t>Contoso DVD 38 DVD Storage Binder E25 Silver</t>
  </si>
  <si>
    <t>Contoso DVD 48 DVD Storage Binder M50 Black</t>
  </si>
  <si>
    <t>Contoso DVD 48 DVD Storage Binder M50 Red</t>
  </si>
  <si>
    <t>Contoso DVD 48 DVD Storage Binder M50 Silver</t>
  </si>
  <si>
    <t>Contoso DVD 55DVD Storage Binder M56 Black</t>
  </si>
  <si>
    <t>Contoso DVD 55DVD Storage Binder M56 Red</t>
  </si>
  <si>
    <t>Contoso DVD 55DVD Storage Binder M56 Silver</t>
  </si>
  <si>
    <t>Contoso DVD 58 DVD Storage Binder M55 Black</t>
  </si>
  <si>
    <t>Contoso DVD 58 DVD Storage Binder M55 Red</t>
  </si>
  <si>
    <t>Contoso DVD 58 DVD Storage Binder M55 Silver</t>
  </si>
  <si>
    <t>Contoso DVD 60 DVD Storage Binder L20 Black</t>
  </si>
  <si>
    <t>Contoso DVD 60 DVD Storage Binder L20 Red</t>
  </si>
  <si>
    <t>Contoso DVD 60 DVD Storage Binder L20 Silver</t>
  </si>
  <si>
    <t>Contoso DVD 7-Inch Player Portable E200 Black</t>
  </si>
  <si>
    <t>Contoso DVD 7-Inch Player Portable E200 Silver</t>
  </si>
  <si>
    <t>Contoso DVD 7-Inch Player Portable E200 White</t>
  </si>
  <si>
    <t>Contoso DVD 9-Inch Player Portable M300 Black</t>
  </si>
  <si>
    <t>Contoso DVD 9-Inch Player Portable M300 Silver</t>
  </si>
  <si>
    <t>Contoso DVD 9-Inch Player Portable M300 White</t>
  </si>
  <si>
    <t>Contoso DVD External DVD Burner M200 Black</t>
  </si>
  <si>
    <t>Contoso DVD External DVD Burner M200 Blue</t>
  </si>
  <si>
    <t>Contoso DVD External DVD Burner M200 Grey</t>
  </si>
  <si>
    <t>Contoso DVD External DVD Burner M200 Silver</t>
  </si>
  <si>
    <t>Contoso DVD Movies E100 Yellow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</si>
  <si>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</si>
  <si>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</si>
  <si>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</si>
  <si>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</si>
  <si>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</si>
  <si>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</si>
  <si>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</si>
  <si>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</si>
  <si>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</si>
  <si>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</si>
  <si>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Education Essentials Bundle M300 Black</t>
  </si>
  <si>
    <t>Contoso Education Essentials Bundle M300 Grey</t>
  </si>
  <si>
    <t>Contoso Education Essentials Bundle M300 White</t>
  </si>
  <si>
    <t>Contoso Education Supplies Bundle E200 Black</t>
  </si>
  <si>
    <t>Contoso Education Supplies Bundle E200 Grey</t>
  </si>
  <si>
    <t>Contoso Education Supplies Bundle E200 White</t>
  </si>
  <si>
    <t>Contoso Electronic Private Automatic Branch Exchange M90 Black</t>
  </si>
  <si>
    <t>Contoso Electronic Private Automatic Branch Exchange M90 Grey</t>
  </si>
  <si>
    <t>Contoso Electronic Private Automatic Branch Exchange M90 White</t>
  </si>
  <si>
    <t>Contoso Enhanced Capacity Battery M800 Black</t>
  </si>
  <si>
    <t>Contoso Enhanced Capacity Battery M800 Grey</t>
  </si>
  <si>
    <t>Contoso Enhanced Capacity Battery M800 White</t>
  </si>
  <si>
    <t>Contoso Expandable 2-Handset Cordless Phone System M205 Black</t>
  </si>
  <si>
    <t>Contoso Expandable 2-Handset Cordless Phone System M205 Grey</t>
  </si>
  <si>
    <t>Contoso Expandable 2-Handset Cordless Phone System M205 White</t>
  </si>
  <si>
    <t>Contoso Expandable 3-Handset Cordless Phone System M204 Black</t>
  </si>
  <si>
    <t>Contoso Expandable 3-Handset Cordless Phone System M204 Grey</t>
  </si>
  <si>
    <t>Contoso Expandable 3-Handset Cordless Phone System M204 White</t>
  </si>
  <si>
    <t>Contoso Expandable 4-Handset Cordless Phone System M206 Black</t>
  </si>
  <si>
    <t>Contoso Expandable 4-Handset Cordless Phone System M206 Grey</t>
  </si>
  <si>
    <t>Contoso Expandable 4-Handset Cordless Phone System M206 White</t>
  </si>
  <si>
    <t>Contoso Expandable Cordless Phone System M008 Black</t>
  </si>
  <si>
    <t>Contoso Expandable Cordless Phone System M008 Grey</t>
  </si>
  <si>
    <t>Contoso Expandable Cordless Phone System M008 White</t>
  </si>
  <si>
    <t>Contoso Expandable1-Handset Cordless Phone System M207 Black</t>
  </si>
  <si>
    <t>Contoso Expandable1-Handset Cordless Phone System M207 Grey</t>
  </si>
  <si>
    <t>Contoso Expandable1-Handset Cordless Phone System M207 White</t>
  </si>
  <si>
    <t>Contoso Finger Touch Screen Phones M30 Black</t>
  </si>
  <si>
    <t>Contoso General Carrying Case E304 Black</t>
  </si>
  <si>
    <t>Contoso General Carrying Case E304 Blue</t>
  </si>
  <si>
    <t>Contoso General Carrying Case E304 Silver</t>
  </si>
  <si>
    <t>Contoso General Carrying Case E304 White</t>
  </si>
  <si>
    <t>Contoso General Soft Carrying Case E318 Black</t>
  </si>
  <si>
    <t>Contoso General Soft Carrying Case E318 Blue</t>
  </si>
  <si>
    <t>Contoso General Soft Carrying Case E318 Silver</t>
  </si>
  <si>
    <t>Contoso General Soft Carrying Case E318 White</t>
  </si>
  <si>
    <t>Contoso Genuine Leather Grip Belt E322 Black</t>
  </si>
  <si>
    <t>Contoso Genuine Leather Grip Belt E322 Grey</t>
  </si>
  <si>
    <t>Contoso Genuine Leather Grip Belt E322 Silver</t>
  </si>
  <si>
    <t>Contoso Genuine Leather Grip Belt E322 White</t>
  </si>
  <si>
    <t>Contoso Home and Vacation Moviemaker 1'' 25mm M400 Black</t>
  </si>
  <si>
    <t>Contoso Home and Vacation Moviemaker 1/2'' 3mm M300 Black</t>
  </si>
  <si>
    <t>Contoso Home and Vacation Moviemaker 1/3'' 8.5mm M200 Black</t>
  </si>
  <si>
    <t>Contoso Home and Vacation Moviemaker 2/3'' 17mm M103 Black</t>
  </si>
  <si>
    <t>Contoso Home Theater System 2.1 Channel E1200 Black</t>
  </si>
  <si>
    <t>Contoso Home Theater System 2.1 Channel E1200 Brown</t>
  </si>
  <si>
    <t>Contoso Home Theater System 2.1 Channel E1200 Silver</t>
  </si>
  <si>
    <t>Contoso Home Theater System 2.1 Channel E1200 White</t>
  </si>
  <si>
    <t>Contoso Home Theater System 2.1 Channel E1220 Black</t>
  </si>
  <si>
    <t>Contoso Home Theater System 2.1 Channel E1220 Brown</t>
  </si>
  <si>
    <t>Contoso Home Theater System 2.1 Channel E1220 Silver</t>
  </si>
  <si>
    <t>Contoso Home Theater System 2.1 Channel E1220 White</t>
  </si>
  <si>
    <t>Contoso Home Theater System 2.1 Channel M1210 Black</t>
  </si>
  <si>
    <t>Contoso Home Theater System 2.1 Channel M1210 Brown</t>
  </si>
  <si>
    <t>Contoso Home Theater System 2.1 Channel M1210 Silver</t>
  </si>
  <si>
    <t>Contoso Home Theater System 2.1 Channel M1210 White</t>
  </si>
  <si>
    <t>Contoso Home Theater System 2.1 Channel M1230 Black</t>
  </si>
  <si>
    <t>Contoso Home Theater System 2.1 Channel M1230 Brown</t>
  </si>
  <si>
    <t>Contoso Home Theater System 2.1 Channel M1230 Silver</t>
  </si>
  <si>
    <t>Contoso Home Theater System 2.1 Channel M1230 White</t>
  </si>
  <si>
    <t>Contoso Home Theater System 4.1 Channel M1400 Black</t>
  </si>
  <si>
    <t>Contoso Home Theater System 4.1 Channel M1400 Brown</t>
  </si>
  <si>
    <t>Contoso Home Theater System 4.1 Channel M1400 Silver</t>
  </si>
  <si>
    <t>Contoso Home Theater System 4.1 Channel M1400 White</t>
  </si>
  <si>
    <t>Contoso Home Theater System 4.1 Channel M1410 Black</t>
  </si>
  <si>
    <t>Contoso Home Theater System 4.1 Channel M1410 Brown</t>
  </si>
  <si>
    <t>Contoso Home Theater System 4.1 Channel M1410 Silver</t>
  </si>
  <si>
    <t>Contoso Home Theater System 4.1 Channel M1410 White</t>
  </si>
  <si>
    <t>Contoso Home Theater System 4.1 Channel M1420 Black</t>
  </si>
  <si>
    <t>Contoso Home Theater System 4.1 Channel M1420 Brown</t>
  </si>
  <si>
    <t>Contoso Home Theater System 4.1 Channel M1420 Silver</t>
  </si>
  <si>
    <t>Contoso Home Theater System 4.1 Channel M1420 White</t>
  </si>
  <si>
    <t>Contoso Home Theater System 5.1 Channel M1500 Black</t>
  </si>
  <si>
    <t>Contoso Home Theater System 5.1 Channel M1500 Brown</t>
  </si>
  <si>
    <t>Contoso Home Theater System 5.1 Channel M1500 Silver</t>
  </si>
  <si>
    <t>Contoso Home Theater System 5.1 Channel M1500 White</t>
  </si>
  <si>
    <t>Contoso Home Theater System 5.1 Channel M1510 Black</t>
  </si>
  <si>
    <t>Contoso Home Theater System 5.1 Channel M1510 Brown</t>
  </si>
  <si>
    <t>Contoso Home Theater System 5.1 Channel M1510 Silver</t>
  </si>
  <si>
    <t>Contoso Home Theater System 5.1 Channel M1510 White</t>
  </si>
  <si>
    <t>Contoso Home Theater System 5.1 Channel M1520 Black</t>
  </si>
  <si>
    <t>Contoso Home Theater System 5.1 Channel M1520 Brown</t>
  </si>
  <si>
    <t>Contoso Home Theater System 5.1 Channel M1520 Silver</t>
  </si>
  <si>
    <t>Contoso Home Theater System 5.1 Channel M1520 White</t>
  </si>
  <si>
    <t>Contoso Home Theater System 5.1 Channel M1530 Black</t>
  </si>
  <si>
    <t>Contoso Home Theater System 5.1 Channel M1530 Brown</t>
  </si>
  <si>
    <t>Contoso Home Theater System 5.1 Channel M1530 Silver</t>
  </si>
  <si>
    <t>Contoso Home Theater System 5.1 Channel M1530 White</t>
  </si>
  <si>
    <t>Contoso Home Theater System 5.1 Channel M1540 Black</t>
  </si>
  <si>
    <t>Contoso Home Theater System 5.1 Channel M1540 Brown</t>
  </si>
  <si>
    <t>Contoso Home Theater System 5.1 Channel M1540 Silver</t>
  </si>
  <si>
    <t>Contoso Home Theater System 5.1 Channel M1540 White</t>
  </si>
  <si>
    <t>Contoso Home Theater System 7.1 Channel M1700 Black</t>
  </si>
  <si>
    <t>Contoso Home Theater System 7.1 Channel M1700 Brown</t>
  </si>
  <si>
    <t>Contoso Home Theater System 7.1 Channel M1700 Silver</t>
  </si>
  <si>
    <t>Contoso Home Theater System 7.1 Channel M1700 White</t>
  </si>
  <si>
    <t>Contoso Home/Office Laptop Power Adapter E300 Black</t>
  </si>
  <si>
    <t>Contoso Home/Office Laptop Power Adapter E300 Grey</t>
  </si>
  <si>
    <t>Contoso Home/Office Laptop Power Adapter E300 White</t>
  </si>
  <si>
    <t>Contoso Hybrid system M60 Black</t>
  </si>
  <si>
    <t>Contoso Hybrid system M60 Grey</t>
  </si>
  <si>
    <t>Contoso Hybrid system M60 White</t>
  </si>
  <si>
    <t>Contoso In front of Centrex L15 Black</t>
  </si>
  <si>
    <t>Contoso In front of Centrex L15 Grey</t>
  </si>
  <si>
    <t>Contoso In front of Centrex L15 White</t>
  </si>
  <si>
    <t>Contoso Independent Filmmaker 1'' 25mm X400 Black</t>
  </si>
  <si>
    <t>Contoso Independent Filmmaker 1/2'' 3mm X300 Black</t>
  </si>
  <si>
    <t>Contoso Independent Filmmaker 1/3'' 8.5mm X200 Black</t>
  </si>
  <si>
    <t>Contoso Independent Filmmaker 2/3'' 17mm X100 Black</t>
  </si>
  <si>
    <t>Contoso In-Line Coupler E180 Black</t>
  </si>
  <si>
    <t>Contoso In-Line Coupler E180 Silver</t>
  </si>
  <si>
    <t>Contoso In-Line Coupler E180 White</t>
  </si>
  <si>
    <t>Contoso Integrated Business Phone L08 Black</t>
  </si>
  <si>
    <t>Contoso Integrated Business Phone L08 White</t>
  </si>
  <si>
    <t>Contoso Integrated Business Phone With card L10 Black</t>
  </si>
  <si>
    <t>Contoso Integrated Business Phone With card L10 White</t>
  </si>
  <si>
    <t>Contoso KSU-less key system M38 Black</t>
  </si>
  <si>
    <t>Contoso KSU-less key system M38 Grey</t>
  </si>
  <si>
    <t>Contoso KSU-less key system M38 White</t>
  </si>
  <si>
    <t>Contoso Laptop Cooling Hub notebook fan with 4 ports USB hub E80 Black</t>
  </si>
  <si>
    <t>Contoso Laptop Cooling Hub notebook fan with 4 ports USB hub E80 Grey</t>
  </si>
  <si>
    <t>Contoso Laptop Cooling Hub notebook fan with 4 ports USB hub E80 White</t>
  </si>
  <si>
    <t>Contoso Laptop Cooling Hub notebook fan with 4 ports USB hub M200 Gold</t>
  </si>
  <si>
    <t>Contoso Laptop Keyboard X105 Black</t>
  </si>
  <si>
    <t>Contoso Laptop Keyboard X105 Brown</t>
  </si>
  <si>
    <t>Contoso Laptop Keyboard X105 Silver</t>
  </si>
  <si>
    <t>Contoso Laptop Keyboard X105 White</t>
  </si>
  <si>
    <t>Contoso Laptop Starter Bundle M200 Black</t>
  </si>
  <si>
    <t>Contoso Laptop Starter Bundle M200 Grey</t>
  </si>
  <si>
    <t>Contoso Laptop Starter Bundle M200 White</t>
  </si>
  <si>
    <t>Contoso Leather Case - case for digital photo camera X20 Black</t>
  </si>
  <si>
    <t>Contoso Leather Case - case for digital photo camera X20 Grey</t>
  </si>
  <si>
    <t>Contoso Leather Case - case for digital photo camera X20 White</t>
  </si>
  <si>
    <t>Contoso Lens Adapter M450 Black</t>
  </si>
  <si>
    <t>Contoso Lens Adapter M450 Grey</t>
  </si>
  <si>
    <t>Contoso Lens Adapter M450 Silver</t>
  </si>
  <si>
    <t>Contoso Lens Adapter M450 White</t>
  </si>
  <si>
    <t>Contoso Lens cap E80 Black</t>
  </si>
  <si>
    <t>Contoso Lens cap E80 Grey</t>
  </si>
  <si>
    <t>Contoso Lens cap E80 White</t>
  </si>
  <si>
    <t>Contoso Lens Cap Keeper E314 Pink</t>
  </si>
  <si>
    <t>Contoso Lens Cap Keeper E314 Silver</t>
  </si>
  <si>
    <t>Contoso Lens Cap Keeper E314 White</t>
  </si>
  <si>
    <t>Contoso Lens Cap Keeper E314 Yellow</t>
  </si>
  <si>
    <t>Contoso Lifestyles Series - Big Button Cordless phone M800 Black</t>
  </si>
  <si>
    <t>Contoso Lifestyles Series - Big Button Cordless phone M800 White</t>
  </si>
  <si>
    <t>Contoso Microwave 0.8CuFt E0080 Black</t>
  </si>
  <si>
    <t>Contoso Microwave 0.8CuFt E0080 Grey</t>
  </si>
  <si>
    <t>Contoso Microwave 0.8CuFt E0080 Red</t>
  </si>
  <si>
    <t>Contoso Microwave 0.8CuFt E0080 Silver</t>
  </si>
  <si>
    <t>Contoso Microwave 0.8CuFt E0080 White</t>
  </si>
  <si>
    <t>Contoso Microwave 0.9CuFt E0090 Black</t>
  </si>
  <si>
    <t>Contoso Microwave 0.9CuFt E0090 Grey</t>
  </si>
  <si>
    <t>Contoso Microwave 0.9CuFt E0090 Red</t>
  </si>
  <si>
    <t>Contoso Microwave 0.9CuFt E0090 Silver</t>
  </si>
  <si>
    <t>Contoso Microwave 0.9CuFt E0090 White</t>
  </si>
  <si>
    <t>Contoso Microwave 1.0CuFt E0110 Black</t>
  </si>
  <si>
    <t>Contoso Microwave 1.0CuFt E0110 Grey</t>
  </si>
  <si>
    <t>Contoso Microwave 1.0CuFt E0110 Red</t>
  </si>
  <si>
    <t>Contoso Microwave 1.0CuFt E0110 Silver</t>
  </si>
  <si>
    <t>Contoso Microwave 1.0CuFt E0110 White</t>
  </si>
  <si>
    <t>Contoso Microwave 1.5CuFt X0110 Black</t>
  </si>
  <si>
    <t>Contoso Microwave 1.5CuFt X0110 Grey</t>
  </si>
  <si>
    <t>Contoso Microwave 1.5CuFt X0110 Red</t>
  </si>
  <si>
    <t>Contoso Microwave 1.5CuFt X0110 Silver</t>
  </si>
  <si>
    <t>Contoso Microwave 1.5CuFt X0110 White</t>
  </si>
  <si>
    <t>Contoso Microwave 1.6CuFt M0125 Black</t>
  </si>
  <si>
    <t>Contoso Microwave 1.6CuFt M0125 Red</t>
  </si>
  <si>
    <t>Contoso Microwave 1.6CuFt M0125 Silver</t>
  </si>
  <si>
    <t>Contoso Microwave 1.6CuFt M0125 White</t>
  </si>
  <si>
    <t>Contoso Microwave 2.2CuFt M0125 Black</t>
  </si>
  <si>
    <t>Contoso Microwave 2.2CuFt M0125 Grey</t>
  </si>
  <si>
    <t>Contoso Microwave 2.2CuFt M0125 Red</t>
  </si>
  <si>
    <t>Contoso Microwave 2.2CuFt M0125 Silver</t>
  </si>
  <si>
    <t>Contoso Microwave 2.2CuFt M0125 White</t>
  </si>
  <si>
    <t>Contoso Microwave 2.2CuFt M0126 Grey</t>
  </si>
  <si>
    <t>Contoso Mini Battery Charger Kit E320 Black</t>
  </si>
  <si>
    <t>Contoso Mini Battery Charger Kit E320 Red</t>
  </si>
  <si>
    <t>Contoso Mini Battery Charger Kit E320 Silver</t>
  </si>
  <si>
    <t>Contoso Mini Battery Charger Kit E320 White</t>
  </si>
  <si>
    <t>Contoso Mouse Lock Bundle E200 Black</t>
  </si>
  <si>
    <t>Contoso Mouse Lock Bundle E200 Grey</t>
  </si>
  <si>
    <t>Contoso Mouse Lock Bundle E200 White</t>
  </si>
  <si>
    <t>Contoso Multi-line phones M30 Black</t>
  </si>
  <si>
    <t>Contoso Multi-line phones M30 Grey</t>
  </si>
  <si>
    <t>Contoso Multi-line phones M30 White</t>
  </si>
  <si>
    <t>Contoso Multimedia Speakers M25 Black</t>
  </si>
  <si>
    <t>Contoso Multimedia Speakers M25 Brown</t>
  </si>
  <si>
    <t>Contoso Multimedia Speakers M25 White</t>
  </si>
  <si>
    <t>Contoso Multi-Use Terminal Cable E308 Black</t>
  </si>
  <si>
    <t>Contoso Multi-Use Terminal Cable E308 Silver</t>
  </si>
  <si>
    <t>Contoso Multi-Use Terminal Cable E308 White</t>
  </si>
  <si>
    <t>Contoso Notebook Peripheral Kit M69 Black</t>
  </si>
  <si>
    <t>Contoso Notebook Peripheral Kit M69 Grey</t>
  </si>
  <si>
    <t>Contoso Notebook Peripheral Kit M69 White</t>
  </si>
  <si>
    <t>Contoso Optical USB Mouse M45 Black</t>
  </si>
  <si>
    <t>Contoso Optical USB Mouse M45 Grey</t>
  </si>
  <si>
    <t>Contoso Optical USB Mouse M45 White</t>
  </si>
  <si>
    <t>Contoso Optical Wheel OEM PS/2 Mouse E60 Black</t>
  </si>
  <si>
    <t>Contoso Optical Wheel OEM PS/2 Mouse E60 Grey</t>
  </si>
  <si>
    <t>Contoso Optical Wheel OEM PS/2 Mouse E60 Silver</t>
  </si>
  <si>
    <t>Contoso Optical Wheel OEM PS/2 Mouse E60 White</t>
  </si>
  <si>
    <t>Contoso Original K1m Li-Ion Standard Battery E170 Black</t>
  </si>
  <si>
    <t>Contoso Original K1m Li-Ion Standard Battery E170 Silver</t>
  </si>
  <si>
    <t>Contoso Original K1m Li-Ion Standard Battery E170 White</t>
  </si>
  <si>
    <t>Contoso Pen Touch Screen Phones M320 Black</t>
  </si>
  <si>
    <t>Contoso Phone for MSN E200 Black</t>
  </si>
  <si>
    <t>Contoso Phone for MSN E200 White</t>
  </si>
  <si>
    <t>Contoso Phone System Accessory Handset with Charger M308 Black</t>
  </si>
  <si>
    <t>Contoso Phone System Accessory Handset with Charger M308 Grey</t>
  </si>
  <si>
    <t>Contoso Phone System Accessory Handset with Charger M308 White</t>
  </si>
  <si>
    <t>Contoso Phone with 13-Number Memory (210) M301 Black</t>
  </si>
  <si>
    <t>Contoso Phone with 13-Number Memory (210) M301 Grey</t>
  </si>
  <si>
    <t>Contoso Phone with 13-Number Memory (210) M301 White</t>
  </si>
  <si>
    <t>Contoso Phone with Memory Dialing-2 lines E90 Black</t>
  </si>
  <si>
    <t>Contoso Phone with Memory Dialing-2 lines E90 Grey</t>
  </si>
  <si>
    <t>Contoso Phone with Memory Dialing-2 lines E90 White</t>
  </si>
  <si>
    <t>Contoso Phone with Memory Dialing-single line E88 Black</t>
  </si>
  <si>
    <t>Contoso Phone with Memory Dialing-single line E88 Grey</t>
  </si>
  <si>
    <t>Contoso Phone with Memory Dialing-single line E88 White</t>
  </si>
  <si>
    <t>Contoso Power Inverter - DC to AC power inverter E900 Black</t>
  </si>
  <si>
    <t>Contoso Power Inverter - DC to AC power inverter E900 Grey</t>
  </si>
  <si>
    <t>Contoso Power Inverter - DC to AC power inverter E900 White</t>
  </si>
  <si>
    <t>Contoso Primary Extended Capacity Battery Pack - notebook battery X100 Black</t>
  </si>
  <si>
    <t>Contoso Primary Extended Capacity Battery Pack - notebook battery X100 Grey</t>
  </si>
  <si>
    <t>Contoso Primary Extended Capacity Battery Pack - notebook battery X100 White</t>
  </si>
  <si>
    <t>Contoso Private Automatic Branch Exchange M65 Black</t>
  </si>
  <si>
    <t>Contoso Private Automatic Branch Exchange M65 Grey</t>
  </si>
  <si>
    <t>Contoso Private Automatic Branch Exchange M65 White</t>
  </si>
  <si>
    <t>Contoso Private Branch Exchange M88 Black</t>
  </si>
  <si>
    <t>Contoso Private Branch Exchange M88 Grey</t>
  </si>
  <si>
    <t>Contoso Private Branch Exchange M88 White</t>
  </si>
  <si>
    <t>Contoso Projector 1080p X980 Black</t>
  </si>
  <si>
    <t>Contoso Projector 1080p X980 Silver</t>
  </si>
  <si>
    <t>Contoso Projector 1080p X980 White</t>
  </si>
  <si>
    <t>Contoso Projector 480p M480 Black</t>
  </si>
  <si>
    <t>Contoso Projector 480p M480 Silver</t>
  </si>
  <si>
    <t>Contoso Projector 480p M480 White</t>
  </si>
  <si>
    <t>Contoso Projector 480p M481 Black</t>
  </si>
  <si>
    <t>Contoso Projector 480p M481 Silver</t>
  </si>
  <si>
    <t>Contoso Projector 480p M481 White</t>
  </si>
  <si>
    <t>Contoso Projector 720p M620 Black</t>
  </si>
  <si>
    <t>Contoso Projector 720p M620 Silver</t>
  </si>
  <si>
    <t>Contoso Projector 720p M620 White</t>
  </si>
  <si>
    <t>Contoso Projector 720p M621 Black</t>
  </si>
  <si>
    <t>Contoso Projector 720p M621 Silver</t>
  </si>
  <si>
    <t>Contoso Projector 720p M621 White</t>
  </si>
  <si>
    <t>Contoso Rechargeable Battery E100 Black</t>
  </si>
  <si>
    <t>Contoso Rechargeable Battery E100 Grey</t>
  </si>
  <si>
    <t>Contoso Rechargeable Battery E100 White</t>
  </si>
  <si>
    <t>Contoso Rechargeable Battery Pack E310 Black</t>
  </si>
  <si>
    <t>Contoso Rechargeable Battery Pack E310 Silver</t>
  </si>
  <si>
    <t>Contoso Rechargeable Battery Pack E310 White</t>
  </si>
  <si>
    <t>Contoso Rechargeable Li-Ion Battery Pack E300 Black</t>
  </si>
  <si>
    <t>Contoso Rechargeable Li-Ion Battery Pack E300 Silver</t>
  </si>
  <si>
    <t>Contoso Rechargeable Li-Ion Battery Pack E300 White</t>
  </si>
  <si>
    <t>Contoso Reserve Pen -Tablet Pen E200 Blue</t>
  </si>
  <si>
    <t>Contoso Rubberized Skin BlackBerry E100 Black</t>
  </si>
  <si>
    <t>Contoso Rubberized Skin BlackBerry E100 Silver</t>
  </si>
  <si>
    <t>Contoso Rubberized Skin BlackBerry E100 White</t>
  </si>
  <si>
    <t>Contoso Rubberized Snap-On Cover Hard Case Cell Phone Protector E160 Pink</t>
  </si>
  <si>
    <t>Contoso Rubberized Snap-On Cover Hard Case Cell Phone Protector E160 Silver</t>
  </si>
  <si>
    <t>Contoso Rubberized Snap-On Cover Hard Case Cell Phone Protector E160 White</t>
  </si>
  <si>
    <t>Contoso Screen 100in E010 Black</t>
  </si>
  <si>
    <t>Contoso Screen 100in E010 Silver</t>
  </si>
  <si>
    <t>Contoso Screen 100in E010 White</t>
  </si>
  <si>
    <t>Contoso Screen 106in M060 Black</t>
  </si>
  <si>
    <t>Contoso Screen 106in M060 Silver</t>
  </si>
  <si>
    <t>Contoso Screen 106in M060 White</t>
  </si>
  <si>
    <t>Contoso Screen 113in M251 Black</t>
  </si>
  <si>
    <t>Contoso Screen 113in M251 Silver</t>
  </si>
  <si>
    <t>Contoso Screen 113in M251 White</t>
  </si>
  <si>
    <t>Contoso Screen 125in M250 Black</t>
  </si>
  <si>
    <t>Contoso Screen 125in M250 Silver</t>
  </si>
  <si>
    <t>Contoso Screen 125in M250 White</t>
  </si>
  <si>
    <t>Contoso Screen 80in E080 Black</t>
  </si>
  <si>
    <t>Contoso Screen 80in E080 Silver</t>
  </si>
  <si>
    <t>Contoso Screen 80in E080 White</t>
  </si>
  <si>
    <t>Contoso Screen 85in E085 Black</t>
  </si>
  <si>
    <t>Contoso Screen 85in E085 Silver</t>
  </si>
  <si>
    <t>Contoso Screen 85in E085 White</t>
  </si>
  <si>
    <t>Contoso Sharp Touch Screen Phones M910 Black</t>
  </si>
  <si>
    <t>Contoso Single-line phones E10 Black</t>
  </si>
  <si>
    <t>Contoso Single-line phones E10 Grey</t>
  </si>
  <si>
    <t>Contoso Single-line phones E10 White</t>
  </si>
  <si>
    <t>Contoso SLR Camera 35" M358 Black</t>
  </si>
  <si>
    <t>Contoso SLR Camera 35" M358 Blue</t>
  </si>
  <si>
    <t>Contoso SLR Camera 35" M358 Gold</t>
  </si>
  <si>
    <t>Contoso SLR Camera 35" M358 Grey</t>
  </si>
  <si>
    <t>Contoso SLR Camera 35" M358 Orange</t>
  </si>
  <si>
    <t>Contoso SLR Camera 35" M358 Pink</t>
  </si>
  <si>
    <t>Contoso SLR Camera 35" M358 Silver</t>
  </si>
  <si>
    <t>Contoso SLR Camera 35" M358 Silver Grey</t>
  </si>
  <si>
    <t>Contoso SLR Camera 35" X358 Black</t>
  </si>
  <si>
    <t>Contoso SLR Camera 35" X358 Blue</t>
  </si>
  <si>
    <t>Contoso SLR Camera 35" X358 Grey</t>
  </si>
  <si>
    <t>Contoso SLR Camera 35" X358 Orange</t>
  </si>
  <si>
    <t>Contoso SLR Camera 35" X358 Pink</t>
  </si>
  <si>
    <t>Contoso SLR Camera 35" X358 Silver</t>
  </si>
  <si>
    <t>Contoso SLR Camera 35" X358 Silver Grey</t>
  </si>
  <si>
    <t>Contoso SLR Camera M142 Black</t>
  </si>
  <si>
    <t>Contoso SLR Camera M143 Grey</t>
  </si>
  <si>
    <t>Contoso SLR Camera M143 Silver</t>
  </si>
  <si>
    <t>Contoso SLR Camera M144 Gold</t>
  </si>
  <si>
    <t>Contoso SLR Camera M144 Silver Grey</t>
  </si>
  <si>
    <t>Contoso SLR Camera M145 Blue</t>
  </si>
  <si>
    <t>Contoso SLR Camera M145 Pink</t>
  </si>
  <si>
    <t>Contoso SLR Camera M146 Orange</t>
  </si>
  <si>
    <t>Contoso SLR Camera X142 Black</t>
  </si>
  <si>
    <t>Contoso SLR Camera X143 Grey</t>
  </si>
  <si>
    <t>Contoso SLR Camera X143 Silver</t>
  </si>
  <si>
    <t>Contoso SLR Camera X144 Gold</t>
  </si>
  <si>
    <t>Contoso SLR Camera X144 Silver Grey</t>
  </si>
  <si>
    <t>Contoso SLR Camera X145 Blue</t>
  </si>
  <si>
    <t>Contoso SLR Camera X145 Pink</t>
  </si>
  <si>
    <t>Contoso SLR Camera X146 Orange</t>
  </si>
  <si>
    <t>Contoso Smart Battery M901 Black</t>
  </si>
  <si>
    <t>Contoso Smart Battery M901 Blue</t>
  </si>
  <si>
    <t>Contoso Smart Battery M901 Grey</t>
  </si>
  <si>
    <t>Contoso Smart Battery M901 White</t>
  </si>
  <si>
    <t>Contoso Social Videographer 1'' 25mm E400 Black</t>
  </si>
  <si>
    <t>Contoso Social Videographer 1'' 25mm E400 White</t>
  </si>
  <si>
    <t>Contoso Social Videographer 1/2'' 3mm E300 Black</t>
  </si>
  <si>
    <t>Contoso Social Videographer 1/2'' 3mm E300 White</t>
  </si>
  <si>
    <t>Contoso Social Videographer 1/3'' 8.5mm E200 Black</t>
  </si>
  <si>
    <t>Contoso Social Videographer 1/3'' 8.5mm E200 White</t>
  </si>
  <si>
    <t>Contoso Social Videographer 2/3'' 17mm E100 Black</t>
  </si>
  <si>
    <t>Contoso Social Videographer 2/3'' 17mm E100 White</t>
  </si>
  <si>
    <t>Contoso Telephoto Conversion Lens M350 Black</t>
  </si>
  <si>
    <t>Contoso Telephoto Conversion Lens M350 Blue</t>
  </si>
  <si>
    <t>Contoso Telephoto Conversion Lens M350 Silver</t>
  </si>
  <si>
    <t>Contoso Telephoto Conversion Lens M350 White</t>
  </si>
  <si>
    <t>Contoso Touch Screen Phones  - LCD M12 Black</t>
  </si>
  <si>
    <t>Contoso Touch Screen Phones - CRT M11 Black</t>
  </si>
  <si>
    <t>Contoso Touch Screen Phones 4-Wire/ Built-in M205 Black</t>
  </si>
  <si>
    <t>Contoso Touch Screen Phones 5-Wire/Built-in M500 Black</t>
  </si>
  <si>
    <t>Contoso Touch Screen Phones 5-Wire/On-wall M508 Black</t>
  </si>
  <si>
    <t>Contoso Touch Screen Phones Capacitive M908 Black</t>
  </si>
  <si>
    <t>Contoso Touch Screen Phones Infrared M901 Black</t>
  </si>
  <si>
    <t>Contoso Touch Screen Phones SAW/On-wall M806 Black</t>
  </si>
  <si>
    <t>Contoso Touch Stylus Pen E150 Black</t>
  </si>
  <si>
    <t>Contoso Touch Stylus Pen E150 Red</t>
  </si>
  <si>
    <t>Contoso Touch Stylus Pen E150 Silver</t>
  </si>
  <si>
    <t>Contoso Touch Stylus Pen E150 White</t>
  </si>
  <si>
    <t>Contoso Travel Charger for S-Series Battery E302 Black</t>
  </si>
  <si>
    <t>Contoso Travel Charger for S-Series Battery E302 Silver</t>
  </si>
  <si>
    <t>Contoso Travel Charger for S-Series Battery E302 White</t>
  </si>
  <si>
    <t>Contoso Trendsetter 1'' 25mm X400 Black</t>
  </si>
  <si>
    <t>Contoso Trendsetter 1/2'' 3mm X300 Black</t>
  </si>
  <si>
    <t>Contoso Trendsetter 1/3'' 8.5mm X200 Black</t>
  </si>
  <si>
    <t>Contoso Trendsetter 2/3'' 17mm X100 Black</t>
  </si>
  <si>
    <t>Contoso Ultraportable Neoprene Sleeve E30 Black</t>
  </si>
  <si>
    <t>Contoso Ultraportable Neoprene Sleeve E30 Green</t>
  </si>
  <si>
    <t>Contoso Ultraportable Neoprene Sleeve E30 Pink</t>
  </si>
  <si>
    <t>Contoso Ultraportable Neoprene Sleeve E30 Yellow</t>
  </si>
  <si>
    <t>Contoso USB 2.0 Dock Station docking station M800 Black</t>
  </si>
  <si>
    <t>Contoso USB 2.0 Dock Station docking station M800 Grey</t>
  </si>
  <si>
    <t>Contoso USB 2.0 Dock Station docking station M800 White</t>
  </si>
  <si>
    <t>Contoso USB Cable M250 Black</t>
  </si>
  <si>
    <t>Contoso USB Cable M250 Blue</t>
  </si>
  <si>
    <t>Contoso USB Cable M250 White</t>
  </si>
  <si>
    <t>Contoso USB Cable M250 Yellow</t>
  </si>
  <si>
    <t>Contoso USB Data Link - direct connect adapter E600 Grey</t>
  </si>
  <si>
    <t>Contoso USB Data Link - direct connect adapter E600 White</t>
  </si>
  <si>
    <t>Contoso USB Data Link-direct connect adapter E600 Black</t>
  </si>
  <si>
    <t>Contoso USB Optical Mouse E200 Black</t>
  </si>
  <si>
    <t>Contoso USB Optical Mouse E200 Blue</t>
  </si>
  <si>
    <t>Contoso USB Optical Mouse E200 Gold</t>
  </si>
  <si>
    <t>Contoso USB Optical Mouse E200 Grey</t>
  </si>
  <si>
    <t>Contoso USB Optical Mouse E200 White</t>
  </si>
  <si>
    <t>Contoso USB Wave Multi-media Keyboard E280 Black</t>
  </si>
  <si>
    <t>Contoso USB Wave Multi-media Keyboard E280 Blue</t>
  </si>
  <si>
    <t>Contoso USB Wave Multi-Media Keyboard E280 Grey</t>
  </si>
  <si>
    <t>Contoso USB Wave Multi-media Keyboard E280 White</t>
  </si>
  <si>
    <t>Contoso USB Wave Multi-Media Keyboard M901 Gold</t>
  </si>
  <si>
    <t>Contoso Washer &amp; Dryer 15.5in E155 Blue</t>
  </si>
  <si>
    <t>Contoso Washer &amp; Dryer 15.5in E155 Green</t>
  </si>
  <si>
    <t>Contoso Washer &amp; Dryer 15.5in E155 Pink</t>
  </si>
  <si>
    <t>Contoso Washer &amp; Dryer 15.5in E155 Red</t>
  </si>
  <si>
    <t>Contoso Washer &amp; Dryer 15.5in E155 Silver</t>
  </si>
  <si>
    <t>Contoso Washer &amp; Dryer 15.5in E155 White</t>
  </si>
  <si>
    <t>Contoso Washer &amp; Dryer 21in E210 Blue</t>
  </si>
  <si>
    <t>Contoso Washer &amp; Dryer 21in E210 Green</t>
  </si>
  <si>
    <t>Contoso Washer &amp; Dryer 21in E210 Pink</t>
  </si>
  <si>
    <t>Contoso Washer &amp; Dryer 21in E210 Red</t>
  </si>
  <si>
    <t>Contoso Washer &amp; Dryer 21in E210 Silver</t>
  </si>
  <si>
    <t>Contoso Washer &amp; Dryer 21in E210 White</t>
  </si>
  <si>
    <t>Contoso Washer &amp; Dryer 24in M240 Blue</t>
  </si>
  <si>
    <t>Contoso Washer &amp; Dryer 24in M240 Green</t>
  </si>
  <si>
    <t>Contoso Washer &amp; Dryer 24in M240 Pink</t>
  </si>
  <si>
    <t>Contoso Washer &amp; Dryer 24in M240 Red</t>
  </si>
  <si>
    <t>Contoso Washer &amp; Dryer 24in M240 Silver</t>
  </si>
  <si>
    <t>Contoso Washer &amp; Dryer 24in M240 White</t>
  </si>
  <si>
    <t>Contoso Washer &amp; Dryer 25.5in M255 Blue</t>
  </si>
  <si>
    <t>Contoso Washer &amp; Dryer 25.5in M255 Green</t>
  </si>
  <si>
    <t>Contoso Washer &amp; Dryer 25.5in M255 Pink</t>
  </si>
  <si>
    <t>Contoso Washer &amp; Dryer 25.5in M255 Red</t>
  </si>
  <si>
    <t>Contoso Washer &amp; Dryer 25.5in M255 Silver</t>
  </si>
  <si>
    <t>Contoso Washer &amp; Dryer 25.5in M255 White</t>
  </si>
  <si>
    <t>Contoso Washer &amp; Dryer 27in L270 Blue</t>
  </si>
  <si>
    <t>Contoso Washer &amp; Dryer 27in L270 Green</t>
  </si>
  <si>
    <t>Contoso Washer &amp; Dryer 27in L270 Pink</t>
  </si>
  <si>
    <t>Contoso Washer &amp; Dryer 27in L270 Red</t>
  </si>
  <si>
    <t>Contoso Washer &amp; Dryer 27in L270 Silver</t>
  </si>
  <si>
    <t>Contoso Washer &amp; Dryer 27in L270 White</t>
  </si>
  <si>
    <t>Contoso Water Heater 1.5GPM E0800 Blue</t>
  </si>
  <si>
    <t>Contoso Water Heater 1.5GPM E0800 Green</t>
  </si>
  <si>
    <t>Contoso Water Heater 1.5GPM E0800 Grey</t>
  </si>
  <si>
    <t>Contoso Water Heater 1.5GPM E0800 Red</t>
  </si>
  <si>
    <t>Contoso Water Heater 1.5GPM E0800 Silver</t>
  </si>
  <si>
    <t>Contoso Water Heater 1.5GPM E0800 White</t>
  </si>
  <si>
    <t>Contoso Water Heater 2.6GPM E0900 Blue</t>
  </si>
  <si>
    <t>Contoso Water Heater 2.6GPM E0900 Green</t>
  </si>
  <si>
    <t>Contoso Water Heater 2.6GPM E0900 Grey</t>
  </si>
  <si>
    <t>Contoso Water Heater 2.6GPM E0900 Red</t>
  </si>
  <si>
    <t>Contoso Water Heater 2.6GPM E0900 Silver</t>
  </si>
  <si>
    <t>Contoso Water Heater 2.6GPM E0900 White</t>
  </si>
  <si>
    <t>Contoso Water Heater 4.0GPM M1250 Blue</t>
  </si>
  <si>
    <t>Contoso Water Heater 4.0GPM M1250 Green</t>
  </si>
  <si>
    <t>Contoso Water Heater 4.0GPM M1250 Grey</t>
  </si>
  <si>
    <t>Contoso Water Heater 4.0GPM M1250 Red</t>
  </si>
  <si>
    <t>Contoso Water Heater 4.0GPM M1250 Silver</t>
  </si>
  <si>
    <t>Contoso Water Heater 4.0GPM M1250 White</t>
  </si>
  <si>
    <t>Contoso Water Heater 4.3GPM M1250 Blue</t>
  </si>
  <si>
    <t>Contoso Water Heater 4.3GPM M1250 Green</t>
  </si>
  <si>
    <t>Contoso Water Heater 4.3GPM M1250 Grey</t>
  </si>
  <si>
    <t>Contoso Water Heater 4.3GPM M1250 Red</t>
  </si>
  <si>
    <t>Contoso Water Heater 4.3GPM M1250 Silver</t>
  </si>
  <si>
    <t>Contoso Water Heater 4.3GPM M1250 White</t>
  </si>
  <si>
    <t>Contoso Water Heater 4.3GPM M1250 Yellow</t>
  </si>
  <si>
    <t>Contoso Water Heater 7.2GPM X1800 Blue</t>
  </si>
  <si>
    <t>Contoso Water Heater 7.2GPM X1800 Green</t>
  </si>
  <si>
    <t>Contoso Water Heater 7.2GPM X1800 Grey</t>
  </si>
  <si>
    <t>Contoso Water Heater 7.2GPM X1800 Red</t>
  </si>
  <si>
    <t>Contoso Water Heater 7.2GPM X1800 Silver</t>
  </si>
  <si>
    <t>Contoso Water Heater 7.2GPM X1800 White</t>
  </si>
  <si>
    <t>Contoso Waterproof Accessory Handset and Charging Cradle M609 Black</t>
  </si>
  <si>
    <t>Contoso Waterproof Accessory Handset and Charging Cradle M609 White</t>
  </si>
  <si>
    <t>Contoso Wireless Laser Mouse E50 Black</t>
  </si>
  <si>
    <t>Contoso Wireless Laser Mouse E50 Grey</t>
  </si>
  <si>
    <t>Contoso Wireless Laser Mouse E50 Silver</t>
  </si>
  <si>
    <t>Contoso Wireless Laser Mouse E50 White</t>
  </si>
  <si>
    <t>Contoso Wireless Laser Mouse M55 Black</t>
  </si>
  <si>
    <t>Contoso Wireless Laser Mouse M55 Grey</t>
  </si>
  <si>
    <t>Contoso Wireless Laser Mouse M55 Silver</t>
  </si>
  <si>
    <t>Contoso Wireless Laser Mouse M55 White</t>
  </si>
  <si>
    <t>Contoso Wireless Notebook Optical Mouse M35 Black</t>
  </si>
  <si>
    <t>Contoso Wireless Notebook Optical Mouse M35 Blue</t>
  </si>
  <si>
    <t>Contoso Wireless Notebook Optical Mouse M35 Orange</t>
  </si>
  <si>
    <t>Contoso Wireless Notebook Optical Mouse M35 Silver</t>
  </si>
  <si>
    <t>Contoso Wireless Notebook Optical Mouse M35 White</t>
  </si>
  <si>
    <t>Fabrikam Budget Movie-Maker 1'' 25mm E400 Black</t>
  </si>
  <si>
    <t>Fabrikam Budget Moviemaker 1'' 25mm E400 Grey</t>
  </si>
  <si>
    <t>Fabrikam Budget Moviemaker 1'' 25mm E400 White</t>
  </si>
  <si>
    <t>Fabrikam Budget Movie-Maker 1/2'' 3mm E300 Black</t>
  </si>
  <si>
    <t>Fabrikam Budget Moviemaker 1/2'' 3mm E300 Grey</t>
  </si>
  <si>
    <t>Fabrikam Budget Moviemaker 1/2'' 3mm E300 White</t>
  </si>
  <si>
    <t>Fabrikam Budget Movie-Maker 1/3'' 8.5mm E200 Black</t>
  </si>
  <si>
    <t>Fabrikam Budget Moviemaker 1/3'' 8.5mm E200 Grey</t>
  </si>
  <si>
    <t>Fabrikam Budget Moviemaker 1/3'' 8.5mm E200 White</t>
  </si>
  <si>
    <t>Fabrikam Budget Movie-Maker 2/3'' 17mm E100 Black</t>
  </si>
  <si>
    <t>Fabrikam Budget Moviemaker 2/3'' 17mm E100 Grey</t>
  </si>
  <si>
    <t>Fabrikam Budget Moviemaker 2/3'' 17mm E100 White</t>
  </si>
  <si>
    <t>Fabrikam Business Videographer 1'' 25mm M600 Black</t>
  </si>
  <si>
    <t>Fabrikam Business Videographer 1'' 25mm M600 Grey</t>
  </si>
  <si>
    <t>Fabrikam Business Videographer 1'' 25mm M600 White</t>
  </si>
  <si>
    <t>Fabrikam Business Videographer 1/2'' 3mm M500 Black</t>
  </si>
  <si>
    <t>Fabrikam Business Videographer 1/2'' 3mm M500 Grey</t>
  </si>
  <si>
    <t>Fabrikam Business Videographer 1/2'' 3mm M500 White</t>
  </si>
  <si>
    <t>Fabrikam Business Videographer 1/3'' 8.5mm M380 Black</t>
  </si>
  <si>
    <t>Fabrikam Business Videographer 1/3'' 8.5mm M380 Grey</t>
  </si>
  <si>
    <t>Fabrikam Business Videographer 1/3'' 8.5mm M380 White</t>
  </si>
  <si>
    <t>Fabrikam Business Videographer 2/3'' 17mm M280 Black</t>
  </si>
  <si>
    <t>Fabrikam Business Videographer 2/3'' 17mm M280 Grey</t>
  </si>
  <si>
    <t>Fabrikam Business Videographer 2/3'' 17mm M280 White</t>
  </si>
  <si>
    <t>Fabrikam Coffee Maker 12C M100 Black</t>
  </si>
  <si>
    <t>Fabrikam Coffee Maker 12C M100 Gold</t>
  </si>
  <si>
    <t>Fabrikam Coffee Maker 12C M100 Grey</t>
  </si>
  <si>
    <t>Fabrikam Coffee Maker 12C M100 Silver</t>
  </si>
  <si>
    <t>Fabrikam Coffee Maker 12C M100 White</t>
  </si>
  <si>
    <t>Fabrikam Coffee Maker 4C E080 Black</t>
  </si>
  <si>
    <t>Fabrikam Coffee Maker 4C E080 Grey</t>
  </si>
  <si>
    <t>Fabrikam Coffee Maker 4C E080 Silver</t>
  </si>
  <si>
    <t>Fabrikam Coffee Maker 4C E080 White</t>
  </si>
  <si>
    <t>Fabrikam Coffee Maker 5C E090 Black</t>
  </si>
  <si>
    <t>Fabrikam Coffee Maker 5C E090 Grey</t>
  </si>
  <si>
    <t>Fabrikam Coffee Maker 5C E090 Silver</t>
  </si>
  <si>
    <t>Fabrikam Coffee Maker 5C E090 White</t>
  </si>
  <si>
    <t>Fabrikam Coffee Maker Auto 10C M100 Black</t>
  </si>
  <si>
    <t>Fabrikam Coffee Maker Auto 10C M100 Grey</t>
  </si>
  <si>
    <t>Fabrikam Coffee Maker Auto 10C M100 Silver</t>
  </si>
  <si>
    <t>Fabrikam Coffee Maker Auto 10C M100 White</t>
  </si>
  <si>
    <t>Fabrikam Coffee Maker Auto 5C E090 Black</t>
  </si>
  <si>
    <t>Fabrikam Coffee Maker Auto 5C E090 Gold</t>
  </si>
  <si>
    <t>Fabrikam Coffee Maker Auto 5C E090 Grey</t>
  </si>
  <si>
    <t>Fabrikam Coffee Maker Auto 5C E090 Silver</t>
  </si>
  <si>
    <t>Fabrikam Coffee Maker Auto 5C E090 White</t>
  </si>
  <si>
    <t>Fabrikam Coffee Maker Super-Auto 12C X125 Black</t>
  </si>
  <si>
    <t>Fabrikam Coffee Maker Super-Auto 12C X125 Grey</t>
  </si>
  <si>
    <t>Fabrikam Coffee Maker Super-Auto 12C X125 Silver</t>
  </si>
  <si>
    <t>Fabrikam Coffee Maker Super-Auto 12C X125 White</t>
  </si>
  <si>
    <t>Fabrikam Home and vacation moviemaker 1'' 25mm M400 Black</t>
  </si>
  <si>
    <t>Fabrikam Home and Vacation Moviemaker 1'' 25mm M400 Grey</t>
  </si>
  <si>
    <t>Fabrikam Home and Vacation Moviemaker 1'' 25mm M400 White</t>
  </si>
  <si>
    <t>Fabrikam Home and vacation moviemaker 1/2'' 3mm M300 Black</t>
  </si>
  <si>
    <t>Fabrikam Home and Vacation Moviemaker 1/2'' 3mm M300 Grey</t>
  </si>
  <si>
    <t>Fabrikam Home and Vacation Moviemaker 1/2'' 3mm M300 White</t>
  </si>
  <si>
    <t>Fabrikam Home and vacation moviemaker 1/3'' 8.5mm M200 Black</t>
  </si>
  <si>
    <t>Fabrikam Home and Vacation Moviemaker 1/3'' 8.5mm M200 Grey</t>
  </si>
  <si>
    <t>Fabrikam Home and Vacation Moviemaker 1/3'' 8.5mm M200 White</t>
  </si>
  <si>
    <t>Fabrikam Home and vacation moviemaker 2/3'' 17mm M103 Black</t>
  </si>
  <si>
    <t>Fabrikam Home and Vacation Moviemaker 2/3'' 17mm M103 Grey</t>
  </si>
  <si>
    <t>Fabrikam Home and Vacation Moviemaker 2/3'' 17mm M103 White</t>
  </si>
  <si>
    <t>Fabrikam Independent Filmmaker 1'' 25mm X400 Black</t>
  </si>
  <si>
    <t>Fabrikam Independent Filmmaker 1'' 25mm X400 Grey</t>
  </si>
  <si>
    <t>Fabrikam Independent filmmaker 1'' 25mm X400 White</t>
  </si>
  <si>
    <t>Fabrikam Independent Filmmaker 1/2'' 3mm X300 Black</t>
  </si>
  <si>
    <t>Fabrikam Independent Filmmaker 1/2'' 3mm X300 Grey</t>
  </si>
  <si>
    <t>Fabrikam Independent filmmaker 1/2'' 3mm X300 White</t>
  </si>
  <si>
    <t>Fabrikam Independent Filmmaker 1/3'' 8.5mm X200 Black</t>
  </si>
  <si>
    <t>Fabrikam Independent Filmmaker 1/3'' 8.5mm X200 Grey</t>
  </si>
  <si>
    <t>Fabrikam Independent filmmaker 1/3'' 8.5mm X200 White</t>
  </si>
  <si>
    <t>Fabrikam Independent Filmmaker 2/3'' 17mm X100 Black</t>
  </si>
  <si>
    <t>Fabrikam Independent Filmmaker 2/3'' 17mm X100 Grey</t>
  </si>
  <si>
    <t>Fabrikam Independent filmmaker 2/3'' 17mm X100 White</t>
  </si>
  <si>
    <t>Fabrikam Laptop10.1 M0100 White</t>
  </si>
  <si>
    <t>Fabrikam Laptop10.1 M0101 Silver</t>
  </si>
  <si>
    <t>Fabrikam Laptop12 M2000 White</t>
  </si>
  <si>
    <t>Fabrikam Laptop12 M2001 Silver</t>
  </si>
  <si>
    <t>Fabrikam Laptop12 M2002 Red</t>
  </si>
  <si>
    <t>Fabrikam Laptop12W M2080 Silver</t>
  </si>
  <si>
    <t>Fabrikam Laptop13.3 M3000 Red</t>
  </si>
  <si>
    <t>Fabrikam Laptop13.3W M3080 Red</t>
  </si>
  <si>
    <t>Fabrikam Laptop14.1 E4101 Red</t>
  </si>
  <si>
    <t>Fabrikam Laptop14.1 M4100 White</t>
  </si>
  <si>
    <t>Fabrikam Laptop14.1W M4180 Red</t>
  </si>
  <si>
    <t>Fabrikam Laptop15 M5000 White</t>
  </si>
  <si>
    <t>Fabrikam Laptop15.4 M5400 White</t>
  </si>
  <si>
    <t>Fabrikam Laptop15.4W M5480 White</t>
  </si>
  <si>
    <t>Fabrikam Laptop16 M6000 Black</t>
  </si>
  <si>
    <t>Fabrikam Laptop16W M6080 Black</t>
  </si>
  <si>
    <t>Fabrikam Laptop17 M7000 Black</t>
  </si>
  <si>
    <t>Fabrikam Laptop17W M7080 Black</t>
  </si>
  <si>
    <t>Fabrikam Laptop19 M9000 Black</t>
  </si>
  <si>
    <t>Fabrikam Laptop19W M9800 Black</t>
  </si>
  <si>
    <t>Fabrikam Laptop8.9 E0800 Silver</t>
  </si>
  <si>
    <t>Fabrikam Laptop8.9 E8002 Red</t>
  </si>
  <si>
    <t>Fabrikam Laptop8.9 M0801 Silver</t>
  </si>
  <si>
    <t>Fabrikam Laptop8.9W E0880 Silver</t>
  </si>
  <si>
    <t>Fabrikam Microwave 0.8CuFt E0800 Black</t>
  </si>
  <si>
    <t>Fabrikam Microwave 0.8CuFt E0800 Blue</t>
  </si>
  <si>
    <t>Fabrikam Microwave 0.8CuFt E0800 Grey</t>
  </si>
  <si>
    <t>Fabrikam Microwave 0.8CuFt E0800 Red</t>
  </si>
  <si>
    <t>Fabrikam Microwave 0.8CuFt E0800 Silver</t>
  </si>
  <si>
    <t>Fabrikam Microwave 0.8CuFt E0800 White</t>
  </si>
  <si>
    <t>Fabrikam Microwave 0.9CuFt E0900 Black</t>
  </si>
  <si>
    <t>Fabrikam Microwave 0.9CuFt E0900 Blue</t>
  </si>
  <si>
    <t>Fabrikam Microwave 0.9CuFt E0900 Grey</t>
  </si>
  <si>
    <t>Fabrikam Microwave 0.9CuFt E0900 Red</t>
  </si>
  <si>
    <t>Fabrikam Microwave 0.9CuFt E0900 Silver</t>
  </si>
  <si>
    <t>Fabrikam Microwave 0.9CuFt E0900 White</t>
  </si>
  <si>
    <t>Fabrikam Microwave 1.0CuFt E1100 Black</t>
  </si>
  <si>
    <t>Fabrikam Microwave 1.0CuFt E1100 Blue</t>
  </si>
  <si>
    <t>Fabrikam Microwave 1.0CuFt E1100 Grey</t>
  </si>
  <si>
    <t>Fabrikam Microwave 1.0CuFt E1100 Red</t>
  </si>
  <si>
    <t>Fabrikam Microwave 1.0CuFt E1100 Silver</t>
  </si>
  <si>
    <t>Fabrikam Microwave 1.0CuFt E1100 White</t>
  </si>
  <si>
    <t>Fabrikam Microwave 1.5CuFt X1100 Black</t>
  </si>
  <si>
    <t>Fabrikam Microwave 1.5CuFt X1100 Blue</t>
  </si>
  <si>
    <t>Fabrikam Microwave 1.5CuFt X1100 Grey</t>
  </si>
  <si>
    <t>Fabrikam Microwave 1.5CuFt X1100 Red</t>
  </si>
  <si>
    <t>Fabrikam Microwave 1.5CuFt X1100 Silver</t>
  </si>
  <si>
    <t>Fabrikam Microwave 1.5CuFt X1100 White</t>
  </si>
  <si>
    <t>Fabrikam Microwave 1.6CuFt M1250 Black</t>
  </si>
  <si>
    <t>Fabrikam Microwave 1.6CuFt M1250 Blue</t>
  </si>
  <si>
    <t>Fabrikam Microwave 1.6CuFt M1250 Grey</t>
  </si>
  <si>
    <t>Fabrikam Microwave 1.6CuFt M1250 Red</t>
  </si>
  <si>
    <t>Fabrikam Microwave 1.6CuFt M1250 Silver</t>
  </si>
  <si>
    <t>Fabrikam Microwave 1.6CuFt M1250 White</t>
  </si>
  <si>
    <t>Fabrikam Microwave 2.2CuFt M1250 Black</t>
  </si>
  <si>
    <t>Fabrikam Microwave 2.2CuFt M1250 Blue</t>
  </si>
  <si>
    <t>Fabrikam Microwave 2.2CuFt M1250 Grey</t>
  </si>
  <si>
    <t>Fabrikam Microwave 2.2CuFt M1250 Red</t>
  </si>
  <si>
    <t>Fabrikam Microwave 2.2CuFt M1250 Silver</t>
  </si>
  <si>
    <t>Fabrikam Microwave 2.2CuFt M1250 White</t>
  </si>
  <si>
    <t>Fabrikam Refrigerator 1.7CuFt E1200 Blue</t>
  </si>
  <si>
    <t>Fabrikam Refrigerator 1.7CuFt E1200 Brown</t>
  </si>
  <si>
    <t>Fabrikam Refrigerator 1.7CuFt E1200 Green</t>
  </si>
  <si>
    <t>Fabrikam Refrigerator 1.7CuFt E1200 Grey</t>
  </si>
  <si>
    <t>Fabrikam Refrigerator 1.7CuFt E1200 Orange</t>
  </si>
  <si>
    <t>Fabrikam Refrigerator 1.7CuFt E1200 Silver</t>
  </si>
  <si>
    <t>Fabrikam Refrigerator 1.7CuFt E1200 White</t>
  </si>
  <si>
    <t>Fabrikam Refrigerator 19CuFt M7600 Blue</t>
  </si>
  <si>
    <t>Fabrikam Refrigerator 19CuFt M7600 Brown</t>
  </si>
  <si>
    <t>Fabrikam Refrigerator 19CuFt M7600 Green</t>
  </si>
  <si>
    <t>Fabrikam Refrigerator 19CuFt M7600 Grey</t>
  </si>
  <si>
    <t>Fabrikam Refrigerator 19CuFt M7600 Orange</t>
  </si>
  <si>
    <t>Fabrikam Refrigerator 19CuFt M7600 Silver</t>
  </si>
  <si>
    <t>Fabrikam Refrigerator 19CuFt M7600 White</t>
  </si>
  <si>
    <t>Fabrikam Refrigerator 3.2CuFt E1600 Blue</t>
  </si>
  <si>
    <t>Fabrikam Refrigerator 3.2CuFt E1600 Brown</t>
  </si>
  <si>
    <t>Fabrikam Refrigerator 3.2CuFt E1600 Green</t>
  </si>
  <si>
    <t>Fabrikam Refrigerator 3.2CuFt E1600 Grey</t>
  </si>
  <si>
    <t>Fabrikam Refrigerator 3.2CuFt E1600 Orange</t>
  </si>
  <si>
    <t>Fabrikam Refrigerator 3.2CuFt E1600 Silver</t>
  </si>
  <si>
    <t>Fabrikam Refrigerator 3.2CuFt E1600 White</t>
  </si>
  <si>
    <t>Fabrikam Refrigerator 4.6CuFt E2800 Blue</t>
  </si>
  <si>
    <t>Fabrikam Refrigerator 4.6CuFt E2800 Brown</t>
  </si>
  <si>
    <t>Fabrikam Refrigerator 4.6CuFt E2800 Green</t>
  </si>
  <si>
    <t>Fabrikam Refrigerator 4.6CuFt E2800 Grey</t>
  </si>
  <si>
    <t>Fabrikam Refrigerator 4.6CuFt E2800 Orange</t>
  </si>
  <si>
    <t>Fabrikam Refrigerator 4.6CuFt E2800 Silver</t>
  </si>
  <si>
    <t>Fabrikam Refrigerator 4.6CuFt E2800 White</t>
  </si>
  <si>
    <t>Fabrikam Refrigerator 9.7CuFt M5600 Blue</t>
  </si>
  <si>
    <t>Fabrikam Refrigerator 9.7CuFt M5600 Brown</t>
  </si>
  <si>
    <t>Fabrikam Refrigerator 9.7CuFt M5600 Green</t>
  </si>
  <si>
    <t>Fabrikam Refrigerator 9.7CuFt M5600 Grey</t>
  </si>
  <si>
    <t>Fabrikam Refrigerator 9.7CuFt M5600 Orange</t>
  </si>
  <si>
    <t>Fabrikam Refrigerator 9.7CuFt M5600 Silver</t>
  </si>
  <si>
    <t>Fabrikam Refrigerator 9.7CuFt M5600 White</t>
  </si>
  <si>
    <t>Fabrikam SLR Camera 35" M358 Black</t>
  </si>
  <si>
    <t>Fabrikam SLR Camera 35" M358 Blue</t>
  </si>
  <si>
    <t>Fabrikam SLR Camera 35" M358 Gold</t>
  </si>
  <si>
    <t>Fabrikam SLR Camera 35" M358 Green</t>
  </si>
  <si>
    <t>Fabrikam SLR Camera 35" M358 Grey</t>
  </si>
  <si>
    <t>Fabrikam SLR Camera 35" M358 Orange</t>
  </si>
  <si>
    <t>Fabrikam SLR Camera 35" M358 Pink</t>
  </si>
  <si>
    <t>Fabrikam SLR Camera 35" M358 Silver</t>
  </si>
  <si>
    <t>Fabrikam SLR Camera 35" M358 Silver Grey</t>
  </si>
  <si>
    <t>Fabrikam SLR Camera 35" X358 Black</t>
  </si>
  <si>
    <t>Fabrikam SLR Camera 35" X358 Blue</t>
  </si>
  <si>
    <t>Fabrikam SLR Camera 35" X358 Gold</t>
  </si>
  <si>
    <t>Fabrikam SLR Camera 35" X358 Green</t>
  </si>
  <si>
    <t>Fabrikam SLR Camera 35" X358 Grey</t>
  </si>
  <si>
    <t>Fabrikam SLR Camera 35" X358 Orange</t>
  </si>
  <si>
    <t>Fabrikam SLR Camera 35" X358 Pink</t>
  </si>
  <si>
    <t>Fabrikam SLR Camera 35" X358 Silver</t>
  </si>
  <si>
    <t>Fabrikam SLR Camera 35" X358 Silver Grey</t>
  </si>
  <si>
    <t>Fabrikam SLR Camera M146 Black</t>
  </si>
  <si>
    <t>Fabrikam SLR Camera M147 Grey</t>
  </si>
  <si>
    <t>Fabrikam SLR Camera M147 Silver</t>
  </si>
  <si>
    <t>Fabrikam SLR Camera M148 Silver Grey</t>
  </si>
  <si>
    <t>Fabrikam SLR Camera M149 Blue</t>
  </si>
  <si>
    <t>Fabrikam SLR Camera M149 Pink</t>
  </si>
  <si>
    <t>Fabrikam SLR Camera M150 Green</t>
  </si>
  <si>
    <t>Fabrikam SLR Camera M150 Orange</t>
  </si>
  <si>
    <t>Fabrikam SLR Camera X146 Black</t>
  </si>
  <si>
    <t>Fabrikam SLR Camera X147 Grey</t>
  </si>
  <si>
    <t>Fabrikam SLR Camera X147 Silver</t>
  </si>
  <si>
    <t>Fabrikam SLR Camera X148 Gold</t>
  </si>
  <si>
    <t>Fabrikam SLR Camera X148 Silver Grey</t>
  </si>
  <si>
    <t>Fabrikam SLR Camera X149 Blue</t>
  </si>
  <si>
    <t>Fabrikam SLR Camera X149 Pink</t>
  </si>
  <si>
    <t>Fabrikam SLR Camera X150 Green</t>
  </si>
  <si>
    <t>Fabrikam SLR Camera X150 Orange</t>
  </si>
  <si>
    <t>Fabrikam Social videographer 1'' 25mm E400 Black</t>
  </si>
  <si>
    <t>Fabrikam Social Videographer 1'' 25mm E400 Grey</t>
  </si>
  <si>
    <t>Fabrikam Social Videographer 1'' 25mm E400 White</t>
  </si>
  <si>
    <t>Fabrikam Social Videographer 1/2'' 3mm E300 Black</t>
  </si>
  <si>
    <t>Fabrikam Social Videographer 1/2'' 3mm E300 Grey</t>
  </si>
  <si>
    <t>Fabrikam Social Videographer 1/2'' 3mm E300 White</t>
  </si>
  <si>
    <t>Fabrikam Social Videographer 1/3'' 8.5mm E200 Black</t>
  </si>
  <si>
    <t>Fabrikam Social Videographer 1/3'' 8.5mm E200 Grey</t>
  </si>
  <si>
    <t>Fabrikam Social Videographer 1/3'' 8.5mm E200 White</t>
  </si>
  <si>
    <t>Fabrikam Social Videographer 2/3'' 17mm E100 Black</t>
  </si>
  <si>
    <t>Fabrikam Social Videographer 2/3'' 17mm E100 Grey</t>
  </si>
  <si>
    <t>Fabrikam Social Videographer 2/3'' 17mm E100 White</t>
  </si>
  <si>
    <t>Fabrikam Trendsetter 1'' 25mm X400 Black</t>
  </si>
  <si>
    <t>Fabrikam Trendsetter 1'' 25mm X400 Grey</t>
  </si>
  <si>
    <t>Fabrikam Trendsetter 1'' 25mm X400 White</t>
  </si>
  <si>
    <t>Fabrikam Trendsetter 1/2'' 3mm X300 Black</t>
  </si>
  <si>
    <t>Fabrikam Trendsetter 1/2'' 3mm X300 Grey</t>
  </si>
  <si>
    <t>Fabrikam Trendsetter 1/2'' 3mm X300 White</t>
  </si>
  <si>
    <t>Fabrikam Trendsetter 1/3'' 8.5mm X200 Black</t>
  </si>
  <si>
    <t>Fabrikam Trendsetter 1/3'' 8.5mm X200 Grey</t>
  </si>
  <si>
    <t>Fabrikam Trendsetter 1/3'' 8.5mm X200 White</t>
  </si>
  <si>
    <t>Fabrikam Trendsetter 2/3'' 17mm X100 Black</t>
  </si>
  <si>
    <t>Fabrikam Trendsetter 2/3'' 17mm X100 Grey</t>
  </si>
  <si>
    <t>Fabrikam Trendsetter 2/3'' 17mm X100 White</t>
  </si>
  <si>
    <t>Headphone Adapter for Contoso Phone E130 Black</t>
  </si>
  <si>
    <t>Headphone Adapter for Contoso Phone E130 Silver</t>
  </si>
  <si>
    <t>Headphone Adapter for Contoso Phone E130 White</t>
  </si>
  <si>
    <t>Litware 120mm Blue LED Case Fan E901 Black</t>
  </si>
  <si>
    <t>Litware 120mm Blue LED Case Fan E901 blue</t>
  </si>
  <si>
    <t>Litware 120mm Blue LED Case Fan E901 Grey</t>
  </si>
  <si>
    <t>Litware 120mm Blue LED Case Fan E901 White</t>
  </si>
  <si>
    <t>Litware 14" High Velocity Floor Fan E801 Black</t>
  </si>
  <si>
    <t>Litware 14" High Velocity Floor Fan E801 Pink</t>
  </si>
  <si>
    <t>Litware 14" High Velocity Floor Fan E801 Silver</t>
  </si>
  <si>
    <t>Litware 14" High Velocity Floor Fan E801 White</t>
  </si>
  <si>
    <t>Litware 16" White Oscillating Stand Fan E701 Black</t>
  </si>
  <si>
    <t>Litware 16" White Oscillating Stand Fan E701 Grey</t>
  </si>
  <si>
    <t>Litware 16" White Oscillating Stand Fan E701 Silver</t>
  </si>
  <si>
    <t>Litware 16" White Oscillating Stand Fan E701 White</t>
  </si>
  <si>
    <t>Litware 17'' Oscillating Pedestal Fan M125 Blue</t>
  </si>
  <si>
    <t>Litware 17'' Oscillating Pedestal Fan M125 Pink</t>
  </si>
  <si>
    <t>Litware 17'' Oscillating Pedestal Fan M125 White</t>
  </si>
  <si>
    <t>Litware 17'' Oscillating Pedestal Fan M125 Yellow</t>
  </si>
  <si>
    <t>Litware 18'' Adjustable Oscillating Pedestal Fan E301 Black</t>
  </si>
  <si>
    <t>Litware 18'' Adjustable Oscillating Pedestal Fan E301 Silver</t>
  </si>
  <si>
    <t>Litware 18'' Adjustable Oscillating Pedestal Fan E301 White</t>
  </si>
  <si>
    <t>Litware 18'' Oscillating Pedestal Fan M145 Blue</t>
  </si>
  <si>
    <t>Litware 18'' Oscillating Pedestal Fan M145 Pink</t>
  </si>
  <si>
    <t>Litware 18'' Oscillating Pedestal Fan M145 White</t>
  </si>
  <si>
    <t>Litware 18'' Oscillating Pedestal Fan M145 Yellow</t>
  </si>
  <si>
    <t>Litware 20'' Box Fan E401 Black</t>
  </si>
  <si>
    <t>Litware 20'' Box Fan E401 Blue</t>
  </si>
  <si>
    <t>Litware 20'' Box Fan E401 White</t>
  </si>
  <si>
    <t>Litware 20'' Box Fan E401 Yellow</t>
  </si>
  <si>
    <t>Litware 20'' Weather-Shield Performance Box Fan E1601 Black</t>
  </si>
  <si>
    <t>Litware 20'' Weather-Shield Performance Box Fan E1601 Orange</t>
  </si>
  <si>
    <t>Litware 20'' Weather-Shield Performance Box Fan E1601 White</t>
  </si>
  <si>
    <t>Litware 20'' Weather-Shield Performance Box Fan E1601 Yellow</t>
  </si>
  <si>
    <t>Litware 3-Speed Oscillating Blower Fan M115 Black</t>
  </si>
  <si>
    <t>Litware 3-Speed Oscillating Blower Fan M115 Silver</t>
  </si>
  <si>
    <t>Litware 3-Speed Oscillating Blower Fan M115 White</t>
  </si>
  <si>
    <t>Litware 3-Speed Oscillating High-Performance Fan E201 Black</t>
  </si>
  <si>
    <t>Litware 3-Speed Oscillating High-Performance Fan E201 Silver</t>
  </si>
  <si>
    <t>Litware 3-Speed Oscillating High-Performance Fan E201 White</t>
  </si>
  <si>
    <t>Litware 80mm Dual Ball Bearing Case Fan E1001 Black</t>
  </si>
  <si>
    <t>Litware 80mm Dual Ball Bearing Case Fan E1001 Green</t>
  </si>
  <si>
    <t>Litware 80mm Dual Ball Bearing Case Fan E1001 Pink</t>
  </si>
  <si>
    <t>Litware 80mm Dual Ball Bearing Case Fan E1001 White</t>
  </si>
  <si>
    <t>Litware 80mm LED Dual PCI Slot Fan E1501 Blue</t>
  </si>
  <si>
    <t>Litware 80mm LED Dual PCI Slot Fan E1501 Pink</t>
  </si>
  <si>
    <t>Litware 80mm LED Dual PCI Slot Fan E1501 Red</t>
  </si>
  <si>
    <t>Litware 80mm LED Dual PCI Slot Fan E1501 White</t>
  </si>
  <si>
    <t>Litware 80mm LED Dual PCI Slot Fan E1501 Yellow</t>
  </si>
  <si>
    <t>Litware 92mm DBB Case Fan E1101 Black</t>
  </si>
  <si>
    <t>Litware 92mm DBB Case Fan E1101 Grey</t>
  </si>
  <si>
    <t>Litware 92mm DBB Case Fan E1101 Silver</t>
  </si>
  <si>
    <t>Litware 92mm DBB Case Fan E1101 White</t>
  </si>
  <si>
    <t>Litware Chandelier M6015 Black</t>
  </si>
  <si>
    <t>Litware Chandelier M6015 Blue</t>
  </si>
  <si>
    <t>Litware Chandelier M6015 Grey</t>
  </si>
  <si>
    <t>Litware Chandelier M6015 Silver</t>
  </si>
  <si>
    <t>Litware Chandelier M6015 White</t>
  </si>
  <si>
    <t>Litware Chandelier M8015 Black</t>
  </si>
  <si>
    <t>Litware Chandelier M8015 Blue</t>
  </si>
  <si>
    <t>Litware Chandelier M8015 Grey</t>
  </si>
  <si>
    <t>Litware Chandelier M8015 Silver</t>
  </si>
  <si>
    <t>Litware Chandelier M8015 White</t>
  </si>
  <si>
    <t>Litware Desk Lamp E1020 Black</t>
  </si>
  <si>
    <t>Litware Desk Lamp E1020 Grey</t>
  </si>
  <si>
    <t>Litware Desk Lamp E1020 Silver</t>
  </si>
  <si>
    <t>Litware Desk Lamp E1020 White</t>
  </si>
  <si>
    <t>Litware Desk Lamp E1030 Black</t>
  </si>
  <si>
    <t>Litware Desk Lamp E1030 Grey</t>
  </si>
  <si>
    <t>Litware Desk Lamp E1030 Silver</t>
  </si>
  <si>
    <t>Litware Desk Lamp E1030 White</t>
  </si>
  <si>
    <t>Litware Desktop Wind Tower Oscillating Fan E1201 Black</t>
  </si>
  <si>
    <t>Litware Desktop Wind Tower Oscillating Fan E1201 Brown</t>
  </si>
  <si>
    <t>Litware Desktop Wind Tower Oscillating Fan E1201 Purple</t>
  </si>
  <si>
    <t>Litware Desktop Wind Tower Oscillating Fan E1201 White</t>
  </si>
  <si>
    <t>Litware Floor Lamp M2015 Black</t>
  </si>
  <si>
    <t>Litware Floor Lamp M2015 Blue</t>
  </si>
  <si>
    <t>Litware Floor Lamp M2015 Grey</t>
  </si>
  <si>
    <t>Litware Floor Lamp M2015 Silver</t>
  </si>
  <si>
    <t>Litware Floor Lamp M2015 White</t>
  </si>
  <si>
    <t>Litware Floor Lamp X1015 Black</t>
  </si>
  <si>
    <t>Litware Floor Lamp X1015 Blue</t>
  </si>
  <si>
    <t>Litware Floor Lamp X1015 Grey</t>
  </si>
  <si>
    <t>Litware Floor Lamp X1015 Silver</t>
  </si>
  <si>
    <t>Litware Floor Lamp X1015 White</t>
  </si>
  <si>
    <t>Litware Home Theater System 2.1 Channel E210 Black</t>
  </si>
  <si>
    <t>Litware Home Theater System 2.1 Channel E210 Brown</t>
  </si>
  <si>
    <t>Litware Home Theater System 2.1 Channel E210 Silver</t>
  </si>
  <si>
    <t>Litware Home Theater System 2.1 Channel E211 Black</t>
  </si>
  <si>
    <t>Litware Home Theater System 2.1 Channel E211 Brown</t>
  </si>
  <si>
    <t>Litware Home Theater System 2.1 Channel E211 Silver</t>
  </si>
  <si>
    <t>Litware Home Theater System 2.1 Channel E212 Black</t>
  </si>
  <si>
    <t>Litware Home Theater System 2.1 Channel E212 Brown</t>
  </si>
  <si>
    <t>Litware Home Theater System 2.1 Channel E212 Silver</t>
  </si>
  <si>
    <t>Litware Home Theater System 4.1 Channel M410 Black</t>
  </si>
  <si>
    <t>Litware Home Theater System 4.1 Channel M410 Brown</t>
  </si>
  <si>
    <t>Litware Home Theater System 4.1 Channel M410 Silver</t>
  </si>
  <si>
    <t>Litware Home Theater System 4.1 Channel M412 Black</t>
  </si>
  <si>
    <t>Litware Home Theater System 4.1 Channel M412 Brown</t>
  </si>
  <si>
    <t>Litware Home Theater System 4.1 Channel M412 Silver</t>
  </si>
  <si>
    <t>Litware Home Theater System 4.1 Channel M413 Black</t>
  </si>
  <si>
    <t>Litware Home Theater System 4.1 Channel M413 Brown</t>
  </si>
  <si>
    <t>Litware Home Theater System 4.1 Channel M413 Silver</t>
  </si>
  <si>
    <t>Litware Home Theater System 5.1 Channel M510 Black</t>
  </si>
  <si>
    <t>Litware Home Theater System 5.1 Channel M510 Brown</t>
  </si>
  <si>
    <t>Litware Home Theater System 5.1 Channel M510 Silver</t>
  </si>
  <si>
    <t>Litware Home Theater System 5.1 Channel M511 Black</t>
  </si>
  <si>
    <t>Litware Home Theater System 5.1 Channel M511 Brown</t>
  </si>
  <si>
    <t>Litware Home Theater System 5.1 Channel M511 Silver</t>
  </si>
  <si>
    <t>Litware Home Theater System 5.1 Channel M512 Black</t>
  </si>
  <si>
    <t>Litware Home Theater System 5.1 Channel M512 Brown</t>
  </si>
  <si>
    <t>Litware Home Theater System 5.1 Channel M512 Silver</t>
  </si>
  <si>
    <t>Litware Home Theater System 5.1 Channel M513 Black</t>
  </si>
  <si>
    <t>Litware Home Theater System 5.1 Channel M513 Brown</t>
  </si>
  <si>
    <t>Litware Home Theater System 5.1 Channel M513 Silver</t>
  </si>
  <si>
    <t>Litware Home Theater System 5.1 Channel M514 Black</t>
  </si>
  <si>
    <t>Litware Home Theater System 5.1 Channel M514 Brown</t>
  </si>
  <si>
    <t>Litware Home Theater System 5.1 Channel M514 Silver</t>
  </si>
  <si>
    <t>Litware Home Theater System 5.1 Channel M515 Black</t>
  </si>
  <si>
    <t>Litware Home Theater System 5.1 Channel M515 Brown</t>
  </si>
  <si>
    <t>Litware Home Theater System 5.1 Channel M515 Silver</t>
  </si>
  <si>
    <t>Litware Home Theater System 5.1 Channel M516 Black</t>
  </si>
  <si>
    <t>Litware Home Theater System 5.1 Channel M516 Brown</t>
  </si>
  <si>
    <t>Litware Home Theater System 5.1 Channel M516 Silver</t>
  </si>
  <si>
    <t>Litware Home Theater System 7.1 Channel M710 Black</t>
  </si>
  <si>
    <t>Litware Home Theater System 7.1 Channel M710 Brown</t>
  </si>
  <si>
    <t>Litware Home Theater System 7.1 Channel M710 Silver</t>
  </si>
  <si>
    <t>Litware Microwave 0.8CuFt E080 Black</t>
  </si>
  <si>
    <t>Litware Microwave 0.8CuFt E080 Blue</t>
  </si>
  <si>
    <t>Litware Microwave 0.8CuFt E080 Grey</t>
  </si>
  <si>
    <t>Litware Microwave 0.8CuFt E080 Red</t>
  </si>
  <si>
    <t>Litware Microwave 0.8CuFt E080 Silver</t>
  </si>
  <si>
    <t>Litware Microwave 0.8CuFt E080 White</t>
  </si>
  <si>
    <t>Litware Microwave 0.9CuFt E090 Black</t>
  </si>
  <si>
    <t>Litware Microwave 0.9CuFt E090 Blue</t>
  </si>
  <si>
    <t>Litware Microwave 0.9CuFt E090 Grey</t>
  </si>
  <si>
    <t>Litware Microwave 0.9CuFt E090 Red</t>
  </si>
  <si>
    <t>Litware Microwave 0.9CuFt E090 Silver</t>
  </si>
  <si>
    <t>Litware Microwave 0.9CuFt E090 White</t>
  </si>
  <si>
    <t>Litware Microwave 1.0CuFt E110 Black</t>
  </si>
  <si>
    <t>Litware Microwave 1.0CuFt E110 Blue</t>
  </si>
  <si>
    <t>Litware Microwave 1.0CuFt E110 Grey</t>
  </si>
  <si>
    <t>Litware Microwave 1.0CuFt E110 Red</t>
  </si>
  <si>
    <t>Litware Microwave 1.0CuFt E110 Silver</t>
  </si>
  <si>
    <t>Litware Microwave 1.0CuFt E110 White</t>
  </si>
  <si>
    <t>Litware Microwave 1.5CuFt X110 Black</t>
  </si>
  <si>
    <t>Litware Microwave 1.5CuFt X110 Blue</t>
  </si>
  <si>
    <t>Litware Microwave 1.5CuFt X110 Grey</t>
  </si>
  <si>
    <t>Litware Microwave 1.5CuFt X110 Red</t>
  </si>
  <si>
    <t>Litware Microwave 1.5CuFt X110 Silver</t>
  </si>
  <si>
    <t>Litware Microwave 1.5CuFt X110 White</t>
  </si>
  <si>
    <t>Litware Microwave 1.6CuFt M125 Black</t>
  </si>
  <si>
    <t>Litware Microwave 1.6CuFt M125 Blue</t>
  </si>
  <si>
    <t>Litware Microwave 1.6CuFt M125 Grey</t>
  </si>
  <si>
    <t>Litware Microwave 1.6CuFt M125 Red</t>
  </si>
  <si>
    <t>Litware Microwave 1.6CuFt M125 Silver</t>
  </si>
  <si>
    <t>Litware Microwave 1.6CuFt M125 White</t>
  </si>
  <si>
    <t>Litware Microwave 2.2CuFt M125 Black</t>
  </si>
  <si>
    <t>Litware Microwave 2.2CuFt M125 Blue</t>
  </si>
  <si>
    <t>Litware Microwave 2.2CuFt M125 Grey</t>
  </si>
  <si>
    <t>Litware Microwave 2.2CuFt M125 Red</t>
  </si>
  <si>
    <t>Litware Microwave 2.2CuFt M125 Silver</t>
  </si>
  <si>
    <t>Litware Microwave 2.2CuFt M125 White</t>
  </si>
  <si>
    <t>Litware Mobile Fan External USB Cooling Fan E601 Black</t>
  </si>
  <si>
    <t>Litware Mobile Fan External USB Cooling Fan E601 Pink</t>
  </si>
  <si>
    <t>Litware Mobile Fan External USB Cooling Fan E601 Silver</t>
  </si>
  <si>
    <t>Litware Mobile Fan External USB Cooling Fan E601 White</t>
  </si>
  <si>
    <t>Litware Refrigerator 1.7CuFt E120 Blue</t>
  </si>
  <si>
    <t>Litware Refrigerator 1.7CuFt E120 Brown</t>
  </si>
  <si>
    <t>Litware Refrigerator 1.7CuFt E120 Green</t>
  </si>
  <si>
    <t>Litware Refrigerator 1.7CuFt E120 Grey</t>
  </si>
  <si>
    <t>Litware Refrigerator 1.7CuFt E120 Orange</t>
  </si>
  <si>
    <t>Litware Refrigerator 1.7CuFt E120 Silver</t>
  </si>
  <si>
    <t>Litware Refrigerator 1.7CuFt E120 White</t>
  </si>
  <si>
    <t>Litware Refrigerator 19CuFt M760 Blue</t>
  </si>
  <si>
    <t>Litware Refrigerator 19CuFt M760 Brown</t>
  </si>
  <si>
    <t>Litware Refrigerator 19CuFt M760 Green</t>
  </si>
  <si>
    <t>Litware Refrigerator 19CuFt M760 Grey</t>
  </si>
  <si>
    <t>Litware Refrigerator 19CuFt M760 Orange</t>
  </si>
  <si>
    <t>Litware Refrigerator 19CuFt M760 Red</t>
  </si>
  <si>
    <t>Litware Refrigerator 19CuFt M760 Silver</t>
  </si>
  <si>
    <t>Litware Refrigerator 19CuFt M760 White</t>
  </si>
  <si>
    <t>Litware Refrigerator 24.7CuFt X980 Blue</t>
  </si>
  <si>
    <t>Litware Refrigerator 24.7CuFt X980 Brown</t>
  </si>
  <si>
    <t>Litware Refrigerator 24.7CuFt X980 Green</t>
  </si>
  <si>
    <t>Litware Refrigerator 24.7CuFt X980 Grey</t>
  </si>
  <si>
    <t>Litware Refrigerator 24.7CuFt X980 Silver</t>
  </si>
  <si>
    <t>Litware Refrigerator 24.7CuFt X980 White</t>
  </si>
  <si>
    <t>Litware Refrigerator 3.2CuFt E160 Blue</t>
  </si>
  <si>
    <t>Litware Refrigerator 3.2CuFt E160 Brown</t>
  </si>
  <si>
    <t>Litware Refrigerator 3.2CuFt E160 Green</t>
  </si>
  <si>
    <t>Litware Refrigerator 3.2CuFt E160 Grey</t>
  </si>
  <si>
    <t>Litware Refrigerator 3.2CuFt E160 Orange</t>
  </si>
  <si>
    <t>Litware Refrigerator 3.2CuFt E160 Silver</t>
  </si>
  <si>
    <t>Litware Refrigerator 3.2CuFt E160 White</t>
  </si>
  <si>
    <t>Litware Refrigerator 4.6CuFt E280 Blue</t>
  </si>
  <si>
    <t>Litware Refrigerator 4.6CuFt E280 Brown</t>
  </si>
  <si>
    <t>Litware Refrigerator 4.6CuFt E280 Green</t>
  </si>
  <si>
    <t>Litware Refrigerator 4.6CuFt E280 Grey</t>
  </si>
  <si>
    <t>Litware Refrigerator 4.6CuFt E280 Orange</t>
  </si>
  <si>
    <t>Litware Refrigerator 4.6CuFt E280 Silver</t>
  </si>
  <si>
    <t>Litware Refrigerator 4.6CuFt E280 White</t>
  </si>
  <si>
    <t>Litware Refrigerator 9.7CuFt M560 Blue</t>
  </si>
  <si>
    <t>Litware Refrigerator 9.7CuFt M560 Brown</t>
  </si>
  <si>
    <t>Litware Refrigerator 9.7CuFt M560 Green</t>
  </si>
  <si>
    <t>Litware Refrigerator 9.7CuFt M560 Grey</t>
  </si>
  <si>
    <t>Litware Refrigerator 9.7CuFt M560 Orange</t>
  </si>
  <si>
    <t>Litware Refrigerator 9.7CuFt M560 Red</t>
  </si>
  <si>
    <t>Litware Refrigerator 9.7CuFt M560 Silver</t>
  </si>
  <si>
    <t>Litware Refrigerator 9.7CuFt M560 White</t>
  </si>
  <si>
    <t>Litware Tower Fan E501 Black</t>
  </si>
  <si>
    <t>Litware Tower Fan E501 Silver</t>
  </si>
  <si>
    <t>Litware Tower Fan E501 White</t>
  </si>
  <si>
    <t>Litware Tower Fan E501 Yellow</t>
  </si>
  <si>
    <t>Litware USB Durable Desk Soft Fan E1401 Black</t>
  </si>
  <si>
    <t>Litware USB Durable Desk Soft Fan E1401 Blue</t>
  </si>
  <si>
    <t>Litware USB Durable Desk Soft Fan E1401 Red</t>
  </si>
  <si>
    <t>Litware USB Durable Desk Soft Fan E1401 White</t>
  </si>
  <si>
    <t>Litware USB Foam Fan E1301 Black</t>
  </si>
  <si>
    <t>Litware USB Foam Fan E1301 Pink</t>
  </si>
  <si>
    <t>Litware USB Foam Fan E1301 Red</t>
  </si>
  <si>
    <t>Litware USB Foam Fan E1301 White</t>
  </si>
  <si>
    <t>Litware Wall Lamp E2015 Black</t>
  </si>
  <si>
    <t>Litware Wall Lamp E2015 Blue</t>
  </si>
  <si>
    <t>Litware Wall Lamp E2015 Grey</t>
  </si>
  <si>
    <t>Litware Wall Lamp E2015 Silver</t>
  </si>
  <si>
    <t>Litware Wall Lamp E2015 White</t>
  </si>
  <si>
    <t>Litware Wall Lamp E3015 Black</t>
  </si>
  <si>
    <t>Litware Wall Lamp E3015 Blue</t>
  </si>
  <si>
    <t>Litware Wall Lamp E3015 Grey</t>
  </si>
  <si>
    <t>Litware Wall Lamp E3015 Silver</t>
  </si>
  <si>
    <t>Litware Wall Lamp E3015 White</t>
  </si>
  <si>
    <t>Litware Washer &amp; Dryer 15.5in E150 Blue</t>
  </si>
  <si>
    <t>Litware Washer &amp; Dryer 15.5in E150 Green</t>
  </si>
  <si>
    <t>Litware Washer &amp; Dryer 15.5in E150 Silver</t>
  </si>
  <si>
    <t>Litware Washer &amp; Dryer 15.5in E150 White</t>
  </si>
  <si>
    <t>Litware Washer &amp; Dryer 21in E214 Blue</t>
  </si>
  <si>
    <t>Litware Washer &amp; Dryer 21in E214 Green</t>
  </si>
  <si>
    <t>Litware Washer &amp; Dryer 21in E214 Silver</t>
  </si>
  <si>
    <t>Litware Washer &amp; Dryer 21in E214 White</t>
  </si>
  <si>
    <t>Litware Washer &amp; Dryer 24in M260 Blue</t>
  </si>
  <si>
    <t>Litware Washer &amp; Dryer 24in M260 Green</t>
  </si>
  <si>
    <t>Litware Washer &amp; Dryer 24in M260 Silver</t>
  </si>
  <si>
    <t>Litware Washer &amp; Dryer 24in M260 White</t>
  </si>
  <si>
    <t>Litware Washer &amp; Dryer 25.5in M350 Blue</t>
  </si>
  <si>
    <t>Litware Washer &amp; Dryer 25.5in M350 Green</t>
  </si>
  <si>
    <t>Litware Washer &amp; Dryer 25.5in M350 Silver</t>
  </si>
  <si>
    <t>Litware Washer &amp; Dryer 25.5in M350 White</t>
  </si>
  <si>
    <t>Litware Washer &amp; Dryer 27in L420 Blue</t>
  </si>
  <si>
    <t>Litware Washer &amp; Dryer 27in L420 Green</t>
  </si>
  <si>
    <t>Litware Washer &amp; Dryer 27in L420 Silver</t>
  </si>
  <si>
    <t>Litware Washer &amp; Dryer 27in L420 White</t>
  </si>
  <si>
    <t>MGS Age of Empires 2008new M420</t>
  </si>
  <si>
    <t>GAMES &amp; TOYS</t>
  </si>
  <si>
    <t>MGS Age of Empires Expansion: The Rise of Rome 2009 E181</t>
  </si>
  <si>
    <t>MGS Age of Empires Expansion: The Rise of Rome X900</t>
  </si>
  <si>
    <t>MGS Age of Empires II Gold Edition E122</t>
  </si>
  <si>
    <t>MGS Age of Empires II Gold Edition2009 E172</t>
  </si>
  <si>
    <t>MGS Age of Empires II: The Age of Kings 2009 E180</t>
  </si>
  <si>
    <t>MGS Age of Empires II: The Age of Kings E126</t>
  </si>
  <si>
    <t>MGS Age of Empires II: The Conquerors Expansion 2009 E178</t>
  </si>
  <si>
    <t>MGS Age of Empires II: The Conquerors Expansion E125</t>
  </si>
  <si>
    <t>MGS Age of Empires III 2008 E139</t>
  </si>
  <si>
    <t>MGS Age of Empires III: The Asian Dynasties 2008 E126</t>
  </si>
  <si>
    <t>MGS Age of Empires III: The Asian Dynasties 2009 E127</t>
  </si>
  <si>
    <t>MGS Age of Empires III: The Asian Dynasties E106</t>
  </si>
  <si>
    <t>MGS Age of Empires III: The Asian Dynasties M180</t>
  </si>
  <si>
    <t>MGS Age of Empires III: The Asian Dynasties M190</t>
  </si>
  <si>
    <t>MGS Age of Empires III: The War Chiefs 2007 E132</t>
  </si>
  <si>
    <t>MGS Age of Empires III: The War Chiefs M240</t>
  </si>
  <si>
    <t>MGS Age of Empires, 2009 E182</t>
  </si>
  <si>
    <t>MGS Age of Mythology 2009 E158</t>
  </si>
  <si>
    <t>MGS Age of Mythology E118</t>
  </si>
  <si>
    <t>MGS Age of Mythology: Gold Edition 2009 E144</t>
  </si>
  <si>
    <t>MGS Age of Mythology: Gold Edition M310</t>
  </si>
  <si>
    <t>MGS Age of Mythology: The Titans Expansion 2009 E148</t>
  </si>
  <si>
    <t>MGS Age of Mythology: The Titans Expansion M350</t>
  </si>
  <si>
    <t>MGS Bicycle Board Games X500</t>
  </si>
  <si>
    <t>MGS Bicycle Board Games2009 E165</t>
  </si>
  <si>
    <t>MGS Bicycle Card Games X600</t>
  </si>
  <si>
    <t>MGS Bicycle Card Games2009 E166</t>
  </si>
  <si>
    <t>MGS Bicycle Casino Games X700</t>
  </si>
  <si>
    <t>MGS Bicycle Casino Games2009 E167</t>
  </si>
  <si>
    <t>MGS Classic Flight Collection X400</t>
  </si>
  <si>
    <t>MGS Classic Flight Collection2009 E164</t>
  </si>
  <si>
    <t>MGS Collector's M160</t>
  </si>
  <si>
    <t>MGS Combat Flight Simulator 2 M400</t>
  </si>
  <si>
    <t>MGS Combat Flight Simulator 2009 E159</t>
  </si>
  <si>
    <t>MGS Combat Flight Simulator 2009 E177</t>
  </si>
  <si>
    <t>MGS Combat Flight Simulator 3 E119</t>
  </si>
  <si>
    <t>MGS Dal of Honor Airborne 2008 M430</t>
  </si>
  <si>
    <t>MGS Dal of Honor Airborne M150</t>
  </si>
  <si>
    <t>MGS Dungeon 2007 E141</t>
  </si>
  <si>
    <t>MGS Dungeon Siege 2009 E163</t>
  </si>
  <si>
    <t>MGS Dungeon Siege II E105</t>
  </si>
  <si>
    <t>MGS Dungeon Siege X300</t>
  </si>
  <si>
    <t>MGS Dungeon Siege: Legends of Aranna 2009 E146</t>
  </si>
  <si>
    <t>MGS Dungeon Siege: Legends of Aranna M330</t>
  </si>
  <si>
    <t>MGS Empires Collector's 2008 M440</t>
  </si>
  <si>
    <t>MGS Fable: The Lost Chapters E107</t>
  </si>
  <si>
    <t>MGS Fable: The Lost Chapters2008 E140</t>
  </si>
  <si>
    <t>MGS Flight Simulator 2000 M410</t>
  </si>
  <si>
    <t>MGS Flight Simulator 2002 M360</t>
  </si>
  <si>
    <t>MGS Flight Simulator 2004: A Century of Flight E111</t>
  </si>
  <si>
    <t>MGS Flight Simulator 2009 E168</t>
  </si>
  <si>
    <t>MGS Flight Simulator 2009 E179</t>
  </si>
  <si>
    <t>MGS Flight Simulator 2009: A Century of Flight E151</t>
  </si>
  <si>
    <t>MGS Flight Simulator X 2008 E133</t>
  </si>
  <si>
    <t>MGS Flight Simulator X Acceleration Expansion Pack 2009 E128</t>
  </si>
  <si>
    <t>MGS Flight Simulator X Acceleration Expansion Pack M200</t>
  </si>
  <si>
    <t>MGS Flight Simulator X M250</t>
  </si>
  <si>
    <t>MGS Freelancer 2009 E153</t>
  </si>
  <si>
    <t>MGS Freelancer E113</t>
  </si>
  <si>
    <t>MGS Gears of War 2008 M450</t>
  </si>
  <si>
    <t>MGS Gears of War M170</t>
  </si>
  <si>
    <t>MGS Halo 2 for Windows Vista 2009 E130</t>
  </si>
  <si>
    <t>MGS Halo 2 for Windows Vista M220</t>
  </si>
  <si>
    <t>MGS Halo: Combat Evolved E109</t>
  </si>
  <si>
    <t>MGS Halo: Combat Evolved2009 E149</t>
  </si>
  <si>
    <t>MGS Hand Games for 12-16 boys E600 Black</t>
  </si>
  <si>
    <t>MGS Hand Games for 12-16 boys E600 Red</t>
  </si>
  <si>
    <t>MGS Hand Games for 12-16 boys E600 Silver</t>
  </si>
  <si>
    <t>MGS Hand Games for 12-16 boys E600 Yellow</t>
  </si>
  <si>
    <t>MGS Hand Games for kids E300 Black</t>
  </si>
  <si>
    <t>MGS Hand Games for kids E300 Red</t>
  </si>
  <si>
    <t>MGS Hand Games for kids E300 Silver</t>
  </si>
  <si>
    <t>MGS Hand Games for kids E300 Yellow</t>
  </si>
  <si>
    <t>MGS Hand Games for Office worker L299 Black</t>
  </si>
  <si>
    <t>MGS Hand Games for Office worker L299 Red</t>
  </si>
  <si>
    <t>MGS Hand Games for Office worker L299 Silver</t>
  </si>
  <si>
    <t>MGS Hand Games for Office worker L299 Yellow</t>
  </si>
  <si>
    <t>MGS Hand Games for students E400 Black</t>
  </si>
  <si>
    <t>MGS Hand Games for students E400 Red</t>
  </si>
  <si>
    <t>MGS Hand Games for students E400 Silver</t>
  </si>
  <si>
    <t>MGS Hand Games for students E400 Yellow</t>
  </si>
  <si>
    <t>MGS Hand Games men M300 Black</t>
  </si>
  <si>
    <t>MGS Hand Games men M300 Red</t>
  </si>
  <si>
    <t>MGS Hand Games men M300 Silver</t>
  </si>
  <si>
    <t>MGS Hand Games men M300 Yellow</t>
  </si>
  <si>
    <t>MGS Hand Games women M400 Black</t>
  </si>
  <si>
    <t>MGS Hand Games women M400 Red</t>
  </si>
  <si>
    <t>MGS Hand Games women M400 Silver</t>
  </si>
  <si>
    <t>MGS Hand Games women M400 Yellow</t>
  </si>
  <si>
    <t>MGS Impossible Creatures E114</t>
  </si>
  <si>
    <t>MGS Impossible Creatures2009 E154</t>
  </si>
  <si>
    <t>MGS King&amp; Myths: The Age Collection M340</t>
  </si>
  <si>
    <t>MGS Kings &amp; Myths: The Age Collection2009 E147</t>
  </si>
  <si>
    <t>MGS MechCollection E116</t>
  </si>
  <si>
    <t>MGS MechCollection2009 E156</t>
  </si>
  <si>
    <t>MGS MechCommander 2 E123</t>
  </si>
  <si>
    <t>MGS MechCommander 2009 E173</t>
  </si>
  <si>
    <t>MGS MechWarrior 4 Mach Packs X100</t>
  </si>
  <si>
    <t>MGS MechWarrior 4 Mach Paks2009 E161</t>
  </si>
  <si>
    <t>MGS MechWarrior 4: Knight E121</t>
  </si>
  <si>
    <t>MGS MechWarrior 4: Mercenaries E117</t>
  </si>
  <si>
    <t>MGS MechWarrior 4: Vengeance 2009 E175</t>
  </si>
  <si>
    <t>MGS MechWarrior 4: Vengeance X800</t>
  </si>
  <si>
    <t>MGS MechWarrior 4:Knight2009 E171</t>
  </si>
  <si>
    <t>MGS MechWarrior4: Mercenaries2009 E157</t>
  </si>
  <si>
    <t>MGS Racing Madness 2 M370</t>
  </si>
  <si>
    <t>MGS Racing Madness 2009 E169</t>
  </si>
  <si>
    <t>MGS RalliSport Challenge E115</t>
  </si>
  <si>
    <t>MGS RalliSport Challenge2009 E155</t>
  </si>
  <si>
    <t>MGS Return of Arcade Anniversary Edition 2009 E176</t>
  </si>
  <si>
    <t>MGS Return of Arcade Anniversary Edition M390</t>
  </si>
  <si>
    <t>MGS Rise of Nations E112</t>
  </si>
  <si>
    <t>MGS Rise of Nations: Gold Edition 2009 E143</t>
  </si>
  <si>
    <t>MGS Rise of Nations: Gold Edition M300</t>
  </si>
  <si>
    <t>MGS Rise of Nations: Rise of Legends 2008 E137</t>
  </si>
  <si>
    <t>MGS Rise of Nations: Rise of Legends M290</t>
  </si>
  <si>
    <t>MGS Rise of Nations: Thrones and Patriots M320</t>
  </si>
  <si>
    <t>MGS Rise of Nations: Thrones and Patriots2009 E145</t>
  </si>
  <si>
    <t>MGS Rise of Nations2009 E152</t>
  </si>
  <si>
    <t>MGS Shadow-run 2008 E131</t>
  </si>
  <si>
    <t>MGS Shadow-run M230</t>
  </si>
  <si>
    <t>MGS Train Simulator 2009 E174</t>
  </si>
  <si>
    <t>MGS Train Simulator E124</t>
  </si>
  <si>
    <t>MGS Zoo Tycoon 2 E108</t>
  </si>
  <si>
    <t>MGS Zoo Tycoon 2: African Adventure 2008 E136</t>
  </si>
  <si>
    <t>MGS Zoo Tycoon 2: African Adventure M280</t>
  </si>
  <si>
    <t>MGS Zoo Tycoon 2: End Range Species Expansion Pack 2008 E138</t>
  </si>
  <si>
    <t>MGS Zoo Tycoon 2: End range Species Expansion Pack E105</t>
  </si>
  <si>
    <t>MGS Zoo Tycoon 2: Extinct Animals 2008 E129</t>
  </si>
  <si>
    <t>MGS Zoo Tycoon 2: Extinct Animals M210</t>
  </si>
  <si>
    <t>MGS Zoo Tycoon 2: Marine Mania Expansion Pack M270</t>
  </si>
  <si>
    <t>MGS Zoo Tycoon 2: Zookeeper Collection 2008 E134</t>
  </si>
  <si>
    <t>MGS Zoo Tycoon 2: Zookeeper Collection M260</t>
  </si>
  <si>
    <t>MGS Zoo Tycoon 2008 E142</t>
  </si>
  <si>
    <t>MGS Zoo Tycoon Complete Collection E110</t>
  </si>
  <si>
    <t>MGS Zoo Tycoon Complete Collection2009 E150</t>
  </si>
  <si>
    <t>MGS Zoo Tycoon Dinosaur Digs X200</t>
  </si>
  <si>
    <t>MGS Zoo Tycoon Dinosaur Digs2009 E162</t>
  </si>
  <si>
    <t>MGS Zoo Tycoon M380</t>
  </si>
  <si>
    <t>MGS Zoo Tycoon Marine Mania 2009 E160</t>
  </si>
  <si>
    <t>MGS Zoo Tycoon Marine Mania E120</t>
  </si>
  <si>
    <t>MGS Zoo Tycoon2: Marine Mania Expansion Pack 2008 E135</t>
  </si>
  <si>
    <t>MGS Zoo Tycoon2009 E170</t>
  </si>
  <si>
    <t>NT Bluetooth Active Headphones E202 Black</t>
  </si>
  <si>
    <t>NT Bluetooth Active Headphones E202 Red</t>
  </si>
  <si>
    <t>NT Bluetooth Active Headphones E202 Silver</t>
  </si>
  <si>
    <t>NT Bluetooth Active Headphones E202 White</t>
  </si>
  <si>
    <t>NT Bluetooth Stereo Headphones E52 Black</t>
  </si>
  <si>
    <t>NT Bluetooth Stereo Headphones E52 Blue</t>
  </si>
  <si>
    <t>NT Bluetooth Stereo Headphones E52 Pink</t>
  </si>
  <si>
    <t>NT Bluetooth Stereo Headphones E52 Yellow</t>
  </si>
  <si>
    <t>NT Washer &amp; Dryer 15.5in E1550 Blue</t>
  </si>
  <si>
    <t>NT Washer &amp; Dryer 15.5in E1550 Green</t>
  </si>
  <si>
    <t>NT Washer &amp; Dryer 15.5in E1550 Silver</t>
  </si>
  <si>
    <t>NT Washer &amp; Dryer 15.5in E1550 White</t>
  </si>
  <si>
    <t>NT Washer &amp; Dryer 21in E2100 Blue</t>
  </si>
  <si>
    <t>NT Washer &amp; Dryer 21in E2100 Green</t>
  </si>
  <si>
    <t>NT Washer &amp; Dryer 21in E2100 Silver</t>
  </si>
  <si>
    <t>NT Washer &amp; Dryer 21in E2100 White</t>
  </si>
  <si>
    <t>NT Washer &amp; Dryer 24in M2400 Blue</t>
  </si>
  <si>
    <t>NT Washer &amp; Dryer 24in M2400 Green</t>
  </si>
  <si>
    <t>NT Washer &amp; Dryer 24in M2400 Silver</t>
  </si>
  <si>
    <t>NT Washer &amp; Dryer 24in M2400 White</t>
  </si>
  <si>
    <t>NT Washer &amp; Dryer 25.5in M2550 Blue</t>
  </si>
  <si>
    <t>NT Washer &amp; Dryer 25.5in M2550 Green</t>
  </si>
  <si>
    <t>NT Washer &amp; Dryer 25.5in M2550 Silver</t>
  </si>
  <si>
    <t>NT Washer &amp; Dryer 25.5in M2550 White</t>
  </si>
  <si>
    <t>NT Washer &amp; Dryer 27in L2700 Blue</t>
  </si>
  <si>
    <t>NT Washer &amp; Dryer 27in L2700 Green</t>
  </si>
  <si>
    <t>NT Washer &amp; Dryer 27in L2700 Silver</t>
  </si>
  <si>
    <t>NT Washer &amp; Dryer 27in L2700 White</t>
  </si>
  <si>
    <t>NT Wireless Bluetooth Stereo Headphones E102 Black</t>
  </si>
  <si>
    <t>NT Wireless Bluetooth Stereo Headphones E102 Blue</t>
  </si>
  <si>
    <t>NT Wireless Bluetooth Stereo Headphones E102 Silver</t>
  </si>
  <si>
    <t>NT Wireless Bluetooth Stereo Headphones E102 White</t>
  </si>
  <si>
    <t>NT Wireless Bluetooth Stereo Headphones E302 Black</t>
  </si>
  <si>
    <t>NT Wireless Bluetooth Stereo Headphones E302 Pink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</si>
  <si>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</si>
  <si>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</si>
  <si>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</si>
  <si>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M402 Black</t>
  </si>
  <si>
    <t>NT Wireless Bluetooth Stereo Headphones M402 Green</t>
  </si>
  <si>
    <t>NT Wireless Bluetooth Stereo Headphones M402 Purple</t>
  </si>
  <si>
    <t>NT Wireless Bluetooth Stereo Headphones M402 Red</t>
  </si>
  <si>
    <t>NT Wireless Bluetooth Stereo Headphones M402 Silver</t>
  </si>
  <si>
    <t>NT Wireless Transmitter and Bluetooth Headphones M150 Black</t>
  </si>
  <si>
    <t>NT Wireless Transmitter and Bluetooth Headphones M150 Blue</t>
  </si>
  <si>
    <t>NT Wireless Transmitter and Bluetooth Headphones M150 Green</t>
  </si>
  <si>
    <t>NT Wireless Transmitter and Bluetooth Headphones M150 Red</t>
  </si>
  <si>
    <t>NT Wireless Transmitter and Bluetooth Headphones M150 Silver</t>
  </si>
  <si>
    <t>Proseware 23ppm Laser Printer with Wireless and Wired Network Interfaces M680 Black</t>
  </si>
  <si>
    <t>Proseware 23ppm Laser Printer with Wireless and Wired Network Interfaces M680 Grey</t>
  </si>
  <si>
    <t>Proseware 23ppm Laser Printer with Wireless and Wired Network Interfaces M680 White</t>
  </si>
  <si>
    <t>Proseware Air conditioner 10000BTU M490 Grey</t>
  </si>
  <si>
    <t>Proseware Air conditioner 10000BTU M490 Red</t>
  </si>
  <si>
    <t>Proseware Air conditioner 10000BTU M490 Silver</t>
  </si>
  <si>
    <t>Proseware Air conditioner 10000BTU M490 White</t>
  </si>
  <si>
    <t>Proseware Air conditioner 12000BTU M640 Grey</t>
  </si>
  <si>
    <t>Proseware Air conditioner 12000BTU M640 Red</t>
  </si>
  <si>
    <t>Proseware Air conditioner 12000BTU M640 Silver</t>
  </si>
  <si>
    <t>Proseware Air conditioner 12000BTU M640 White</t>
  </si>
  <si>
    <t>Proseware Air conditioner 25000BTU L167 Grey</t>
  </si>
  <si>
    <t>Proseware Air conditioner 25000BTU L167 Red</t>
  </si>
  <si>
    <t>Proseware Air conditioner 25000BTU L167 Silver</t>
  </si>
  <si>
    <t>Proseware Air conditioner 25000BTU L167 White</t>
  </si>
  <si>
    <t>Proseware Air conditioner 5200BTU E100 Red</t>
  </si>
  <si>
    <t>Proseware Air conditioner 5200BTU E100 Silver</t>
  </si>
  <si>
    <t>Proseware Air conditioner 5200BTU E100 White</t>
  </si>
  <si>
    <t>Proseware Air conditioner 6000BTU E180 Grey</t>
  </si>
  <si>
    <t>Proseware Air conditioner 6000BTU E180 Red</t>
  </si>
  <si>
    <t>Proseware Air conditioner 6000BTU E180 Silver</t>
  </si>
  <si>
    <t>Proseware Air conditioner 6000BTU E180 White</t>
  </si>
  <si>
    <t>Proseware Air conditioner 7000BTU E260 Grey</t>
  </si>
  <si>
    <t>Proseware Air conditioner 7000BTU E260 Red</t>
  </si>
  <si>
    <t>Proseware Air conditioner 7000BTU E260 Silver</t>
  </si>
  <si>
    <t>Proseware Air conditioner 7000BTU E260 White</t>
  </si>
  <si>
    <t>Proseware Air conditioner 8000BTU M320 Grey</t>
  </si>
  <si>
    <t>Proseware Air conditioner 8000BTU M320 Red</t>
  </si>
  <si>
    <t>Proseware Air conditioner 8000BTU M320 Silver</t>
  </si>
  <si>
    <t>Proseware Air conditioner 8000BTU M320 White</t>
  </si>
  <si>
    <t>Proseware All-In-One Photo Printer M200 Black</t>
  </si>
  <si>
    <t>Proseware All-In-One Photo Printer M200 Green</t>
  </si>
  <si>
    <t>Proseware All-In-One Photo Printer M200 Grey</t>
  </si>
  <si>
    <t>Proseware All-In-One Photo Printer M200 White</t>
  </si>
  <si>
    <t>Proseware Chandelier M0615 Black</t>
  </si>
  <si>
    <t>Proseware Chandelier M0615 Blue</t>
  </si>
  <si>
    <t>Proseware Chandelier M0615 Grey</t>
  </si>
  <si>
    <t>Proseware Chandelier M0615 Silver</t>
  </si>
  <si>
    <t>Proseware Chandelier M0615 White</t>
  </si>
  <si>
    <t>Proseware Chandelier M0815 Black</t>
  </si>
  <si>
    <t>Proseware Chandelier M0815 Blue</t>
  </si>
  <si>
    <t>Proseware Chandelier M0815 Grey</t>
  </si>
  <si>
    <t>Proseware Chandelier M0815 Silver</t>
  </si>
  <si>
    <t>Proseware Chandelier M0815 White</t>
  </si>
  <si>
    <t>Proseware Color Ink Jet Fax with 5.8 GHz Cordless Handset X250 Grey</t>
  </si>
  <si>
    <t>Proseware Color Ink Jet Fax with 5.8 GHz Cordless Handset X250 White</t>
  </si>
  <si>
    <t>Proseware Color Ink Jet Fax, Copier, Phone M250 Black</t>
  </si>
  <si>
    <t>Proseware Color Ink Jet Fax, Copier, Phone M250 Green</t>
  </si>
  <si>
    <t>Proseware Color Ink Jet Fax, Copier, Phone M250 Grey</t>
  </si>
  <si>
    <t>Proseware Color Ink jet Fax, Copier, Phone M250 White</t>
  </si>
  <si>
    <t>Proseware Color Inkjet Fax with 5.8 GHz Cordless Handset X250 Black</t>
  </si>
  <si>
    <t>Proseware CRT15 E10 Black</t>
  </si>
  <si>
    <t>Proseware CRT15 E10 White</t>
  </si>
  <si>
    <t>Proseware CRT17 E104 Black</t>
  </si>
  <si>
    <t>Proseware CRT17 E104 White</t>
  </si>
  <si>
    <t>Proseware CRT19 E201 Black</t>
  </si>
  <si>
    <t>Proseware CRT19 E201 White</t>
  </si>
  <si>
    <t>Proseware Desk Jet All-in-One Printer, Scanner, Copier M350 Black</t>
  </si>
  <si>
    <t>Proseware Desk Jet All-in-One Printer, Scanner, Copier M350 Green</t>
  </si>
  <si>
    <t>Proseware Desk Jet All-in-One Printer, Scanner, Copier M350 Grey</t>
  </si>
  <si>
    <t>Proseware Desk Jet All-in-One Printer, Scanner, Copier M350 White</t>
  </si>
  <si>
    <t>Proseware Desk Lamp E0120 Black</t>
  </si>
  <si>
    <t>Proseware Desk Lamp E0120 Blue</t>
  </si>
  <si>
    <t>Proseware Desk Lamp E0120 Grey</t>
  </si>
  <si>
    <t>Proseware Desk Lamp E0120 Silver</t>
  </si>
  <si>
    <t>Proseware Desk Lamp E0120 White</t>
  </si>
  <si>
    <t>Proseware Desk Lamp E0130 Black</t>
  </si>
  <si>
    <t>Proseware Desk Lamp E0130 Blue</t>
  </si>
  <si>
    <t>Proseware Desk Lamp E0130 Grey</t>
  </si>
  <si>
    <t>Proseware Desk Lamp E0130 Silver</t>
  </si>
  <si>
    <t>Proseware Desk Lamp E0130 White</t>
  </si>
  <si>
    <t>Proseware Duplex Scanner M200 Black</t>
  </si>
  <si>
    <t>Proseware Duplex Scanner M200 Green</t>
  </si>
  <si>
    <t>Proseware Duplex Scanner M200 Grey</t>
  </si>
  <si>
    <t>Proseware Duplex Scanner M200 White</t>
  </si>
  <si>
    <t>Proseware Fax Machine E100 Black</t>
  </si>
  <si>
    <t>Proseware Fax Machine E100 Grey</t>
  </si>
  <si>
    <t>Proseware Fax Machine E100 White</t>
  </si>
  <si>
    <t>Proseware Fax phone E100 Black</t>
  </si>
  <si>
    <t>Proseware Fax phone E100 Grey</t>
  </si>
  <si>
    <t>Proseware Fax Phone E100 White</t>
  </si>
  <si>
    <t>Proseware Floor Lamp M0215 Black</t>
  </si>
  <si>
    <t>Proseware Floor Lamp M0215 Blue</t>
  </si>
  <si>
    <t>Proseware Floor Lamp M0215 Grey</t>
  </si>
  <si>
    <t>Proseware Floor Lamp M0215 Silver</t>
  </si>
  <si>
    <t>Proseware Floor Lamp M0215 White</t>
  </si>
  <si>
    <t>Proseware Floor Lamp X0115 Black</t>
  </si>
  <si>
    <t>Proseware Floor Lamp X0115 Blue</t>
  </si>
  <si>
    <t>Proseware Floor Lamp X0115 Grey</t>
  </si>
  <si>
    <t>Proseware Floor Lamp X0115 Silver</t>
  </si>
  <si>
    <t>Proseware Floor Lamp X0115 White</t>
  </si>
  <si>
    <t>Proseware High Speed Laser Fax M2000 Grey</t>
  </si>
  <si>
    <t>Proseware High Speed Laser M2000 Black</t>
  </si>
  <si>
    <t>Proseware High Speed Laser M2000 Green</t>
  </si>
  <si>
    <t>Proseware High Speed Laser M2000 White</t>
  </si>
  <si>
    <t>Proseware High-Performance Business-Class Laser Fax X200 Black</t>
  </si>
  <si>
    <t>Proseware High-Performance Business-Class Laser Fax X200 Green</t>
  </si>
  <si>
    <t>Proseware High-Performance Business-Class Laser Fax X200 Grey</t>
  </si>
  <si>
    <t>Proseware High-Performance Business-Class Laser Fax X200 White</t>
  </si>
  <si>
    <t>Proseware Ink Jet All in one M300 Black</t>
  </si>
  <si>
    <t>Proseware Ink Jet All in one M300 Grey</t>
  </si>
  <si>
    <t>Proseware Ink Jet All in one M300 White</t>
  </si>
  <si>
    <t>Proseware Ink Jet Fax Machine E100 Black</t>
  </si>
  <si>
    <t>Proseware Ink Jet Fax Machine E100 Grey</t>
  </si>
  <si>
    <t>Proseware Ink Jet Fax Machine E100 White</t>
  </si>
  <si>
    <t>Proseware Ink Jet Instant PDF Sheet-Fed Scanner M300 Black</t>
  </si>
  <si>
    <t>Proseware Ink Jet Instant PDF Sheet-Fed Scanner M300 Green</t>
  </si>
  <si>
    <t>Proseware Ink Jet Instant PDF Sheet-Fed Scanner M300 Grey</t>
  </si>
  <si>
    <t>Proseware Ink Jet Instant PDF Sheet-Fed Scanner M300 White</t>
  </si>
  <si>
    <t>Proseware Ink Jet Wireless All-In-One Printer M400 Black</t>
  </si>
  <si>
    <t>Proseware Ink Jet Wireless All-In-One Printer M400 Green</t>
  </si>
  <si>
    <t>Proseware Ink Jet Wireless All-In-One Printer M400 Grey</t>
  </si>
  <si>
    <t>Proseware Ink Jet Wireless All-In-One Printer M400 White</t>
  </si>
  <si>
    <t>Proseware Laptop12 M210 Black</t>
  </si>
  <si>
    <t>Proseware Laptop12 M210 White</t>
  </si>
  <si>
    <t>Proseware Laptop15 M510 Black</t>
  </si>
  <si>
    <t>Proseware Laptop15 M510 White</t>
  </si>
  <si>
    <t>Proseware Laptop15.4W M518 Black</t>
  </si>
  <si>
    <t>Proseware Laptop15.4W M518 White</t>
  </si>
  <si>
    <t>Proseware Laptop16 M610 Black</t>
  </si>
  <si>
    <t>Proseware Laptop16 M610 White</t>
  </si>
  <si>
    <t>Proseware Laptop19 X910 Black</t>
  </si>
  <si>
    <t>Proseware Laptop19W X910 White</t>
  </si>
  <si>
    <t>Proseware Laptop8.9 E089 Black</t>
  </si>
  <si>
    <t>Proseware Laptop8.9 E089 White</t>
  </si>
  <si>
    <t>Proseware Laser Fax Printer E100 Black</t>
  </si>
  <si>
    <t>Proseware Laser Fax Printer E100 Grey</t>
  </si>
  <si>
    <t>Proseware Laser Fax Printer E100 White</t>
  </si>
  <si>
    <t>Proseware Laser Fax Printer M250 Black</t>
  </si>
  <si>
    <t>Proseware Laser Fax Printer M250 Green</t>
  </si>
  <si>
    <t>Proseware Laser Fax Printer M250 Grey</t>
  </si>
  <si>
    <t>Proseware Laser Fax Printer M250 White</t>
  </si>
  <si>
    <t>Proseware Laser Jet All in one X300 Black</t>
  </si>
  <si>
    <t>Proseware Laser Jet All in one X300 Grey</t>
  </si>
  <si>
    <t>Proseware Laser Jet All in one X300 White</t>
  </si>
  <si>
    <t>Proseware Laser Jet Color Printer X300 Black</t>
  </si>
  <si>
    <t>Proseware Laser Jet Color Printer X300 Grey</t>
  </si>
  <si>
    <t>Proseware Laser Jet Color Printer X300 White</t>
  </si>
  <si>
    <t>Proseware Laser Jet Printer E100 Black</t>
  </si>
  <si>
    <t>Proseware Laser Jet Printer E100 Grey</t>
  </si>
  <si>
    <t>Proseware Laser Jet Printer E100 White</t>
  </si>
  <si>
    <t>Proseware LCD15 E103 Black</t>
  </si>
  <si>
    <t>Proseware LCD15 E103 White</t>
  </si>
  <si>
    <t>Proseware LCD17 E200 Black</t>
  </si>
  <si>
    <t>Proseware LCD17 E200 White</t>
  </si>
  <si>
    <t>Proseware LCD17W E202 Black</t>
  </si>
  <si>
    <t>Proseware LCD17W E202 White</t>
  </si>
  <si>
    <t>Proseware LCD19 E1000 Black</t>
  </si>
  <si>
    <t>Proseware LCD19 E1000 White</t>
  </si>
  <si>
    <t>Proseware LCD19W M100 Black</t>
  </si>
  <si>
    <t>Proseware LCD19W M100 White</t>
  </si>
  <si>
    <t>Proseware LCD20 M200 Black</t>
  </si>
  <si>
    <t>Proseware LCD20 M200 White</t>
  </si>
  <si>
    <t>Proseware LCD20W M230 Black</t>
  </si>
  <si>
    <t>Proseware LCD20W M230 White</t>
  </si>
  <si>
    <t>Proseware LCD22 M2000 Black</t>
  </si>
  <si>
    <t>Proseware LCD22 M2000 White</t>
  </si>
  <si>
    <t>Proseware LCD22W M2001 Black</t>
  </si>
  <si>
    <t>Proseware LCD22W M2001 White</t>
  </si>
  <si>
    <t>Proseware LCD24W X300 Black</t>
  </si>
  <si>
    <t>Proseware LCD24W X300 White</t>
  </si>
  <si>
    <t>Proseware Mobile Receipt and Document Scanner M200 Black</t>
  </si>
  <si>
    <t>Proseware Mobile Receipt and Document Scanner M200 Grey</t>
  </si>
  <si>
    <t>Proseware Mobile Receipt and Document Scanner M200 White</t>
  </si>
  <si>
    <t>Proseware Office Jet All-in-One Printer M500 Black</t>
  </si>
  <si>
    <t>Proseware Office Jet All-in-One Printer M500 Grey</t>
  </si>
  <si>
    <t>Proseware Office Jet All-in-One Printer M500 White</t>
  </si>
  <si>
    <t>Proseware Office Jet Wireless All-in-One Inkjet Printer M600 Black</t>
  </si>
  <si>
    <t>Proseware Office Jet Wireless All-in-One Inkjet Printer M600 Grey</t>
  </si>
  <si>
    <t>Proseware Office Jet Wireless All-in-One Inkjet Printer M600 White</t>
  </si>
  <si>
    <t>Proseware Photo Ink Jet Printer E290 Grey</t>
  </si>
  <si>
    <t>Proseware Photo Ink jet Printer E290 White</t>
  </si>
  <si>
    <t>Proseware Photo Ink Jet Printer M100 Black</t>
  </si>
  <si>
    <t>Proseware Photo Ink Jet Printer M100 White</t>
  </si>
  <si>
    <t>Proseware Photo Inkjet Printer E290 Black</t>
  </si>
  <si>
    <t>Proseware Photo Inkjet Printer E290 Green</t>
  </si>
  <si>
    <t>Proseware Photo Inkjet Printer M100 Grey</t>
  </si>
  <si>
    <t>Proseware Photo smart All-in-One Printer M380 Black</t>
  </si>
  <si>
    <t>Proseware Photo Smart All-in-One Printer M380 Grey</t>
  </si>
  <si>
    <t>Proseware Photo Smart All-in-One Printer M380 White</t>
  </si>
  <si>
    <t>Proseware Professional Quality Plain-Paper Fax and Copier X100 Black</t>
  </si>
  <si>
    <t>Proseware Professional Quality Plain-Paper Fax and Copier X100 Green</t>
  </si>
  <si>
    <t>Proseware Professional Quality Plain-Paper Fax and Copier X100 Grey</t>
  </si>
  <si>
    <t>Proseware Professional Quality Plain-Paper Fax and Copier X100 White</t>
  </si>
  <si>
    <t>Proseware Projector 1080p DLP86 Black</t>
  </si>
  <si>
    <t>Proseware Projector 1080p DLP86 Silver</t>
  </si>
  <si>
    <t>Proseware Projector 1080p DLP86 White</t>
  </si>
  <si>
    <t>Proseware Projector 1080p LCD86 Black</t>
  </si>
  <si>
    <t>Proseware Projector 1080p LCD86 Silver</t>
  </si>
  <si>
    <t>Proseware Projector 1080p LCD86 White</t>
  </si>
  <si>
    <t>Proseware Projector 480p DLP12 Black</t>
  </si>
  <si>
    <t>Proseware Projector 480p DLP12 Silver</t>
  </si>
  <si>
    <t>Proseware Projector 480p DLP12 White</t>
  </si>
  <si>
    <t>Proseware Projector 480p LCD12 Black</t>
  </si>
  <si>
    <t>Proseware Projector 480p LCD12 Silver</t>
  </si>
  <si>
    <t>Proseware Projector 480p LCD12 White</t>
  </si>
  <si>
    <t>Proseware Projector 720p DLP56 Black</t>
  </si>
  <si>
    <t>Proseware Projector 720p DLP56 Silver</t>
  </si>
  <si>
    <t>Proseware Projector 720p DLP56 White</t>
  </si>
  <si>
    <t>Proseware Projector 720p LCD56 Black</t>
  </si>
  <si>
    <t>Proseware Projector 720p LCD56 Silver</t>
  </si>
  <si>
    <t>Proseware Projector 720p LCD56 White</t>
  </si>
  <si>
    <t>Proseware Scan Jet Digital Flat Bed Scanner M300 Black</t>
  </si>
  <si>
    <t>Proseware Scan Jet Digital Flat Bed Scanner M300 Green</t>
  </si>
  <si>
    <t>Proseware Scan Jet Digital Flat Bed Scanner M300 Grey</t>
  </si>
  <si>
    <t>Proseware Scan Jet Digital Flat Bed Scanner M300 White</t>
  </si>
  <si>
    <t>Proseware Screen 100in M1609 Black</t>
  </si>
  <si>
    <t>Proseware Screen 100in M1609 Silver</t>
  </si>
  <si>
    <t>Proseware Screen 100in M1609 White</t>
  </si>
  <si>
    <t>Proseware Screen 106in M1609 Black</t>
  </si>
  <si>
    <t>Proseware Screen 106in M1609 Silver</t>
  </si>
  <si>
    <t>Proseware Screen 106in M1609 White</t>
  </si>
  <si>
    <t>Proseware Screen 113in X1609 Black</t>
  </si>
  <si>
    <t>Proseware Screen 113in X1609 Silver</t>
  </si>
  <si>
    <t>Proseware Screen 113in X1609 White</t>
  </si>
  <si>
    <t>Proseware Screen 80in E1010 Black</t>
  </si>
  <si>
    <t>Proseware Screen 80in E1010 Silver</t>
  </si>
  <si>
    <t>Proseware Screen 80in E1010 White</t>
  </si>
  <si>
    <t>Proseware Screen 85in E1010 Black</t>
  </si>
  <si>
    <t>Proseware Screen 85in E1010 Silver</t>
  </si>
  <si>
    <t>Proseware Screen 85in E1010 White</t>
  </si>
  <si>
    <t>Proseware Slim-Design Fax Machine with Answering System X180 Black</t>
  </si>
  <si>
    <t>Proseware Slim-Design Fax Machine with Answering System X180 Green</t>
  </si>
  <si>
    <t>Proseware Slim-Design Fax Machine with Answering System X180 Grey</t>
  </si>
  <si>
    <t>Proseware Slim-Design Fax Machine with Answering System X180 White</t>
  </si>
  <si>
    <t>Proseware Wall Lamp E0215 Black</t>
  </si>
  <si>
    <t>Proseware Wall Lamp E0215 Blue</t>
  </si>
  <si>
    <t>Proseware Wall Lamp E0215 Grey</t>
  </si>
  <si>
    <t>Proseware Wall Lamp E0215 Silver</t>
  </si>
  <si>
    <t>Proseware Wall Lamp E0215 White</t>
  </si>
  <si>
    <t>Proseware Wall Lamp E0315 Black</t>
  </si>
  <si>
    <t>Proseware Wall Lamp E0315 Blue</t>
  </si>
  <si>
    <t>Proseware Wall Lamp E0315 Grey</t>
  </si>
  <si>
    <t>Proseware Wall Lamp E0315 Silver</t>
  </si>
  <si>
    <t>Proseware Wall Lamp E0315 White</t>
  </si>
  <si>
    <t>Proseware Wireless Photo All-in-One Printer M390 Black</t>
  </si>
  <si>
    <t>Proseware Wireless Photo All-in-One Printer M390 Grey</t>
  </si>
  <si>
    <t>Proseware Wireless Photo All-in-One Printer M390 White</t>
  </si>
  <si>
    <t>Reusable Phone Screen Protector E120</t>
  </si>
  <si>
    <t>SV 160GB USB2.0 Portable Hard Disk M65 Black</t>
  </si>
  <si>
    <t>SV 160GB USB2.0 Portable Hard Disk M65 Grey</t>
  </si>
  <si>
    <t>SV 160GB USB2.0 Portable Hard Disk M65 Silver</t>
  </si>
  <si>
    <t>SV 160GB USB2.0 Portable Hard Disk M65 White</t>
  </si>
  <si>
    <t>SV 16xDVD E340 Black</t>
  </si>
  <si>
    <t>SV 16xDVD E340 Silver</t>
  </si>
  <si>
    <t>SV 16xDVD M310 Black</t>
  </si>
  <si>
    <t>SV 16xDVD M310 Silver</t>
  </si>
  <si>
    <t>SV 16xDVD M320 Black</t>
  </si>
  <si>
    <t>SV 16xDVD M320 Silver</t>
  </si>
  <si>
    <t>SV 16xDVD M330 Black</t>
  </si>
  <si>
    <t>SV 16xDVD M330 Silver</t>
  </si>
  <si>
    <t>SV 16xDVD M360 Black</t>
  </si>
  <si>
    <t>SV 16xDVD M360 Silver</t>
  </si>
  <si>
    <t>SV 22xDVD M600 Black</t>
  </si>
  <si>
    <t>SV 22xDVD M600 Silver</t>
  </si>
  <si>
    <t>SV 22xDVD X680 Black</t>
  </si>
  <si>
    <t>SV 22xDVD X680 Silver</t>
  </si>
  <si>
    <t>SV 2GB Laptop memory E800 Black</t>
  </si>
  <si>
    <t>SV 2GB Laptop memory E800 Silver</t>
  </si>
  <si>
    <t>SV 2GB Laptop memory E800 White</t>
  </si>
  <si>
    <t>SV 40GB USB2.0 Portable Hard Disk E400 Blue</t>
  </si>
  <si>
    <t>SV 40GB USB2.0 Portable Hard Disk E400 Red</t>
  </si>
  <si>
    <t>SV 40GB USB2.0 Portable Hard Disk E400 Silver</t>
  </si>
  <si>
    <t>SV 40GB USB2.0 Portable Hard Disk E400 Yellow</t>
  </si>
  <si>
    <t>SV 4GB Laptop Memory M65 Black</t>
  </si>
  <si>
    <t>SV 4GB Laptop Memory M65 Blue</t>
  </si>
  <si>
    <t>SV 4GB Laptop Memory M65 White</t>
  </si>
  <si>
    <t>SV 4GB Laptop Memory M65 Yellow</t>
  </si>
  <si>
    <t>SV 512MB Laptop memory E800 Black</t>
  </si>
  <si>
    <t>SV 512MB Laptop memory E800 Silver</t>
  </si>
  <si>
    <t>SV 512MB Laptop memory E800 White</t>
  </si>
  <si>
    <t>SV 512MB Laptop memory E800 Yellow</t>
  </si>
  <si>
    <t>SV 80GB USB2.0 Portable Hard Disk E500 Blue</t>
  </si>
  <si>
    <t>SV 80GB USB2.0 Portable Hard Disk E500 Red</t>
  </si>
  <si>
    <t>SV 80GB USB2.0 Portable Hard Disk E500 Silver</t>
  </si>
  <si>
    <t>SV 80GB USB2.0 Portable Hard Disk E500 Yellow</t>
  </si>
  <si>
    <t>SV 8xDVD E100 Black</t>
  </si>
  <si>
    <t>SV 8xDVD E100 Silver</t>
  </si>
  <si>
    <t>SV 8xDVD E120 Black</t>
  </si>
  <si>
    <t>SV 8xDVD E120 Silver</t>
  </si>
  <si>
    <t>SV 8xDVD E130 Black</t>
  </si>
  <si>
    <t>SV 8xDVD E130 Silver</t>
  </si>
  <si>
    <t>SV 8xDVD E140 Black</t>
  </si>
  <si>
    <t>SV 8xDVD E140 Silver</t>
  </si>
  <si>
    <t>SV Car Video AM/FM E1000 Black</t>
  </si>
  <si>
    <t>SV Car Video AM/FM E1000 Brown</t>
  </si>
  <si>
    <t>SV Car Video AM/FM E1000 Silver</t>
  </si>
  <si>
    <t>SV Car Video AM/FM E1001 Black</t>
  </si>
  <si>
    <t>SV Car Video AM/FM E1001 Brown</t>
  </si>
  <si>
    <t>SV Car Video AM/FM E1001 Silver</t>
  </si>
  <si>
    <t>SV Car Video LCD7 M7001 Black</t>
  </si>
  <si>
    <t>SV Car Video LCD7 M7001 Brown</t>
  </si>
  <si>
    <t>SV Car Video LCD7 M7001 Silver</t>
  </si>
  <si>
    <t>SV Car Video LCD7 M7002 Black</t>
  </si>
  <si>
    <t>SV Car Video LCD7 M7002 Silver</t>
  </si>
  <si>
    <t>SV Car Video LCD7 M7003 Black</t>
  </si>
  <si>
    <t>SV Car Video LCD7 M7003 Silver</t>
  </si>
  <si>
    <t>SV Car Video LCD7W M7080 Black</t>
  </si>
  <si>
    <t>SV Car Video LCD7W M7080 Brown</t>
  </si>
  <si>
    <t>SV Car Video LCD7W M7080 Silver</t>
  </si>
  <si>
    <t>SV Car Video LCD7W M7081 Black</t>
  </si>
  <si>
    <t>SV Car Video LCD7W M7081 Brown</t>
  </si>
  <si>
    <t>SV Car Video LCD7W M7081 Silver</t>
  </si>
  <si>
    <t>SV Car Video LCD7W M7082 Black</t>
  </si>
  <si>
    <t>SV Car Video LCD7W M7082 Brown</t>
  </si>
  <si>
    <t>SV Car Video LCD7W M7082 Silver</t>
  </si>
  <si>
    <t>SV Car Video LCD9.2W X9281 Black</t>
  </si>
  <si>
    <t>SV Car Video LCD9.2W X9281 Brown</t>
  </si>
  <si>
    <t>SV Car Video LCD9.2W X9281 Silver</t>
  </si>
  <si>
    <t>SV Car Video TFT6.2W E6280 Black</t>
  </si>
  <si>
    <t>SV Car Video TFT6.2W E6280 Brown</t>
  </si>
  <si>
    <t>SV Car Video TFT6.2W E6280 Silver</t>
  </si>
  <si>
    <t>SV Car Video TFT6.2W E6281 Black</t>
  </si>
  <si>
    <t>SV Car Video TFT6.2W E6281 Brown</t>
  </si>
  <si>
    <t>SV Car Video TFT6.2W E6281 Silver</t>
  </si>
  <si>
    <t>SV Car Video TFT6.2W E6282 Black</t>
  </si>
  <si>
    <t>SV Car Video TFT6.2W E6282 Brown</t>
  </si>
  <si>
    <t>SV Car Video TFT6.2W E6282 Silver</t>
  </si>
  <si>
    <t>SV Car Video TFT7 M7000 Black</t>
  </si>
  <si>
    <t>SV Car Video TFT7 M7000 Brown</t>
  </si>
  <si>
    <t>SV Car Video TFT7 M7000 Silver</t>
  </si>
  <si>
    <t>SV Car Video TFT7 M7001 Black</t>
  </si>
  <si>
    <t>SV Car Video TFT7 M7001 Brown</t>
  </si>
  <si>
    <t>SV Car Video TFT7 M7001 Silver</t>
  </si>
  <si>
    <t>SV Car Video TFT7 M7002 Black</t>
  </si>
  <si>
    <t>SV Car Video TFT7 M7002 Brown</t>
  </si>
  <si>
    <t>SV Car Video TFT7 M7002 Silver</t>
  </si>
  <si>
    <t>SV DVD 12-Inch Player Portable M400 Black</t>
  </si>
  <si>
    <t>SV DVD 12-Inch Player Portable M400 Silver</t>
  </si>
  <si>
    <t>SV DVD 12-Inch Player Portable M400 White</t>
  </si>
  <si>
    <t>SV DVD 14-Inch Player Portable L100 Black</t>
  </si>
  <si>
    <t>SV DVD 14-Inch Player Portable L100 Silver</t>
  </si>
  <si>
    <t>SV DVD 14-Inch Player Portable L100 White</t>
  </si>
  <si>
    <t>SV DVD 15-Inch Player Portable L200 Black</t>
  </si>
  <si>
    <t>SV DVD 15-Inch Player Portable L200 Silver</t>
  </si>
  <si>
    <t>SV DVD 15-Inch Player Portable L200 White</t>
  </si>
  <si>
    <t>SV DVD 38 DVD Storage Binder E25 Black</t>
  </si>
  <si>
    <t>SV DVD 38 DVD Storage Binder E25 Red</t>
  </si>
  <si>
    <t>SV DVD 38 DVD Storage Binder E25 Silver</t>
  </si>
  <si>
    <t>SV DVD 48 DVD Storage Binder M50 Black</t>
  </si>
  <si>
    <t>SV DVD 48 DVD Storage Binder M50 Red</t>
  </si>
  <si>
    <t>SV DVD 48 DVD Storage Binder M50 Silver</t>
  </si>
  <si>
    <t>SV DVD 55DVD Storage Binder M56 Black</t>
  </si>
  <si>
    <t>SV DVD 55DVD Storage Binder M56 Red</t>
  </si>
  <si>
    <t>SV DVD 55DVD Storage Binder M56 Silver</t>
  </si>
  <si>
    <t>SV DVD 58 DVD Storage Binder M55 Black</t>
  </si>
  <si>
    <t>SV DVD 58 DVD Storage Binder M55 Red</t>
  </si>
  <si>
    <t>SV DVD 58 DVD Storage Binder M55 Silver</t>
  </si>
  <si>
    <t>SV DVD 60 DVD Storage Binder L20 Black</t>
  </si>
  <si>
    <t>SV DVD 60 DVD Storage Binder L20 Red</t>
  </si>
  <si>
    <t>SV DVD 60 DVD Storage Binder L20 Silver</t>
  </si>
  <si>
    <t>SV DVD 7-Inch Player Portable E200 Black</t>
  </si>
  <si>
    <t>SV DVD 7-Inch Player Portable E200 Silver</t>
  </si>
  <si>
    <t>SV DVD 7-Inch Player Portable E200 White</t>
  </si>
  <si>
    <t>SV DVD 9-Inch Player Portable M300 Black</t>
  </si>
  <si>
    <t>SV DVD 9-Inch Player Portable M300 Silver</t>
  </si>
  <si>
    <t>SV DVD 9-Inch Player Portable M300 White</t>
  </si>
  <si>
    <t>SV DVD External DVD Burner M200 Black</t>
  </si>
  <si>
    <t>SV DVD External DVD Burner M200 Blue</t>
  </si>
  <si>
    <t>SV DVD External DVD Burner M200 Grey</t>
  </si>
  <si>
    <t>SV DVD External DVD Burner M200 Silver</t>
  </si>
  <si>
    <t>SV DVD Movies E100 Yellow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</si>
  <si>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</si>
  <si>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</si>
  <si>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</si>
  <si>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</si>
  <si>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</si>
  <si>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</si>
  <si>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</si>
  <si>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</si>
  <si>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</si>
  <si>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</si>
  <si>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Hand Games for 12-16 boys E60 Black</t>
  </si>
  <si>
    <t>SV Hand Games for 12-16 boys E60 Red</t>
  </si>
  <si>
    <t>SV Hand Games for 12-16 boys E60 Yellow</t>
  </si>
  <si>
    <t>SV Hand Games for kids E30 Black</t>
  </si>
  <si>
    <t>SV Hand Games for kids E30 Red</t>
  </si>
  <si>
    <t>SV Hand Games for kids E30 Silver</t>
  </si>
  <si>
    <t>SV Hand Games for kids E30 Yellow</t>
  </si>
  <si>
    <t>SV Hand Games for Office worker L28 Black</t>
  </si>
  <si>
    <t>SV Hand Games for Office worker L28 Red</t>
  </si>
  <si>
    <t>SV Hand Games for Office worker L28 Yellow</t>
  </si>
  <si>
    <t>SV Hand Games for students E40 Black</t>
  </si>
  <si>
    <t>SV Hand Games for students E40 Red</t>
  </si>
  <si>
    <t>SV Hand Games for students E40 Silver</t>
  </si>
  <si>
    <t>SV Hand Games for students E40 Yellow</t>
  </si>
  <si>
    <t>SV Hand Games men M30 Black</t>
  </si>
  <si>
    <t>SV Hand Games men M30 Red</t>
  </si>
  <si>
    <t>SV Hand Games men M30 Silver</t>
  </si>
  <si>
    <t>SV Hand Games men M30 Yellow</t>
  </si>
  <si>
    <t>SV Hand Games women M40 Black</t>
  </si>
  <si>
    <t>SV Hand Games women M40 Red</t>
  </si>
  <si>
    <t>SV Hand Games women M40 Silver</t>
  </si>
  <si>
    <t>SV Hand Games women M40 Yellow</t>
  </si>
  <si>
    <t>SV Keyboard E10 Black</t>
  </si>
  <si>
    <t>SV Keyboard E10 Grey</t>
  </si>
  <si>
    <t>SV Keyboard E10 Silver</t>
  </si>
  <si>
    <t>SV Keyboard E10 White</t>
  </si>
  <si>
    <t>SV Keyboard E90 Black</t>
  </si>
  <si>
    <t>SV Keyboard E90 Grey</t>
  </si>
  <si>
    <t>SV Keyboard E90 Silver</t>
  </si>
  <si>
    <t>SV Keyboard E90 White</t>
  </si>
  <si>
    <t>SV PCI Network Adapter E903 Silver</t>
  </si>
  <si>
    <t>SV PCI Network Adapter E904 Silver</t>
  </si>
  <si>
    <t>SV PCI Network Adapter E905 Silver</t>
  </si>
  <si>
    <t>SV Rechargeable Bluetooth Notebook Mouse E80 Black</t>
  </si>
  <si>
    <t>SV Rechargeable Bluetooth Notebook Mouse E80 Grey</t>
  </si>
  <si>
    <t>SV Rechargeable Bluetooth Notebook Mouse E80 Silver</t>
  </si>
  <si>
    <t>SV Rechargeable Bluetooth Notebook Mouse E80 White</t>
  </si>
  <si>
    <t>SV USB Data Cable E600 Black</t>
  </si>
  <si>
    <t>SV USB Data Cable E600 Grey</t>
  </si>
  <si>
    <t>SV USB Data Cable E600 Pink</t>
  </si>
  <si>
    <t>SV USB Data Cable E600 Silver</t>
  </si>
  <si>
    <t>SV USB Sync Charge Cable E700 Black</t>
  </si>
  <si>
    <t>SV USB Sync Charge Cable E700 Blue</t>
  </si>
  <si>
    <t>SV USB Sync Charge Cable E700 Silver</t>
  </si>
  <si>
    <t>SV USB Sync Charge Cable E700 White</t>
  </si>
  <si>
    <t>SV Wireless LAN PCI Network Card Adapter E900 Black</t>
  </si>
  <si>
    <t>SV Wireless LAN PCI Network Card Adapter E901 Black</t>
  </si>
  <si>
    <t>SV Wireless LAN PCI Network Card Adapter E902 Black</t>
  </si>
  <si>
    <t>The Phone Company Finger Touch Screen Phones M30 Black</t>
  </si>
  <si>
    <t>The Phone Company Finger Touch Screen Phones M30 Gold</t>
  </si>
  <si>
    <t>The Phone Company Finger Touch Screen Phones M30 Grey</t>
  </si>
  <si>
    <t>The Phone Company Microsoft Windows Mobile M200 Black</t>
  </si>
  <si>
    <t>The Phone Company Microsoft Windows Mobile M200 Gold</t>
  </si>
  <si>
    <t>The Phone Company Microsoft Windows Mobile M200 Grey</t>
  </si>
  <si>
    <t>The Phone Company Microsoft Windows Mobile M200 Pink</t>
  </si>
  <si>
    <t>The Phone Company Microsoft Windows Mobile M200 White</t>
  </si>
  <si>
    <t>The Phone Company PDA GPS Phone 3.5 inch M910 Black</t>
  </si>
  <si>
    <t>The Phone Company PDA GPS Phone 3.5 inch M910 Silver</t>
  </si>
  <si>
    <t>The Phone Company PDA GPS Phone 3.7 inch M930 Silver</t>
  </si>
  <si>
    <t>The Phone Company PDA GPS Phone 4.7 inch L950 Black</t>
  </si>
  <si>
    <t>The Phone Company PDA GPS Phone 4.7 inch L950 Silver</t>
  </si>
  <si>
    <t>The Phone Company PDA Handheld 3.5 inch M610 Black</t>
  </si>
  <si>
    <t>The Phone Company PDA Handheld 3.5 inch M610 Silver</t>
  </si>
  <si>
    <t>The Phone Company PDA Handheld 3.5 inch M610 White</t>
  </si>
  <si>
    <t>The Phone Company PDA Handheld 3.7 inch M630 Black</t>
  </si>
  <si>
    <t>The Phone Company PDA Handheld 4.7 inch L650 Black</t>
  </si>
  <si>
    <t>The Phone Company PDA Handheld 4.7 inch L650 Silver</t>
  </si>
  <si>
    <t>The Phone Company PDA Handheld 4.7 inch L650 White</t>
  </si>
  <si>
    <t>The Phone Company PDA Palm 3.5 inch M810 Black</t>
  </si>
  <si>
    <t>The Phone Company PDA Palm 3.5 inch M810 Silver</t>
  </si>
  <si>
    <t>The Phone Company PDA Palm 3.5 inch M810 White</t>
  </si>
  <si>
    <t>The Phone Company PDA Palm 3.7 inch M830 Black</t>
  </si>
  <si>
    <t>The Phone Company PDA Palm 3.7 inch M830 Silver</t>
  </si>
  <si>
    <t>The Phone Company PDA Palm 4.7 inch L850 Black</t>
  </si>
  <si>
    <t>The Phone Company PDA Palm 4.7 inch L850 Silver</t>
  </si>
  <si>
    <t>The Phone Company PDA Phone 3.5 inches M320 Black</t>
  </si>
  <si>
    <t>The Phone Company PDA Phone 3.5 inches M320 Silver</t>
  </si>
  <si>
    <t>The Phone Company PDA Phone 3.5 inches M320 White</t>
  </si>
  <si>
    <t>The Phone Company PDA Phone 3.7 inches M340 Black</t>
  </si>
  <si>
    <t>The Phone Company PDA Phone 3.7 inches M340 Silver</t>
  </si>
  <si>
    <t>The Phone Company PDA Phone 4.7 inches L360 Black</t>
  </si>
  <si>
    <t>The Phone Company PDA Phone 4.7 inches L360 White</t>
  </si>
  <si>
    <t>The Phone Company PDA Phone Unlocked 3.5 inches M530 Black</t>
  </si>
  <si>
    <t>The Phone Company PDA Phone Unlocked 3.5 inches M530 Silver</t>
  </si>
  <si>
    <t>The Phone Company PDA Phone Unlocked 3.5 inches M530 White</t>
  </si>
  <si>
    <t>The Phone Company PDA Phone Unlocked 3.7 inches M510 Black</t>
  </si>
  <si>
    <t>The Phone Company PDA Phone Unlocked 3.7 inches M510 Silver</t>
  </si>
  <si>
    <t>The Phone Company PDA Phone Unlocked 3.7 inches M510 White</t>
  </si>
  <si>
    <t>The Phone Company PDA Phone Unlocked 4.7 inches L550 Black</t>
  </si>
  <si>
    <t>The Phone Company PDA Phone Unlocked 4.7 inches L550 Silver</t>
  </si>
  <si>
    <t>The Phone Company PDA Phone Unlocked 4.7 inches L550 White</t>
  </si>
  <si>
    <t>The Phone Company PDA Wifi 3.5-inch M200 Black</t>
  </si>
  <si>
    <t>The Phone Company PDA Wifi 3.5-inch M200 Silver</t>
  </si>
  <si>
    <t>The Phone Company PDA Wifi 3.7-inch M250 Black</t>
  </si>
  <si>
    <t>The Phone Company PDA Wifi 3.7-inch M250 Silver</t>
  </si>
  <si>
    <t>The Phone Company PDA Wifi 3.7-inch M250 White</t>
  </si>
  <si>
    <t>The Phone Company PDA Wifi 4.7-inch L290 Black</t>
  </si>
  <si>
    <t>The Phone Company PDA Wifi 4.7-inch L290 Silver</t>
  </si>
  <si>
    <t>The Phone Company PDA Wifi 4.7-inch L290 White</t>
  </si>
  <si>
    <t>The Phone Company Pen Touch Screen Phones M320 Gold</t>
  </si>
  <si>
    <t>The Phone Company Pen Touch Screen Phones M320 Grey</t>
  </si>
  <si>
    <t>The Phone Company Pen Touch Screen Phones-2.6" M320 Black</t>
  </si>
  <si>
    <t>The Phone Company Sharp Touch Screen Phones M910 Black</t>
  </si>
  <si>
    <t>The Phone Company Sharp Touch Screen Phones M910 Gold</t>
  </si>
  <si>
    <t>The Phone Company Sharp Touch Screen Phones M910 Grey</t>
  </si>
  <si>
    <t>The Phone Company Smart phones 160x160 M26 Black</t>
  </si>
  <si>
    <t>The Phone Company Smart phones 160x160 M26 Gold</t>
  </si>
  <si>
    <t>The Phone Company Smart phones 160x160 M26 Grey</t>
  </si>
  <si>
    <t>The Phone Company Smart phones 160x160 M26 Pink</t>
  </si>
  <si>
    <t>The Phone Company Smart phones 160x160 M26 White</t>
  </si>
  <si>
    <t>The Phone Company Smart phones 4 GB of Memory M300 Black</t>
  </si>
  <si>
    <t>The Phone Company Smart phones 4 GB of Memory M300 Gold</t>
  </si>
  <si>
    <t>The Phone Company Smart phones 4 GB of Memory M300 Grey</t>
  </si>
  <si>
    <t>The Phone Company Smart phones 4 GB of Memory M300 Pink</t>
  </si>
  <si>
    <t>The Phone Company Smart phones 4 GB of Memory M300 White</t>
  </si>
  <si>
    <t>The Phone Company Smart phones 6-LINE SCREEN M21 Black</t>
  </si>
  <si>
    <t>The Phone Company Smart phones 6-LINE SCREEN M21 Gold</t>
  </si>
  <si>
    <t>The Phone Company Smart phones 6-LINE SCREEN M21 Grey</t>
  </si>
  <si>
    <t>The Phone Company Smart phones 6-LINE SCREEN M21 Pink</t>
  </si>
  <si>
    <t>The Phone Company Smart phones 6-LINE SCREEN M21 White</t>
  </si>
  <si>
    <t>The Phone Company Smart phones 8 GB of Memory M400 Black</t>
  </si>
  <si>
    <t>The Phone Company Smart phones 8 GB of Memory M400 Gold</t>
  </si>
  <si>
    <t>The Phone Company Smart phones 8 GB of Memory M400 Grey</t>
  </si>
  <si>
    <t>The Phone Company Smart phones 8 GB of Memory M400 Pink</t>
  </si>
  <si>
    <t>The Phone Company Smart phones 8 GB of Memory M400 White</t>
  </si>
  <si>
    <t>The Phone Company Smart phones Expert M400 Black</t>
  </si>
  <si>
    <t>The Phone Company Smart phones Expert M400 Gold</t>
  </si>
  <si>
    <t>The Phone Company Smart phones Expert M400 Grey</t>
  </si>
  <si>
    <t>The Phone Company Smart phones Expert M400 Pink</t>
  </si>
  <si>
    <t>The Phone Company Smart phones Expert M400 White</t>
  </si>
  <si>
    <t>The Phone Company Smart phones Unlocked International M800 Black</t>
  </si>
  <si>
    <t>The Phone Company Smart phones Unlocked International M800 Gold</t>
  </si>
  <si>
    <t>The Phone Company Smart phones Unlocked International M800 Grey</t>
  </si>
  <si>
    <t>The Phone Company Smart phones Unlocked International M800 Pink</t>
  </si>
  <si>
    <t>The Phone Company Smart phones Unlocked International M800 White</t>
  </si>
  <si>
    <t>The Phone Company Smart phones Unlocked M300 Black</t>
  </si>
  <si>
    <t>The Phone Company Smart phones Unlocked M300 Gold</t>
  </si>
  <si>
    <t>The Phone Company Smart phones Unlocked M300 Grey</t>
  </si>
  <si>
    <t>The Phone Company Smart phones Unlocked M300 Pink</t>
  </si>
  <si>
    <t>The Phone Company Smart phones Unlocked M300 White</t>
  </si>
  <si>
    <t>The Phone Company Smart phones without camera E100 Black</t>
  </si>
  <si>
    <t>The Phone Company Smart phones without camera E100 Gold</t>
  </si>
  <si>
    <t>The Phone Company Smart phones without camera E100 Grey</t>
  </si>
  <si>
    <t>The Phone Company Smart phones without camera E100 Pink</t>
  </si>
  <si>
    <t>The Phone Company Smart phones without camera E100 White</t>
  </si>
  <si>
    <t>The Phone Company Touch Screen Phone 1600 TFT-1.4" L250 Black</t>
  </si>
  <si>
    <t>The Phone Company Touch Screen Phone 1600 TFT-1.4" L250 Gold</t>
  </si>
  <si>
    <t>The Phone Company Touch Screen Phone 1600 TFT-1.4" L250 Grey</t>
  </si>
  <si>
    <t>The Phone Company Touch Screen Phone 1600 TFT-2.2" L200 Black</t>
  </si>
  <si>
    <t>The Phone Company Touch Screen Phone 1600 TFT-2.2" L200 Gold</t>
  </si>
  <si>
    <t>The Phone Company Touch Screen Phone 1600 TFT-2.2" L200 Grey</t>
  </si>
  <si>
    <t>The Phone Company Touch Screen Phones - CRT M11 Black</t>
  </si>
  <si>
    <t>The Phone Company Touch Screen Phones - CRT M11 Gold</t>
  </si>
  <si>
    <t>The Phone Company Touch Screen Phones - CRT M11 Grey</t>
  </si>
  <si>
    <t>The Phone Company Touch Screen Phones - LCD M12 Black</t>
  </si>
  <si>
    <t>The Phone Company Touch Screen Phones - LCD M12 Gold</t>
  </si>
  <si>
    <t>The Phone Company Touch Screen Phones - LCD M12 Grey</t>
  </si>
  <si>
    <t>The Phone Company Touch Screen Phones 26-1.4" M250 Black</t>
  </si>
  <si>
    <t>The Phone Company Touch Screen Phones 26-1.4" M250 Gold</t>
  </si>
  <si>
    <t>The Phone Company Touch Screen Phones 26-1.4" M250 Grey</t>
  </si>
  <si>
    <t>The Phone Company Touch Screen Phones 26-2.2" M200 Black</t>
  </si>
  <si>
    <t>The Phone Company Touch Screen Phones 26-2.2" M200 Gold</t>
  </si>
  <si>
    <t>The Phone Company Touch Screen Phones 26-2.2" M200 Grey</t>
  </si>
  <si>
    <t>The Phone Company Touch Screen Phones 4-Wire/ Built-in M205 Black</t>
  </si>
  <si>
    <t>The Phone Company Touch Screen Phones 4-Wire/ Built-in M205 Gold</t>
  </si>
  <si>
    <t>The Phone Company Touch Screen Phones 4-Wire/ Built-in M205 Grey</t>
  </si>
  <si>
    <t>The Phone Company Touch Screen Phones 4-Wire/On-wall M302 Black</t>
  </si>
  <si>
    <t>The Phone Company Touch Screen Phones 4-Wire/On-wall M302 Gold</t>
  </si>
  <si>
    <t>The Phone Company Touch Screen Phones 4-Wire/On-wall M302 Grey</t>
  </si>
  <si>
    <t>The Phone Company Touch Screen Phones 5-Wire/Built-in M500 Black</t>
  </si>
  <si>
    <t>The Phone Company Touch Screen Phones 5-Wire/Built-in M500 Gold</t>
  </si>
  <si>
    <t>The Phone Company Touch Screen Phones 5-Wire/Built-in M500 Grey</t>
  </si>
  <si>
    <t>The Phone Company Touch Screen Phones 5-Wire/On-wall M508 Black</t>
  </si>
  <si>
    <t>The Phone Company Touch Screen Phones 5-Wire/On-wall M508 Gold</t>
  </si>
  <si>
    <t>The Phone Company Touch Screen Phones 5-Wire/On-wall M508 Grey</t>
  </si>
  <si>
    <t>The Phone Company Touch Screen Phones Capacitive M908 Black</t>
  </si>
  <si>
    <t>The Phone Company Touch Screen Phones Capacitive M908 Gold</t>
  </si>
  <si>
    <t>The Phone Company Touch Screen Phones Capacitive M908 Grey</t>
  </si>
  <si>
    <t>The Phone Company Touch Screen Phones Infrared M901 Black</t>
  </si>
  <si>
    <t>The Phone Company Touch Screen Phones Infrared M901 Gold</t>
  </si>
  <si>
    <t>The Phone Company Touch Screen Phones Infrared M901 Grey</t>
  </si>
  <si>
    <t>The Phone Company Touch Screen Phones SAW/Built-in M801 Black</t>
  </si>
  <si>
    <t>The Phone Company Touch Screen Phones SAW/Built-in M801 Gold</t>
  </si>
  <si>
    <t>The Phone Company Touch Screen Phones SAW/Built-in M801 Grey</t>
  </si>
  <si>
    <t>The Phone Company Touch Screen Phones SAW/On-wall M806 Black</t>
  </si>
  <si>
    <t>The Phone Company Touch Screen Phones SAW/On-wall M806 Gold</t>
  </si>
  <si>
    <t>The Phone Company Touch Screen Phones SAW/On-wall M806 Grey</t>
  </si>
  <si>
    <t>WWI 1GB Digital Voice Recorder Pen E100 Black</t>
  </si>
  <si>
    <t>WWI 1GB Digital Voice Recorder Pen E100 Pink</t>
  </si>
  <si>
    <t>WWI 1GB Digital Voice Recorder Pen E100 Red</t>
  </si>
  <si>
    <t>WWI 1GB Digital Voice Recorder Pen E100 White</t>
  </si>
  <si>
    <t>WWI 1GB Pulse Smart pen E50 Silver</t>
  </si>
  <si>
    <t>WWI 1GB Pulse Smart pen E50 White</t>
  </si>
  <si>
    <t>WWI 1GBPulse Smart pen E50 Black</t>
  </si>
  <si>
    <t>WWI 2GB Pulse Smart pen M100 Black</t>
  </si>
  <si>
    <t>WWI 2GB Pulse Smart pen M100 Blue</t>
  </si>
  <si>
    <t>WWI 2GB Pulse Smart pen M100 Silver</t>
  </si>
  <si>
    <t>WWI 2GB Pulse Smart pen M100 White</t>
  </si>
  <si>
    <t>WWI 2GB Spy Video Recorder Pen M300 Black</t>
  </si>
  <si>
    <t>WWI 2GB Spy Video Recorder Pen M300 Blue</t>
  </si>
  <si>
    <t>WWI 2GB Spy Video Recorder Pen M300 Purple</t>
  </si>
  <si>
    <t>WWI 2GB Spy Video Recorder Pen M300 Silver</t>
  </si>
  <si>
    <t>WWI 2GB Spy Video Recorder Pen M300 White</t>
  </si>
  <si>
    <t>WWI 4GB Video Recording Pen X200 Black</t>
  </si>
  <si>
    <t>WWI 4GB Video Recording Pen X200 Pink</t>
  </si>
  <si>
    <t>WWI 4GB Video Recording Pen X200 Red</t>
  </si>
  <si>
    <t>WWI 4GB Video Recording Pen X200 Yellow</t>
  </si>
  <si>
    <t>WWI Chandelier M615 Black</t>
  </si>
  <si>
    <t>WWI Chandelier M615 Blue</t>
  </si>
  <si>
    <t>WWI Chandelier M615 Grey</t>
  </si>
  <si>
    <t>WWI Chandelier M615 Silver</t>
  </si>
  <si>
    <t>WWI Chandelier M615 White</t>
  </si>
  <si>
    <t>WWI Chandelier M815 Black</t>
  </si>
  <si>
    <t>WWI Chandelier M815 Blue</t>
  </si>
  <si>
    <t>WWI Chandelier M815 Grey</t>
  </si>
  <si>
    <t>WWI Chandelier M815 Silver</t>
  </si>
  <si>
    <t>WWI Chandelier M815 White</t>
  </si>
  <si>
    <t>WWI CRT17 E106 Black</t>
  </si>
  <si>
    <t>WWI CRT17 E106 White</t>
  </si>
  <si>
    <t>WWI Desk Lamp E120 Black</t>
  </si>
  <si>
    <t>WWI Desk Lamp E120 Blue</t>
  </si>
  <si>
    <t>WWI Desk Lamp E120 Grey</t>
  </si>
  <si>
    <t>WWI Desk Lamp E120 Silver</t>
  </si>
  <si>
    <t>WWI Desk Lamp E120 White</t>
  </si>
  <si>
    <t>WWI Desk Lamp E130 Black</t>
  </si>
  <si>
    <t>WWI Desk Lamp E130 Blue</t>
  </si>
  <si>
    <t>WWI Desk Lamp E130 Grey</t>
  </si>
  <si>
    <t>WWI Desk Lamp E130 Silver</t>
  </si>
  <si>
    <t>WWI Desk Lamp E130 White</t>
  </si>
  <si>
    <t>WWI Desktop PC1.60 E1600 Black</t>
  </si>
  <si>
    <t>WWI Desktop PC1.60 E1600 Red</t>
  </si>
  <si>
    <t>WWI Desktop PC1.60 E1600 Silver</t>
  </si>
  <si>
    <t>WWI Desktop PC1.60 E1600 White</t>
  </si>
  <si>
    <t>WWI Desktop PC1.80 E1800 Black</t>
  </si>
  <si>
    <t>WWI Desktop PC1.80 E1800 Brown</t>
  </si>
  <si>
    <t>WWI Desktop PC1.80 E1800 Silver</t>
  </si>
  <si>
    <t>WWI Desktop PC1.80 E1800 White</t>
  </si>
  <si>
    <t>WWI Desktop PC1.80 E1801 Black</t>
  </si>
  <si>
    <t>WWI Desktop PC1.80 E1801 Brown</t>
  </si>
  <si>
    <t>WWI Desktop PC1.80 E1801 Silver</t>
  </si>
  <si>
    <t>WWI Desktop PC1.80 E1801 White</t>
  </si>
  <si>
    <t>WWI Desktop PC1.80 E1802 White</t>
  </si>
  <si>
    <t>WWI Desktop PC2.30 M2300 Black</t>
  </si>
  <si>
    <t>WWI Desktop PC2.30 M2300 Brown</t>
  </si>
  <si>
    <t>WWI Desktop PC2.30 M2300 Silver</t>
  </si>
  <si>
    <t>WWI Desktop PC2.30 M2300 White</t>
  </si>
  <si>
    <t>WWI Desktop PC3.0 M0300 Black</t>
  </si>
  <si>
    <t>WWI Desktop PC3.0 M0300 Silver</t>
  </si>
  <si>
    <t>WWI Floor Lamp M215 Black</t>
  </si>
  <si>
    <t>WWI Floor Lamp M215 Blue</t>
  </si>
  <si>
    <t>WWI Floor Lamp M215 Grey</t>
  </si>
  <si>
    <t>WWI Floor Lamp M215 Silver</t>
  </si>
  <si>
    <t>WWI Floor Lamp M215 White</t>
  </si>
  <si>
    <t>WWI Floor Lamp X115 Black</t>
  </si>
  <si>
    <t>WWI Floor Lamp X115 Blue</t>
  </si>
  <si>
    <t>WWI Floor Lamp X115 Grey</t>
  </si>
  <si>
    <t>WWI Floor Lamp X115 Silver</t>
  </si>
  <si>
    <t>WWI Floor Lamp X115 White</t>
  </si>
  <si>
    <t>WWI Laptop12 M0120 Black</t>
  </si>
  <si>
    <t>WWI Laptop12 M0120 White</t>
  </si>
  <si>
    <t>WWI Laptop15 M0150 Black</t>
  </si>
  <si>
    <t>WWI Laptop15 M0150 Blue</t>
  </si>
  <si>
    <t>WWI Laptop15 M0150 White</t>
  </si>
  <si>
    <t>WWI Laptop15.4W M0156 Black</t>
  </si>
  <si>
    <t>WWI Laptop15.4W M0156 White</t>
  </si>
  <si>
    <t>WWI Laptop16 M0160 Black</t>
  </si>
  <si>
    <t>WWI Laptop16 M0160 White</t>
  </si>
  <si>
    <t>WWI Laptop19W X0196 Black</t>
  </si>
  <si>
    <t>WWI Laptop19W X0196 Blue</t>
  </si>
  <si>
    <t>WWI Laptop19W X0196 White</t>
  </si>
  <si>
    <t>WWI Laptop8.9 E0089 Black</t>
  </si>
  <si>
    <t>WWI Laptop8.9 E0089 White</t>
  </si>
  <si>
    <t>WWI LCD17 E200 Black</t>
  </si>
  <si>
    <t>WWI LCD17 E205 White</t>
  </si>
  <si>
    <t>WWI LCD17W E200 Black</t>
  </si>
  <si>
    <t>WWI LCD17W E200 White</t>
  </si>
  <si>
    <t>WWI LCD19 E107 Black</t>
  </si>
  <si>
    <t>WWI LCD19 E107 White</t>
  </si>
  <si>
    <t>WWI LCD19W M100 Black</t>
  </si>
  <si>
    <t>WWI LCD19W M100 White</t>
  </si>
  <si>
    <t>WWI LCD20 M220 Black</t>
  </si>
  <si>
    <t>WWI LCD20 M220 White</t>
  </si>
  <si>
    <t>WWI LCD20W M250 Black</t>
  </si>
  <si>
    <t>WWI LCD20W M250 White</t>
  </si>
  <si>
    <t>WWI LCD22 M2002 Black</t>
  </si>
  <si>
    <t>WWI LCD22 M2002 White</t>
  </si>
  <si>
    <t>WWI LCD22W M2003 Black</t>
  </si>
  <si>
    <t>WWI LCD22W M2003 White</t>
  </si>
  <si>
    <t>WWI LCD24 X300 Black</t>
  </si>
  <si>
    <t>WWI LCD24 X300 White</t>
  </si>
  <si>
    <t>WWI LCD24W X300 Black</t>
  </si>
  <si>
    <t>WWI LCD24W X300 White</t>
  </si>
  <si>
    <t>WWI Projector 1080p DLP86 Black</t>
  </si>
  <si>
    <t>WWI Projector 1080p DLP86 Silver</t>
  </si>
  <si>
    <t>WWI Projector 1080p DLP86 White</t>
  </si>
  <si>
    <t>WWI Projector 1080p LCD86 Black</t>
  </si>
  <si>
    <t>WWI Projector 1080p LCD86 Silver</t>
  </si>
  <si>
    <t>WWI Projector 1080p LCD86 White</t>
  </si>
  <si>
    <t>WWI Projector 480p DLP12 Black</t>
  </si>
  <si>
    <t>WWI Projector 480p DLP12 Silver</t>
  </si>
  <si>
    <t>WWI Projector 480p DLP12 White</t>
  </si>
  <si>
    <t>WWI Projector 480p LCD12 Black</t>
  </si>
  <si>
    <t>WWI Projector 480p LCD12 Silver</t>
  </si>
  <si>
    <t>WWI Projector 480p LCD12 White</t>
  </si>
  <si>
    <t>WWI Projector 720p DLP56 Black</t>
  </si>
  <si>
    <t>WWI Projector 720p DLP56 Silver</t>
  </si>
  <si>
    <t>WWI Projector 720p DLP56 White</t>
  </si>
  <si>
    <t>WWI Projector 720p LCD56 Black</t>
  </si>
  <si>
    <t>WWI Projector 720p LCD56 Silver</t>
  </si>
  <si>
    <t>WWI Projector 720p LCD56 White</t>
  </si>
  <si>
    <t>WWI Screen 100in M1609 Black</t>
  </si>
  <si>
    <t>WWI Screen 100in M1609 White</t>
  </si>
  <si>
    <t>WWI Screen 106in M1609 Black</t>
  </si>
  <si>
    <t>WWI Screen 106in M1609 Silver</t>
  </si>
  <si>
    <t>WWI Screen 106in M1609 White</t>
  </si>
  <si>
    <t>WWI Screen 113in M1610 Black</t>
  </si>
  <si>
    <t>WWI Screen 113in M1610 Silver</t>
  </si>
  <si>
    <t>WWI Screen 113in M1610 White</t>
  </si>
  <si>
    <t>WWI Screen 85in E1010 Black</t>
  </si>
  <si>
    <t>WWI Screen 85in E1010 White</t>
  </si>
  <si>
    <t>WWI Stereo Bluetooth Headphones E1000 Black</t>
  </si>
  <si>
    <t>WWI Stereo Bluetooth Headphones E1000 Blue</t>
  </si>
  <si>
    <t>WWI Stereo Bluetooth Headphones E1000 Green</t>
  </si>
  <si>
    <t>WWI Stereo Bluetooth Headphones E1000 Silver</t>
  </si>
  <si>
    <t>WWI Stereo Bluetooth Headphones E1000 White</t>
  </si>
  <si>
    <t>WWI Wall Lamp E215 Black</t>
  </si>
  <si>
    <t>WWI Wall Lamp E215 Blue</t>
  </si>
  <si>
    <t>WWI Wall Lamp E215 Grey</t>
  </si>
  <si>
    <t>WWI Wall Lamp E215 Silver</t>
  </si>
  <si>
    <t>WWI Wall Lamp E215 White</t>
  </si>
  <si>
    <t>WWI Wall Lamp E315 Black</t>
  </si>
  <si>
    <t>WWI Wall Lamp E315 Blue</t>
  </si>
  <si>
    <t>WWI Wall Lamp E315 Grey</t>
  </si>
  <si>
    <t>WWI Wall Lamp E315 Silver</t>
  </si>
  <si>
    <t>WWI Wall Lamp E315 White</t>
  </si>
  <si>
    <t>WWI Wireless Bluetooth Stereo Headphones M170 Black</t>
  </si>
  <si>
    <t>WWI Wireless Bluetooth Stereo Headphones M170 Pink</t>
  </si>
  <si>
    <t>WWI Wireless Bluetooth Stereo Headphones M170 Silver</t>
  </si>
  <si>
    <t>WWI Wireless Bluetooth Stereo Headphones M170 White</t>
  </si>
  <si>
    <t>WWI Wireless Bluetooth Stereo Headphones M270 Black</t>
  </si>
  <si>
    <t>WWI Wireless Bluetooth Stereo Headphones M270 Pink</t>
  </si>
  <si>
    <t>WWI Wireless Bluetooth Stereo Headphones M270 Silver</t>
  </si>
  <si>
    <t>WWI Wireless Bluetooth Stereo Headphones M270 White</t>
  </si>
  <si>
    <t>WWI Wireless Transmitter and Bluetooth Headphones X250 Black</t>
  </si>
  <si>
    <t>WWI Wireless Transmitter and Bluetooth Headphones X250 Blue</t>
  </si>
  <si>
    <t>WWI Wireless Transmitter and Bluetooth Headphones X250 Red</t>
  </si>
  <si>
    <t>WWI Wireless Transmitter and Bluetooth Headphones X250 Silver</t>
  </si>
  <si>
    <t>WWI Wireless Transmitter and Bluetooth Headphones X250 White</t>
  </si>
  <si>
    <t>Back</t>
  </si>
  <si>
    <t>Function/Functionality</t>
  </si>
  <si>
    <t>What does it do?</t>
  </si>
  <si>
    <t>How do we use it?</t>
  </si>
  <si>
    <t>Additional Comments</t>
  </si>
  <si>
    <t>COUNTIF</t>
  </si>
  <si>
    <t>Counts the number of cells within a range that meet the given criteria</t>
  </si>
  <si>
    <r>
      <t>COUNTIF(</t>
    </r>
    <r>
      <rPr>
        <sz val="10"/>
        <color indexed="48"/>
        <rFont val="Arial"/>
        <family val="2"/>
      </rPr>
      <t>cell range you are looking in</t>
    </r>
    <r>
      <rPr>
        <sz val="11"/>
        <color theme="1"/>
        <rFont val="Calibri"/>
        <family val="2"/>
        <scheme val="minor"/>
      </rPr>
      <t>,criteria - value; cell reference - you are looking for)</t>
    </r>
  </si>
  <si>
    <r>
      <t xml:space="preserve">To count entries using mathematical operators, use "&lt;32" in the &lt;criteria&gt; parameter field, to count the number of values in the range &lt;32
</t>
    </r>
    <r>
      <rPr>
        <sz val="10"/>
        <color indexed="48"/>
        <rFont val="Arial"/>
        <family val="2"/>
      </rPr>
      <t>Wildcard Usage</t>
    </r>
    <r>
      <rPr>
        <sz val="11"/>
        <color theme="1"/>
        <rFont val="Calibri"/>
        <family val="2"/>
        <scheme val="minor"/>
      </rPr>
      <t>: COUNTIF(C2:C40,"*te") will tell you how many words end with "te"</t>
    </r>
  </si>
  <si>
    <t>SUMIF</t>
  </si>
  <si>
    <t xml:space="preserve">Adds the cells within a range specified by a given criteria </t>
  </si>
  <si>
    <r>
      <t>SUMIF(</t>
    </r>
    <r>
      <rPr>
        <sz val="10"/>
        <color indexed="48"/>
        <rFont val="Arial"/>
        <family val="2"/>
      </rPr>
      <t>cell range you are looking in</t>
    </r>
    <r>
      <rPr>
        <sz val="11"/>
        <color theme="1"/>
        <rFont val="Calibri"/>
        <family val="2"/>
        <scheme val="minor"/>
      </rPr>
      <t>,criteria - value; cell reference - you are looking for,Sum_range; the actual cells to add if their corresponding cells in range match criteria)</t>
    </r>
  </si>
  <si>
    <r>
      <t>To sum entries using mathematical operators, criteria can be expressed as 32, "32", "&gt;32", or "apples"</t>
    </r>
    <r>
      <rPr>
        <sz val="10"/>
        <color indexed="48"/>
        <rFont val="Arial"/>
        <family val="2"/>
      </rPr>
      <t/>
    </r>
  </si>
  <si>
    <t>Excel has a variety of text functions that can be used to manipulate large amounts of data quickly and efficiently</t>
  </si>
  <si>
    <t>LEN</t>
  </si>
  <si>
    <t>Returns the number of characters in a text string</t>
  </si>
  <si>
    <r>
      <t>LEN(</t>
    </r>
    <r>
      <rPr>
        <sz val="10"/>
        <color indexed="48"/>
        <rFont val="Arial"/>
        <family val="2"/>
      </rPr>
      <t xml:space="preserve">text string </t>
    </r>
    <r>
      <rPr>
        <sz val="11"/>
        <color theme="1"/>
        <rFont val="Calibri"/>
        <family val="2"/>
        <scheme val="minor"/>
      </rPr>
      <t>)</t>
    </r>
  </si>
  <si>
    <t>LEFT</t>
  </si>
  <si>
    <t>Returns the first character or characters in a text string, based on the number of characters specified</t>
  </si>
  <si>
    <r>
      <t>LEFT(</t>
    </r>
    <r>
      <rPr>
        <sz val="10"/>
        <color indexed="48"/>
        <rFont val="Arial"/>
        <family val="2"/>
      </rPr>
      <t>text string that contains the character to be extracted</t>
    </r>
    <r>
      <rPr>
        <sz val="11"/>
        <color theme="1"/>
        <rFont val="Calibri"/>
        <family val="2"/>
        <scheme val="minor"/>
      </rPr>
      <t>, number of characters required from the left)</t>
    </r>
  </si>
  <si>
    <t>RIGHT</t>
  </si>
  <si>
    <t>Returns the last character or characters in a text string, based on the number of characters you specify</t>
  </si>
  <si>
    <r>
      <t>RIGHT(</t>
    </r>
    <r>
      <rPr>
        <sz val="10"/>
        <color indexed="48"/>
        <rFont val="Arial"/>
        <family val="2"/>
      </rPr>
      <t>text string that contains the character to be extracted</t>
    </r>
    <r>
      <rPr>
        <sz val="11"/>
        <color theme="1"/>
        <rFont val="Calibri"/>
        <family val="2"/>
        <scheme val="minor"/>
      </rPr>
      <t>, number of characters required from the right)</t>
    </r>
  </si>
  <si>
    <t>MID</t>
  </si>
  <si>
    <t>Returns a specific number of characters from a text string, starting at the position you specify, based on the number of characters you specify</t>
  </si>
  <si>
    <t>MID(text string ,the position of the first character you want to extract in text,specifies the number of characters you want MID to return from text)</t>
  </si>
  <si>
    <t>If start_num is greater than the length of text, MID returns "" (empty text)
If start_num is less than the length of text, but start_num plus num_chars exceeds the length of text, MID returns the characters up to the end of text
If start_num is less than 1, MID returns the #VALUE! error value
If num_chars is negative, MID returns the #VALUE! error value</t>
  </si>
  <si>
    <t>TRIM</t>
  </si>
  <si>
    <t>Removes all spaces from text except for single spaces between words</t>
  </si>
  <si>
    <t>TRIM(the text from which you want spaces removed)</t>
  </si>
  <si>
    <t>Convenient to use on text imported from other applications that may have irregular spacing</t>
  </si>
  <si>
    <t>PASTE SPECIAL COMMAND</t>
  </si>
  <si>
    <t>It copies formula/format/values/comment etc. from one cell to be pasted on another</t>
  </si>
  <si>
    <t xml:space="preserve"> -Copy the cells of interest
 -Place the cursor where you want to past the information
 -Select Edit : Paste Special from the menu bar
 -Select the appropriate options from the dialog box that appears</t>
  </si>
  <si>
    <t xml:space="preserve">Saves you lots of time
-Retyping formulas
-Converts formulas into values
-Reformatting cells
-Transposing cells (i.e., convert row-entered data blocks into column-entered ones)
</t>
  </si>
  <si>
    <t>CONDITIONAL FORMATTING</t>
  </si>
  <si>
    <t>It helpd you color the output of cells in different colors</t>
  </si>
  <si>
    <t xml:space="preserve"> -Mark the relevant fields and select Format: Conditional Formatting
 -Select the criteria for the format and adjust the format. 
 -You can actually change the font, the border and the color
 -Click on Add to select additional criteria for the formatting
</t>
  </si>
  <si>
    <t>You can have a maximum of 3 conditions at one time</t>
  </si>
  <si>
    <t>VLOOKUP</t>
  </si>
  <si>
    <t>Searches for a value in the first column of a table array and returns a value in the same row from another column in the table array</t>
  </si>
  <si>
    <r>
      <t>VLOOKUP</t>
    </r>
    <r>
      <rPr>
        <sz val="10"/>
        <color indexed="48"/>
        <rFont val="Arial"/>
        <family val="2"/>
      </rPr>
      <t>(cell reference of the value to be looked up</t>
    </r>
    <r>
      <rPr>
        <sz val="11"/>
        <color theme="1"/>
        <rFont val="Calibri"/>
        <family val="2"/>
        <scheme val="minor"/>
      </rPr>
      <t>,table array range where the first column contains the value being looked up,</t>
    </r>
    <r>
      <rPr>
        <sz val="10"/>
        <color indexed="48"/>
        <rFont val="Arial"/>
        <family val="2"/>
      </rPr>
      <t>position of the column data needs to be retrieved from</t>
    </r>
    <r>
      <rPr>
        <sz val="11"/>
        <color theme="1"/>
        <rFont val="Calibri"/>
        <family val="2"/>
        <scheme val="minor"/>
      </rPr>
      <t>,type of match)</t>
    </r>
  </si>
  <si>
    <t>Type of Match:
0, False : Gives an exact match
1, True  : Gives an approximate or exact match (be sure to sort your data in ascenfding order before trying this)</t>
  </si>
  <si>
    <t>HLOOKUP</t>
  </si>
  <si>
    <t>Searches for a value in the first row of a table array and returns a value in the same column from another row in the table array</t>
  </si>
  <si>
    <r>
      <t>VLOOKUP</t>
    </r>
    <r>
      <rPr>
        <sz val="10"/>
        <color indexed="48"/>
        <rFont val="Arial"/>
        <family val="2"/>
      </rPr>
      <t>(cell reference of the value to be looked up</t>
    </r>
    <r>
      <rPr>
        <sz val="11"/>
        <color theme="1"/>
        <rFont val="Calibri"/>
        <family val="2"/>
        <scheme val="minor"/>
      </rPr>
      <t>,table array range where the first row contains the value being looked up,</t>
    </r>
    <r>
      <rPr>
        <sz val="10"/>
        <color indexed="48"/>
        <rFont val="Arial"/>
        <family val="2"/>
      </rPr>
      <t>position of the row data needs to be retrieved from</t>
    </r>
    <r>
      <rPr>
        <sz val="11"/>
        <color theme="1"/>
        <rFont val="Calibri"/>
        <family val="2"/>
        <scheme val="minor"/>
      </rPr>
      <t>,type of match)</t>
    </r>
  </si>
  <si>
    <t>LOOKUP</t>
  </si>
  <si>
    <t>Returns a value either from a one-row or one-column range or from an array</t>
  </si>
  <si>
    <t>LOOKUP(cell reference of the value to be looked up,Row or Column where the lookup_value needs to be searched,Row or Column from where the corresponding data point is required)</t>
  </si>
  <si>
    <r>
      <t>Warning: Must Sort the Lookup row or column in ascending order before using Lookup.</t>
    </r>
    <r>
      <rPr>
        <sz val="11"/>
        <color theme="1"/>
        <rFont val="Calibri"/>
        <family val="2"/>
        <scheme val="minor"/>
      </rPr>
      <t xml:space="preserve">
If an exact match is not found, the largest value less than or equal to the closest match to the lookup value is returned</t>
    </r>
  </si>
  <si>
    <t>ASW TRAINING</t>
  </si>
  <si>
    <t>The vinyards of Europe finally started taking stock of the statistics behind their wines. Seven regions have put together data to do some simple benchmarking.</t>
  </si>
  <si>
    <t>Your objective would be to help our Monsieurs come up with numbers they can use. Use the data available in DataSet3 for information unavailable here</t>
  </si>
  <si>
    <t>OrderDate</t>
  </si>
  <si>
    <t xml:space="preserve">Quantity </t>
  </si>
  <si>
    <t xml:space="preserve">Month </t>
  </si>
  <si>
    <t xml:space="preserve">Region </t>
  </si>
  <si>
    <t>ProductRegion</t>
  </si>
  <si>
    <t>Bordeaux</t>
  </si>
  <si>
    <t>NRW</t>
  </si>
  <si>
    <t>Region Count</t>
  </si>
  <si>
    <t>Pfalz</t>
  </si>
  <si>
    <t>Saarland</t>
  </si>
  <si>
    <t>BW</t>
  </si>
  <si>
    <t>Hessen</t>
  </si>
  <si>
    <t>Holstein</t>
  </si>
  <si>
    <t>Bayern</t>
  </si>
  <si>
    <t>Region Quantity Total</t>
  </si>
  <si>
    <t>Chardonnay</t>
  </si>
  <si>
    <t>Chianti</t>
  </si>
  <si>
    <t>Chiraz</t>
  </si>
  <si>
    <t>Deinhard</t>
  </si>
  <si>
    <t>M&amp;M</t>
  </si>
  <si>
    <t>Moet</t>
  </si>
  <si>
    <t>Mumm</t>
  </si>
  <si>
    <t>Riesling</t>
  </si>
  <si>
    <t>Rioja</t>
  </si>
  <si>
    <t>Soave</t>
  </si>
  <si>
    <t>Names</t>
  </si>
  <si>
    <t>Card Numbers</t>
  </si>
  <si>
    <t>Lower Case</t>
  </si>
  <si>
    <t>Upper Case</t>
  </si>
  <si>
    <t>Proper Case</t>
  </si>
  <si>
    <t>Card Length</t>
  </si>
  <si>
    <t>RAVI</t>
  </si>
  <si>
    <t>SHIVA</t>
  </si>
  <si>
    <t>MOHIT</t>
  </si>
  <si>
    <t>RUPA</t>
  </si>
  <si>
    <t>DEEPA</t>
  </si>
  <si>
    <t>SHARMIN</t>
  </si>
  <si>
    <t>BABU</t>
  </si>
  <si>
    <t>JALAL</t>
  </si>
  <si>
    <t>MAYANK</t>
  </si>
  <si>
    <t>RAHUL</t>
  </si>
  <si>
    <t>SUNIL</t>
  </si>
  <si>
    <t>MEHAK</t>
  </si>
  <si>
    <t>SAKSHI</t>
  </si>
  <si>
    <t>SAMEER</t>
  </si>
  <si>
    <t>VIRENDER</t>
  </si>
  <si>
    <t>ROHIT</t>
  </si>
  <si>
    <t>DEEPAK</t>
  </si>
  <si>
    <t>If Condition</t>
  </si>
  <si>
    <t>Employee</t>
  </si>
  <si>
    <t>Yrs of Service</t>
  </si>
  <si>
    <t>Sue</t>
  </si>
  <si>
    <t>Tom</t>
  </si>
  <si>
    <t>Item</t>
  </si>
  <si>
    <t>Qty</t>
  </si>
  <si>
    <t>Price</t>
  </si>
  <si>
    <t>Amount</t>
  </si>
  <si>
    <t>Apples</t>
  </si>
  <si>
    <t>Bananas</t>
  </si>
  <si>
    <t>Cheese</t>
  </si>
  <si>
    <t>Eggs</t>
  </si>
  <si>
    <t>Milk</t>
  </si>
  <si>
    <t>Name</t>
  </si>
  <si>
    <t>Gender</t>
  </si>
  <si>
    <t>Mr/Ms</t>
  </si>
  <si>
    <t>M</t>
  </si>
  <si>
    <t>Jane</t>
  </si>
  <si>
    <t>F</t>
  </si>
  <si>
    <t>Maria</t>
  </si>
  <si>
    <t>4. Criteria for Target Customers: Male, have children and age younger than 45 years</t>
  </si>
  <si>
    <t>State of 
Residence</t>
  </si>
  <si>
    <t>Children</t>
  </si>
  <si>
    <t>Age</t>
  </si>
  <si>
    <t>Target
 Customer</t>
  </si>
  <si>
    <t>Customer 1</t>
  </si>
  <si>
    <t>AP</t>
  </si>
  <si>
    <t>Yes</t>
  </si>
  <si>
    <t>Customer 2</t>
  </si>
  <si>
    <t>TN</t>
  </si>
  <si>
    <t>Customer 3</t>
  </si>
  <si>
    <t>KA</t>
  </si>
  <si>
    <t>Customer 4</t>
  </si>
  <si>
    <t>No</t>
  </si>
  <si>
    <t>Customer 5</t>
  </si>
  <si>
    <t>KL</t>
  </si>
  <si>
    <t>Customer 6</t>
  </si>
  <si>
    <t>Customer 7</t>
  </si>
  <si>
    <t>Customer 8</t>
  </si>
  <si>
    <t>5. Criteria for Target Customers: Should live in either TN or AP</t>
  </si>
  <si>
    <t>6. Sales Commission:</t>
  </si>
  <si>
    <t>Week 2</t>
  </si>
  <si>
    <t>Week 3</t>
  </si>
  <si>
    <t>Totals</t>
  </si>
  <si>
    <t>Commission</t>
  </si>
  <si>
    <t>Commission Scale</t>
  </si>
  <si>
    <t>H. James</t>
  </si>
  <si>
    <t xml:space="preserve">        $0 - $19,999  = 5%</t>
  </si>
  <si>
    <t>K. Dunn</t>
  </si>
  <si>
    <t>$20,000 - $29,999  = 7%</t>
  </si>
  <si>
    <t>L. Carrie</t>
  </si>
  <si>
    <t>$30,000 - $39,999  = 10%</t>
  </si>
  <si>
    <t>R. Smith</t>
  </si>
  <si>
    <t>$40,000 &amp; Above   = 12%</t>
  </si>
  <si>
    <t>D. O'Brian</t>
  </si>
  <si>
    <t>B. Johnson</t>
  </si>
  <si>
    <t>7. Find Quarter from Date: [Use Month(Date) Formula]</t>
  </si>
  <si>
    <t>Product Name</t>
  </si>
  <si>
    <t>Quarter</t>
  </si>
  <si>
    <t>Clothing</t>
  </si>
  <si>
    <t>Footwear</t>
  </si>
  <si>
    <t>Mobiles</t>
  </si>
  <si>
    <t>Employee ID</t>
  </si>
  <si>
    <t>Sales Amount</t>
  </si>
  <si>
    <t>Catherine Barkley</t>
  </si>
  <si>
    <t>0054</t>
  </si>
  <si>
    <t>Gabriel Oak</t>
  </si>
  <si>
    <t>0679</t>
  </si>
  <si>
    <t>John Smith</t>
  </si>
  <si>
    <t>0999</t>
  </si>
  <si>
    <t>Ellsworth Toohey</t>
  </si>
  <si>
    <t>Ethan Frome</t>
  </si>
  <si>
    <t>Howard Roark</t>
  </si>
  <si>
    <t>Daisy Miller</t>
  </si>
  <si>
    <t>Frederic Henry</t>
  </si>
  <si>
    <t>1. Based on N.Code retrieve Nations</t>
  </si>
  <si>
    <t>Test Cricket - Top 100 Batsman (Nov - 2010)</t>
  </si>
  <si>
    <t>ID</t>
  </si>
  <si>
    <t>Ratings</t>
  </si>
  <si>
    <t>N.Code</t>
  </si>
  <si>
    <t>Nations</t>
  </si>
  <si>
    <t>S.R. Tendulkar </t>
  </si>
  <si>
    <t>IND </t>
  </si>
  <si>
    <t>India</t>
  </si>
  <si>
    <t>K.C. Sangakkara </t>
  </si>
  <si>
    <t>SL </t>
  </si>
  <si>
    <t>Sri Lanka</t>
  </si>
  <si>
    <t>V. Sehwag </t>
  </si>
  <si>
    <t>WI </t>
  </si>
  <si>
    <t>West Indies</t>
  </si>
  <si>
    <t>S. Chanderpaul </t>
  </si>
  <si>
    <t>SA </t>
  </si>
  <si>
    <t>South Africa</t>
  </si>
  <si>
    <t>D.P.M.D. Jayawardena </t>
  </si>
  <si>
    <t>NZ </t>
  </si>
  <si>
    <t>New Zealand</t>
  </si>
  <si>
    <t>J.H. Kallis </t>
  </si>
  <si>
    <t>AUS </t>
  </si>
  <si>
    <t>Australia</t>
  </si>
  <si>
    <t>G.C. Smith </t>
  </si>
  <si>
    <t>ENG </t>
  </si>
  <si>
    <t>England</t>
  </si>
  <si>
    <t>V.V.S. Laxman </t>
  </si>
  <si>
    <t>PAK </t>
  </si>
  <si>
    <t>Pakistan</t>
  </si>
  <si>
    <t>R.L. Taylor </t>
  </si>
  <si>
    <t>BAN </t>
  </si>
  <si>
    <t>Bangladesh</t>
  </si>
  <si>
    <t>A.B. de Villiers </t>
  </si>
  <si>
    <t>T.T. Samaraweera </t>
  </si>
  <si>
    <t>H.M. Amla </t>
  </si>
  <si>
    <t>M.J. Clarke </t>
  </si>
  <si>
    <t>S.M. Katich </t>
  </si>
  <si>
    <t>I.J.L. Trott </t>
  </si>
  <si>
    <t>R.T. Ponting </t>
  </si>
  <si>
    <t>G. Gambhir </t>
  </si>
  <si>
    <t>Mohammad Yousuf </t>
  </si>
  <si>
    <t>Younus Khan </t>
  </si>
  <si>
    <t>Tamim Iqbal </t>
  </si>
  <si>
    <t>C.H. Gayle </t>
  </si>
  <si>
    <t>R. Dravid </t>
  </si>
  <si>
    <t>K.P. Pietersen </t>
  </si>
  <si>
    <t>S.R. Watson </t>
  </si>
  <si>
    <t>T.M. Dilshan </t>
  </si>
  <si>
    <t>D.L. Vettori </t>
  </si>
  <si>
    <t>A.J. Strauss </t>
  </si>
  <si>
    <t>I.R. Bell </t>
  </si>
  <si>
    <t>R.R. Sarwan </t>
  </si>
  <si>
    <t>A.G. Prince </t>
  </si>
  <si>
    <t>A.N. Cook </t>
  </si>
  <si>
    <t>M.E.K. Hussey </t>
  </si>
  <si>
    <t>P.D. Collingwood </t>
  </si>
  <si>
    <t>M.J. Prior </t>
  </si>
  <si>
    <t>B.B. McCullum </t>
  </si>
  <si>
    <t>Umar Akmal </t>
  </si>
  <si>
    <t>M.S. Dhoni </t>
  </si>
  <si>
    <t>Salman Butt </t>
  </si>
  <si>
    <t>B.J. Haddin </t>
  </si>
  <si>
    <t>M.V. Boucher </t>
  </si>
  <si>
    <t>J.D. Ryder </t>
  </si>
  <si>
    <t>P.J. Hughes </t>
  </si>
  <si>
    <t>Imran Farhat </t>
  </si>
  <si>
    <t>D.J.J. Bravo </t>
  </si>
  <si>
    <t>Shakib Al Hasan </t>
  </si>
  <si>
    <t>M.J. North </t>
  </si>
  <si>
    <t>Mushfiqur Rahim </t>
  </si>
  <si>
    <t>B.P. Nash </t>
  </si>
  <si>
    <t>S.C.J. Broad </t>
  </si>
  <si>
    <t>Junaid Siddique </t>
  </si>
  <si>
    <t>J.D.P. Oram </t>
  </si>
  <si>
    <t>Kamran Akmal </t>
  </si>
  <si>
    <t>N.T. Paranavithana </t>
  </si>
  <si>
    <t>Shoaib Malik </t>
  </si>
  <si>
    <t>Misbah-ul-Haq </t>
  </si>
  <si>
    <t>M.J. Guptill </t>
  </si>
  <si>
    <t>M.J. Vijay </t>
  </si>
  <si>
    <t>S. Raina </t>
  </si>
  <si>
    <t>Yuvraj Singh </t>
  </si>
  <si>
    <t>Mahmudullah </t>
  </si>
  <si>
    <t>Azhar Ali </t>
  </si>
  <si>
    <t>H.A.P.W. Jayawardena </t>
  </si>
  <si>
    <t>Zulqarnain Haider </t>
  </si>
  <si>
    <t>Shahriar Nafees </t>
  </si>
  <si>
    <t>T.D. Paine </t>
  </si>
  <si>
    <t>N. Deonarine </t>
  </si>
  <si>
    <t>T.G McIntosh </t>
  </si>
  <si>
    <t>B.S.M. Warnapura </t>
  </si>
  <si>
    <t>D.E. Bernard </t>
  </si>
  <si>
    <t>D. Ramdin </t>
  </si>
  <si>
    <t>A.D. Mathews </t>
  </si>
  <si>
    <t>T.M. Dowlin </t>
  </si>
  <si>
    <t>Faisal Iqbal </t>
  </si>
  <si>
    <t>E.J.G. Morgan </t>
  </si>
  <si>
    <t>D.S. Smith </t>
  </si>
  <si>
    <t>D.R. Flynn </t>
  </si>
  <si>
    <t>Mohammad Ashraful </t>
  </si>
  <si>
    <t>Yasir Hameed </t>
  </si>
  <si>
    <t>C.K. Kapugedera </t>
  </si>
  <si>
    <t>G.P. Swann </t>
  </si>
  <si>
    <t>J.P. Duminy </t>
  </si>
  <si>
    <t>Fawad Alam </t>
  </si>
  <si>
    <t>A. Barath </t>
  </si>
  <si>
    <t>R.S. Bopara </t>
  </si>
  <si>
    <t>M.S. Sinclair </t>
  </si>
  <si>
    <t>M.G. Johnson </t>
  </si>
  <si>
    <t>Khurram Manzoor </t>
  </si>
  <si>
    <t>O. Phillips </t>
  </si>
  <si>
    <t>C.A. Pujara </t>
  </si>
  <si>
    <t>K.K.D. Karthik </t>
  </si>
  <si>
    <t>N.M. Hauritz </t>
  </si>
  <si>
    <t>Aftab Ahmed </t>
  </si>
  <si>
    <t>A.N. Petersen </t>
  </si>
  <si>
    <t>Imrul Kayes </t>
  </si>
  <si>
    <t>B.J. Watling </t>
  </si>
  <si>
    <t>S.P.D. Smith </t>
  </si>
  <si>
    <t>D.R. Tuffey </t>
  </si>
  <si>
    <t>D.J.G. Sammy </t>
  </si>
  <si>
    <t>R. McLaren </t>
  </si>
  <si>
    <t>Raqibul Hasan </t>
  </si>
  <si>
    <t>S.No</t>
  </si>
  <si>
    <t>Type</t>
  </si>
  <si>
    <t>Part Number</t>
  </si>
  <si>
    <t>Cost</t>
  </si>
  <si>
    <t>Quantity</t>
  </si>
  <si>
    <t>Total Value</t>
  </si>
  <si>
    <t>RT</t>
  </si>
  <si>
    <t>Dept 2</t>
  </si>
  <si>
    <t>AC</t>
  </si>
  <si>
    <t>Dept 5</t>
  </si>
  <si>
    <t>AB</t>
  </si>
  <si>
    <t>Dept 4</t>
  </si>
  <si>
    <t>DE</t>
  </si>
  <si>
    <t>DB</t>
  </si>
  <si>
    <t>Dept 1</t>
  </si>
  <si>
    <t>Dept 3</t>
  </si>
  <si>
    <t>Asset:</t>
  </si>
  <si>
    <t>Office Furniture</t>
  </si>
  <si>
    <t>Original Cost:</t>
  </si>
  <si>
    <t>Life (years):</t>
  </si>
  <si>
    <t>Salvage Value:</t>
  </si>
  <si>
    <t>Depreciation Amount</t>
  </si>
  <si>
    <t>SLN</t>
  </si>
  <si>
    <t>Value of Asset</t>
  </si>
  <si>
    <t>If Error:</t>
  </si>
  <si>
    <t>91-9953729651</t>
  </si>
  <si>
    <t>Employee Name</t>
  </si>
  <si>
    <t>Employee Title</t>
  </si>
  <si>
    <t>Lease Start Date</t>
  </si>
  <si>
    <t>Lease End Date</t>
  </si>
  <si>
    <t>Lease Term (Years)</t>
  </si>
  <si>
    <t>Monthly Repayment</t>
  </si>
  <si>
    <t>Car Value</t>
  </si>
  <si>
    <t>Auditor</t>
  </si>
  <si>
    <t>Administration Manager</t>
  </si>
  <si>
    <t>Harold Swarski</t>
  </si>
  <si>
    <t>Sales Director</t>
  </si>
  <si>
    <t>Executive</t>
  </si>
  <si>
    <t>Jeremy Attard</t>
  </si>
  <si>
    <t>Finance Director</t>
  </si>
  <si>
    <t>Karen James</t>
  </si>
  <si>
    <t>Marketing Director</t>
  </si>
  <si>
    <t>Lars Eriksson</t>
  </si>
  <si>
    <t>Human Resources Manager</t>
  </si>
  <si>
    <t>Personnel</t>
  </si>
  <si>
    <t>Erin Davidson</t>
  </si>
  <si>
    <t>Snr Product Manager</t>
  </si>
  <si>
    <t>Martin Drummond</t>
  </si>
  <si>
    <t>Duncan Edwards</t>
  </si>
  <si>
    <t>Robyn Dickson</t>
  </si>
  <si>
    <t>Terrance Bourke</t>
  </si>
  <si>
    <t>Sales Representative</t>
  </si>
  <si>
    <t>Amanda Constantine</t>
  </si>
  <si>
    <t>William Cohen</t>
  </si>
  <si>
    <t>Henry Choi</t>
  </si>
  <si>
    <t>Charles Chong</t>
  </si>
  <si>
    <t>Maria Costello</t>
  </si>
  <si>
    <t>Brian Briggs</t>
  </si>
  <si>
    <t>Ashley Baranov</t>
  </si>
  <si>
    <t>Management Consultant</t>
  </si>
  <si>
    <t>Consultancy</t>
  </si>
  <si>
    <t>Jane Appleby</t>
  </si>
  <si>
    <t>Snr Accountant</t>
  </si>
  <si>
    <t>Su Lee</t>
  </si>
  <si>
    <t>Deng Liu</t>
  </si>
  <si>
    <t>I.T. Manager</t>
  </si>
  <si>
    <t>I.T.</t>
  </si>
  <si>
    <t>Heather Lane</t>
  </si>
  <si>
    <t>Zachariah Jones</t>
  </si>
  <si>
    <t>Katherine Fowler</t>
  </si>
  <si>
    <t>Kelvin Greentree</t>
  </si>
  <si>
    <t>James Hopkins</t>
  </si>
  <si>
    <t>Wendy Hayes</t>
  </si>
  <si>
    <t>Kelly Abrams</t>
  </si>
  <si>
    <t>Jonathon Gabriel</t>
  </si>
  <si>
    <t>Sally Fetherston</t>
  </si>
  <si>
    <t>Catherine McDonald</t>
  </si>
  <si>
    <t>Accountant</t>
  </si>
  <si>
    <t>Kim Marshall</t>
  </si>
  <si>
    <t>Helen Mann</t>
  </si>
  <si>
    <t>Janice Mears</t>
  </si>
  <si>
    <t>Geoffrey McAlister</t>
  </si>
  <si>
    <t>Product Manager</t>
  </si>
  <si>
    <t>Ross Logan</t>
  </si>
  <si>
    <t>Naomi Morgan</t>
  </si>
  <si>
    <t>Managing Director</t>
  </si>
  <si>
    <t>Trang Nguyen</t>
  </si>
  <si>
    <t>Daniel O'Sullivan</t>
  </si>
  <si>
    <t>Andrew Potts</t>
  </si>
  <si>
    <t>Tracey O'Connor</t>
  </si>
  <si>
    <t>Elizabeth Nelson</t>
  </si>
  <si>
    <t>Garry Munro</t>
  </si>
  <si>
    <t>John Neville</t>
  </si>
  <si>
    <t>Edward Palmer</t>
  </si>
  <si>
    <t>Mark Saxon</t>
  </si>
  <si>
    <t>I.T. Support Consultant</t>
  </si>
  <si>
    <t>Larry Smith</t>
  </si>
  <si>
    <t>Sunhil Silva</t>
  </si>
  <si>
    <t>Ray Hathoway</t>
  </si>
  <si>
    <t>Gino Strazzeri</t>
  </si>
  <si>
    <t>Percy Sharp</t>
  </si>
  <si>
    <t>Kevin Richards</t>
  </si>
  <si>
    <t>Ellen Warren</t>
  </si>
  <si>
    <t>Nicole Sutton</t>
  </si>
  <si>
    <t>Purchasing Manager</t>
  </si>
  <si>
    <t>Bruce Whitehead</t>
  </si>
  <si>
    <t>Snr Management Consultant</t>
  </si>
  <si>
    <t>Chu Tang</t>
  </si>
  <si>
    <t>Oanna Daly</t>
  </si>
  <si>
    <t>AJohn Davis</t>
  </si>
  <si>
    <t>Gates</t>
  </si>
  <si>
    <t>Alpha</t>
  </si>
  <si>
    <t>Beta</t>
  </si>
  <si>
    <t>sales</t>
  </si>
  <si>
    <t>CCd</t>
  </si>
  <si>
    <t xml:space="preserve"> If Gender is Male, Then add Mr. to Name else add Ms. To Name</t>
  </si>
  <si>
    <t xml:space="preserve"> Any employee with more than 5 years of service, then 10% bonus from Salary</t>
  </si>
  <si>
    <t>If Quantity is not Blank, Then Price * Qty or Display Blank</t>
  </si>
  <si>
    <t xml:space="preserve">Sensitivity analysis </t>
  </si>
  <si>
    <t>EMI</t>
  </si>
  <si>
    <t xml:space="preserve">Loan Amount </t>
  </si>
  <si>
    <t xml:space="preserve">Rate of interest </t>
  </si>
  <si>
    <t xml:space="preserve">Duration </t>
  </si>
  <si>
    <t xml:space="preserve">EMI </t>
  </si>
  <si>
    <t>Equated Montly Instalment</t>
  </si>
  <si>
    <t>Duration</t>
  </si>
  <si>
    <t xml:space="preserve">Interest Component </t>
  </si>
  <si>
    <t xml:space="preserve">Principal Component </t>
  </si>
  <si>
    <t xml:space="preserve">Principal Outstanding </t>
  </si>
  <si>
    <t>emi Beginning of the period</t>
  </si>
  <si>
    <t xml:space="preserve">EMI At the end of the period </t>
  </si>
  <si>
    <t xml:space="preserve">Data </t>
  </si>
  <si>
    <t xml:space="preserve">Rank </t>
  </si>
  <si>
    <t>Data</t>
  </si>
  <si>
    <t xml:space="preserve">Sachin </t>
  </si>
  <si>
    <t xml:space="preserve">Rahul </t>
  </si>
  <si>
    <t xml:space="preserve">Saurabh </t>
  </si>
  <si>
    <t xml:space="preserve">Virat </t>
  </si>
  <si>
    <t xml:space="preserve">Rohit </t>
  </si>
  <si>
    <t>Harbhajan</t>
  </si>
  <si>
    <t>Sehwag</t>
  </si>
  <si>
    <t xml:space="preserve">Ranks </t>
  </si>
  <si>
    <t>Ranks</t>
  </si>
  <si>
    <t>Based on Part Number retreive Department &amp; Total Values</t>
  </si>
  <si>
    <t>Net Margin</t>
  </si>
  <si>
    <t>Sr. no.</t>
  </si>
  <si>
    <t>BASIC SALARY</t>
  </si>
  <si>
    <t>HOUSE RENT ALL.</t>
  </si>
  <si>
    <t>MEDICAL REIMBURS.</t>
  </si>
  <si>
    <t>CONVEYANCE ALL.</t>
  </si>
  <si>
    <t>EDUCATION  ALL.</t>
  </si>
  <si>
    <t>SERVANT ALLOWANCE</t>
  </si>
  <si>
    <t>LEAVE TRAVEL ALL.</t>
  </si>
  <si>
    <t>LEAVE SALARY</t>
  </si>
  <si>
    <t>VARIABLE PAY</t>
  </si>
  <si>
    <t>BONUS</t>
  </si>
  <si>
    <t>SUPERANNUATION</t>
  </si>
  <si>
    <t xml:space="preserve">               TOTAL</t>
  </si>
  <si>
    <t>LESS: EXEMPTIONS</t>
  </si>
  <si>
    <t xml:space="preserve">HRA </t>
  </si>
  <si>
    <t>MEDICAL REIMBURSE</t>
  </si>
  <si>
    <t>EDUCATION ALL.</t>
  </si>
  <si>
    <t>SUPERANNUATION (17(2)(v))</t>
  </si>
  <si>
    <t>TOTAL EXEMPTIONS</t>
  </si>
  <si>
    <t>PROF. TAX</t>
  </si>
  <si>
    <t>NET SALARY INCOME</t>
  </si>
  <si>
    <t>LESS: DEDUCTIONS</t>
  </si>
  <si>
    <t>MEDICLAIM  INSUR. (80D)</t>
  </si>
  <si>
    <t>INT. ON HOUSING LOAN (24b)</t>
  </si>
  <si>
    <t>EQUITY SAVING SCHEME (80CCG)</t>
  </si>
  <si>
    <t>DEDUCTION U/S 80C</t>
  </si>
  <si>
    <t>EMP. PROVIDENT FUND</t>
  </si>
  <si>
    <t>P.P.F.</t>
  </si>
  <si>
    <t>NSC</t>
  </si>
  <si>
    <t>PRIN. AMT HOUSING LOAN</t>
  </si>
  <si>
    <t>INSURANCE PREMIUM</t>
  </si>
  <si>
    <t>EDUCATION EXP.</t>
  </si>
  <si>
    <t>PENSION PLAN</t>
  </si>
  <si>
    <t>TAXABLE INCOME</t>
  </si>
  <si>
    <t>0-200000</t>
  </si>
  <si>
    <t>200001-500000</t>
  </si>
  <si>
    <t>500001-1000000</t>
  </si>
  <si>
    <t>1000001-ABOVE</t>
  </si>
  <si>
    <t>TAX ON INCOME</t>
  </si>
  <si>
    <t>Edu. Cess 2%</t>
  </si>
  <si>
    <t>S &amp; H Edu.Cess1%</t>
  </si>
  <si>
    <t>TOTAL TAX PAYABLE</t>
  </si>
  <si>
    <t>TDS DEDUCTED</t>
  </si>
  <si>
    <t>TDS TO BE DEDUCTED</t>
  </si>
  <si>
    <t>A</t>
  </si>
  <si>
    <t>B</t>
  </si>
  <si>
    <t>C</t>
  </si>
  <si>
    <t>D</t>
  </si>
  <si>
    <t>EMPLOYEE NAME</t>
  </si>
  <si>
    <t>DETAILS</t>
  </si>
  <si>
    <t>MONTHLY</t>
  </si>
  <si>
    <t>ANNUAL</t>
  </si>
  <si>
    <t xml:space="preserve"> </t>
  </si>
  <si>
    <t>LESS:</t>
  </si>
  <si>
    <t>a</t>
  </si>
  <si>
    <t>b</t>
  </si>
  <si>
    <t>c</t>
  </si>
  <si>
    <t>d</t>
  </si>
  <si>
    <t>e</t>
  </si>
  <si>
    <t xml:space="preserve">If the money doubles in every 3 years (make it dynamic), how much time will it take for 1 million to become 1 billion, Show that in a table </t>
  </si>
  <si>
    <t>TRS FOR TECHNOLOGY &amp; STEEL COMPANIES</t>
  </si>
  <si>
    <t>Source:DataStream</t>
  </si>
  <si>
    <t>Time Frame: May 1 to May 8 2015</t>
  </si>
  <si>
    <t>Frequency: Daily</t>
  </si>
  <si>
    <t>Currency: INR</t>
  </si>
  <si>
    <t>Use one formula to populate the entire first table</t>
  </si>
  <si>
    <t>TISCO</t>
  </si>
  <si>
    <t>INFOSYS</t>
  </si>
  <si>
    <t>BHARTI</t>
  </si>
  <si>
    <t xml:space="preserve">data </t>
  </si>
  <si>
    <t>Sourav</t>
  </si>
  <si>
    <t>Dhoni</t>
  </si>
  <si>
    <t xml:space="preserve">Advance  Excel </t>
  </si>
  <si>
    <t>`</t>
  </si>
  <si>
    <t>Using Hlook up</t>
  </si>
  <si>
    <t>Using Vlook up Share Price</t>
  </si>
  <si>
    <t>Offset</t>
  </si>
  <si>
    <t>Index</t>
  </si>
  <si>
    <t>Index + Match</t>
  </si>
  <si>
    <t>Scroll between different worksheet</t>
  </si>
  <si>
    <t>Ctrl + Page</t>
  </si>
  <si>
    <t>Ctrl+ Page down</t>
  </si>
  <si>
    <t>Ctrl + Keys</t>
  </si>
  <si>
    <t>Sums</t>
  </si>
  <si>
    <t>Sums for Alphanumerical Numbers</t>
  </si>
  <si>
    <t>Count</t>
  </si>
  <si>
    <t>Count A</t>
  </si>
  <si>
    <t xml:space="preserve">Average </t>
  </si>
  <si>
    <t>Median</t>
  </si>
  <si>
    <t>Link the cell</t>
  </si>
  <si>
    <t xml:space="preserve">Transpone </t>
  </si>
  <si>
    <t>Transpone the value in an array</t>
  </si>
  <si>
    <t>Alt + E+S</t>
  </si>
  <si>
    <t xml:space="preserve"> (Paste special)</t>
  </si>
  <si>
    <t>A+H+0</t>
  </si>
  <si>
    <t xml:space="preserve"> (increase the decimal)</t>
  </si>
  <si>
    <t>Alt +H+K</t>
  </si>
  <si>
    <t>(comma into decimals)</t>
  </si>
  <si>
    <t>Alt+H+9</t>
  </si>
  <si>
    <t>(Decrease the decimals)</t>
  </si>
  <si>
    <t xml:space="preserve">Alt +H+P </t>
  </si>
  <si>
    <t>(Put the number to Percentage)</t>
  </si>
  <si>
    <t>Alt +O+C+A</t>
  </si>
  <si>
    <t>(Fix the width of the cell)</t>
  </si>
  <si>
    <t>Ctrll+ shift +</t>
  </si>
  <si>
    <t>(To insert the column and the rowns in cell)</t>
  </si>
  <si>
    <t>Ctrl +-</t>
  </si>
  <si>
    <t>(To delete the Row and column)</t>
  </si>
  <si>
    <t>Alt +D+F+F</t>
  </si>
  <si>
    <t>Filters</t>
  </si>
  <si>
    <t>Advanced Filters</t>
  </si>
  <si>
    <t>Subtotal formulas</t>
  </si>
  <si>
    <t>Freezing of the cell</t>
  </si>
  <si>
    <t>Dollar sign before the albhabet and rows</t>
  </si>
  <si>
    <t>Freezing of the rows</t>
  </si>
  <si>
    <t>Dollar sign before the numbers row</t>
  </si>
  <si>
    <t>Freezing of the column</t>
  </si>
  <si>
    <t>Dollar sign before the albhabet</t>
  </si>
  <si>
    <t>Sensitivity Analysis</t>
  </si>
  <si>
    <t>(In Data Table)</t>
  </si>
  <si>
    <t>PMT formula</t>
  </si>
  <si>
    <t>Goal seek</t>
  </si>
  <si>
    <t>In Data table</t>
  </si>
  <si>
    <t xml:space="preserve">Developer Tap </t>
  </si>
  <si>
    <t>Sroller</t>
  </si>
  <si>
    <t>If</t>
  </si>
  <si>
    <t>If IF</t>
  </si>
  <si>
    <t>If or</t>
  </si>
  <si>
    <t>If + and + Or</t>
  </si>
  <si>
    <t>Date formulas</t>
  </si>
  <si>
    <t>Now</t>
  </si>
  <si>
    <t>Today</t>
  </si>
  <si>
    <t xml:space="preserve">Year </t>
  </si>
  <si>
    <t>Corresponding fiscal year end</t>
  </si>
  <si>
    <t>Countif</t>
  </si>
  <si>
    <t>Sumif</t>
  </si>
  <si>
    <t>Sumifs</t>
  </si>
  <si>
    <t>Countifs</t>
  </si>
  <si>
    <t>Average ifs</t>
  </si>
  <si>
    <t>Median ifs</t>
  </si>
  <si>
    <t xml:space="preserve">      </t>
  </si>
  <si>
    <t>Daily</t>
  </si>
  <si>
    <t>Monthly</t>
  </si>
  <si>
    <t>Yearly</t>
  </si>
  <si>
    <t>Rank</t>
  </si>
  <si>
    <t>Rank Alphanumeric numbers</t>
  </si>
  <si>
    <t>Rules of making bar charts</t>
  </si>
  <si>
    <t>Horizontal axis</t>
  </si>
  <si>
    <t>Secondary axis</t>
  </si>
  <si>
    <t>Months</t>
  </si>
  <si>
    <t>Vlookup+match</t>
  </si>
  <si>
    <t>index+Match</t>
  </si>
  <si>
    <t>Vlookup+Match</t>
  </si>
  <si>
    <t>Index+ match</t>
  </si>
  <si>
    <t>Vlookup + Match</t>
  </si>
  <si>
    <t>Index +Match</t>
  </si>
  <si>
    <t>Offset + Match</t>
  </si>
  <si>
    <t>Index +match</t>
  </si>
  <si>
    <t xml:space="preserve">VL value </t>
  </si>
  <si>
    <t>Values Max</t>
  </si>
  <si>
    <t>Values Min</t>
  </si>
  <si>
    <t>Industy</t>
  </si>
  <si>
    <t>Above Average</t>
  </si>
  <si>
    <t>Awesome</t>
  </si>
  <si>
    <t>Costs</t>
  </si>
  <si>
    <t>Profits</t>
  </si>
  <si>
    <t>Sales and Costs</t>
  </si>
  <si>
    <t>Sales and Profits</t>
  </si>
  <si>
    <t>Numbers of Customers (millions)</t>
  </si>
  <si>
    <t>%market Share</t>
  </si>
  <si>
    <t>index+Match+Match</t>
  </si>
  <si>
    <t>Index +Match+Match</t>
  </si>
  <si>
    <t>Sachin</t>
  </si>
  <si>
    <t xml:space="preserve">Employee code </t>
  </si>
  <si>
    <t>Name - Earnings</t>
  </si>
  <si>
    <t xml:space="preserve">Hlookup </t>
  </si>
  <si>
    <t>Index +Double 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</si>
</sst>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₹&quot;\ #,##0.00;[Red]&quot;₹&quot;\ \-#,##0.00"/>
    <numFmt numFmtId="165" formatCode="_ * #,##0.00_ ;_ * \-#,##0.00_ ;_ * &quot;-&quot;??_ ;_ @_ "/>
    <numFmt numFmtId="166" formatCode="_ &quot;Rs.&quot;\ * #,##0.00_ ;_ &quot;Rs.&quot;\ * \-#,##0.00_ ;_ &quot;Rs.&quot;\ * &quot;-&quot;??_ ;_ @_ "/>
    <numFmt numFmtId="167" formatCode="&quot;£&quot;#,##0.00"/>
    <numFmt numFmtId="168" formatCode="&quot;$&quot;#,##0\ ;\(&quot;$&quot;#,##0\)"/>
    <numFmt numFmtId="169" formatCode="_(* #,##0_);_(* \(#,##0\);_(* &quot;-&quot;??_);_(@_)"/>
    <numFmt numFmtId="170" formatCode="0.0"/>
    <numFmt numFmtId="171" formatCode="0.00_);\(0.00\)"/>
    <numFmt numFmtId="172" formatCode="_(&quot;$&quot;* #,##0_);_(&quot;$&quot;* \(#,##0\);_(&quot;$&quot;* &quot;-&quot;??_);_(@_)"/>
    <numFmt numFmtId="173" formatCode="dd\-mmm\-yyyy"/>
    <numFmt numFmtId="174" formatCode="&quot;$&quot;#,##0.00;\(&quot;$&quot;#,##0.00\)"/>
    <numFmt numFmtId="175" formatCode="0.0%"/>
    <numFmt numFmtId="176" formatCode="_(* #,##0.000_);_(* \(#,##0.000\);_(* &quot;-&quot;??_);_(@_)"/>
    <numFmt numFmtId="177" formatCode="&quot;year&quot;\ 0"/>
    <numFmt numFmtId="178" formatCode="_-* #,##0\ _k_r_-;\-* #,##0\ _k_r_-;_-* &quot;-&quot;??\ _k_r_-;_-@_-"/>
    <numFmt numFmtId="179" formatCode="#,##0.0_);[Red]\(#,##0.0\)"/>
    <numFmt numFmtId="180" formatCode="&quot;$&quot;#,##0.00"/>
  </numFmts>
  <fonts count="10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1"/>
      <color indexed="9"/>
      <name val="Baskerville"/>
      <family val="1"/>
    </font>
    <font>
      <b/>
      <sz val="11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12"/>
      <name val="Helv"/>
    </font>
    <font>
      <b/>
      <sz val="10"/>
      <color indexed="9"/>
      <name val="Baskerville"/>
      <family val="1"/>
    </font>
    <font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FFFFCC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8"/>
      <name val="Tahoma"/>
      <family val="2"/>
    </font>
    <font>
      <b/>
      <u/>
      <sz val="20"/>
      <name val="Times New Roman"/>
      <family val="1"/>
    </font>
    <font>
      <sz val="20"/>
      <name val="Tahoma"/>
      <family val="2"/>
    </font>
    <font>
      <sz val="12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theme="5" tint="-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0"/>
      <color theme="0"/>
      <name val="Arial"/>
      <family val="2"/>
    </font>
    <font>
      <sz val="10"/>
      <color indexed="48"/>
      <name val="Arial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0"/>
      <name val="Book Antiqua"/>
      <family val="1"/>
    </font>
    <font>
      <sz val="10"/>
      <color theme="1" tint="0.34998626667073579"/>
      <name val="Cambria"/>
      <family val="2"/>
      <scheme val="major"/>
    </font>
    <font>
      <sz val="24"/>
      <color theme="4"/>
      <name val="Cambria"/>
      <family val="2"/>
      <scheme val="major"/>
    </font>
    <font>
      <sz val="10"/>
      <name val="Calibri"/>
      <family val="2"/>
      <scheme val="minor"/>
    </font>
    <font>
      <sz val="10"/>
      <color theme="1" tint="0.34998626667073579"/>
      <name val="Arial"/>
      <family val="2"/>
    </font>
    <font>
      <sz val="24"/>
      <color theme="8" tint="-0.249977111117893"/>
      <name val="Arial"/>
      <family val="2"/>
    </font>
    <font>
      <sz val="12"/>
      <color theme="9" tint="-0.249977111117893"/>
      <name val="Arial"/>
      <family val="2"/>
    </font>
    <font>
      <sz val="18"/>
      <color theme="8" tint="-0.499984740745262"/>
      <name val="Arial"/>
      <family val="2"/>
    </font>
    <font>
      <b/>
      <sz val="11"/>
      <color theme="0"/>
      <name val="Arial"/>
      <family val="2"/>
    </font>
    <font>
      <sz val="10"/>
      <color theme="1" tint="0.14999847407452621"/>
      <name val="Arial"/>
      <family val="2"/>
    </font>
    <font>
      <b/>
      <sz val="11"/>
      <color indexed="9"/>
      <name val="Arial"/>
      <family val="2"/>
    </font>
    <font>
      <b/>
      <sz val="10"/>
      <color theme="1" tint="0.34998626667073579"/>
      <name val="Arial"/>
      <family val="2"/>
    </font>
    <font>
      <sz val="16"/>
      <color theme="8" tint="-0.499984740745262"/>
      <name val="Arial"/>
      <family val="2"/>
    </font>
    <font>
      <b/>
      <sz val="11"/>
      <color theme="1" tint="0.34998626667073579"/>
      <name val="Arial"/>
      <family val="2"/>
    </font>
    <font>
      <sz val="12"/>
      <color theme="1" tint="0.24994659260841701"/>
      <name val="Calibri"/>
      <family val="2"/>
      <scheme val="minor"/>
    </font>
    <font>
      <sz val="12"/>
      <color theme="1" tint="0.24994659260841701"/>
      <name val="Arial"/>
      <family val="2"/>
    </font>
    <font>
      <b/>
      <sz val="14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1"/>
      <name val="Arial"/>
      <family val="2"/>
    </font>
    <font>
      <b/>
      <sz val="10"/>
      <color theme="4" tint="-0.249977111117893"/>
      <name val="Arial"/>
      <family val="2"/>
    </font>
    <font>
      <sz val="10"/>
      <color theme="1" tint="0.24994659260841701"/>
      <name val="Arial"/>
      <family val="2"/>
    </font>
    <font>
      <b/>
      <sz val="10"/>
      <color theme="6"/>
      <name val="Arial"/>
      <family val="2"/>
    </font>
    <font>
      <b/>
      <i/>
      <sz val="12"/>
      <name val="Calibri"/>
      <family val="2"/>
      <scheme val="minor"/>
    </font>
    <font>
      <u/>
      <sz val="100"/>
      <color theme="0"/>
      <name val="Calibri"/>
      <family val="2"/>
      <scheme val="minor"/>
    </font>
    <font>
      <b/>
      <u/>
      <sz val="32"/>
      <color theme="0"/>
      <name val="Calibri"/>
      <family val="2"/>
      <scheme val="minor"/>
    </font>
    <font>
      <sz val="32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6" tint="-0.249977111117893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b/>
      <sz val="11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8"/>
      <color rgb="FFFFFF00"/>
      <name val="Tahoma"/>
      <family val="2"/>
    </font>
    <font>
      <b/>
      <sz val="10"/>
      <color rgb="FFFFFF99"/>
      <name val="Arial"/>
      <family val="2"/>
    </font>
    <font>
      <sz val="10"/>
      <color rgb="FFFFFF99"/>
      <name val="Arial"/>
      <family val="2"/>
    </font>
    <font>
      <b/>
      <sz val="10"/>
      <color rgb="FFFFFF00"/>
      <name val="Arial"/>
      <family val="2"/>
    </font>
    <font>
      <sz val="10"/>
      <color rgb="FFFFFF00"/>
      <name val="Arial"/>
      <family val="2"/>
    </font>
  </fonts>
  <fills count="65">
    <fill>
      <patternFill patternType="none"/>
    </fill>
    <fill>
      <patternFill patternType="gray125"/>
    </fill>
    <fill>
      <patternFill patternType="gray125">
        <fgColor indexed="10"/>
        <b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indexed="22"/>
        <bgColor indexed="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2"/>
      </patternFill>
    </fill>
    <fill>
      <patternFill patternType="solid">
        <fgColor theme="6"/>
        <bgColor theme="2"/>
      </patternFill>
    </fill>
    <fill>
      <patternFill patternType="solid">
        <fgColor indexed="31"/>
      </patternFill>
    </fill>
    <fill>
      <patternFill patternType="solid">
        <fgColor theme="4"/>
        <bgColor indexed="63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89999084444715716"/>
        <bgColor indexed="8"/>
      </patternFill>
    </fill>
    <fill>
      <patternFill patternType="solid">
        <fgColor theme="1"/>
        <bgColor indexed="8"/>
      </patternFill>
    </fill>
  </fills>
  <borders count="1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149967955565050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499984740745262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1" tint="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 tint="0.499984740745262"/>
      </bottom>
      <diagonal/>
    </border>
    <border>
      <left style="thin">
        <color theme="0" tint="-0.14996795556505021"/>
      </left>
      <right style="thin">
        <color theme="1" tint="0.499984740745262"/>
      </right>
      <top style="thin">
        <color theme="0" tint="-0.1499679555650502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14996795556505021"/>
      </right>
      <top style="thin">
        <color theme="0" tint="-0.14996795556505021"/>
      </top>
      <bottom style="thin">
        <color theme="1" tint="0.49998474074526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1" tint="0.49998474074526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61">
    <xf numFmtId="0" fontId="0" fillId="0" borderId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9" fillId="2" borderId="1"/>
    <xf numFmtId="0" fontId="1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2" fillId="0" borderId="0" applyNumberFormat="0" applyFont="0" applyFill="0" applyBorder="0" applyAlignment="0" applyProtection="0">
      <alignment horizontal="left"/>
    </xf>
    <xf numFmtId="0" fontId="1" fillId="0" borderId="0"/>
    <xf numFmtId="0" fontId="1" fillId="3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0" fontId="7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43" fontId="20" fillId="0" borderId="0" applyFont="0" applyFill="0" applyBorder="0" applyAlignment="0" applyProtection="0"/>
    <xf numFmtId="0" fontId="7" fillId="0" borderId="0"/>
    <xf numFmtId="166" fontId="20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7" fillId="0" borderId="0"/>
    <xf numFmtId="0" fontId="37" fillId="0" borderId="0"/>
    <xf numFmtId="0" fontId="41" fillId="0" borderId="0" applyNumberFormat="0" applyFill="0" applyBorder="0" applyAlignment="0" applyProtection="0"/>
    <xf numFmtId="9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49" fillId="0" borderId="0"/>
    <xf numFmtId="44" fontId="49" fillId="0" borderId="0" applyFont="0" applyFill="0" applyBorder="0" applyAlignment="0" applyProtection="0"/>
    <xf numFmtId="41" fontId="20" fillId="0" borderId="0" applyFont="0" applyFill="0" applyBorder="0" applyAlignment="0" applyProtection="0"/>
    <xf numFmtId="0" fontId="53" fillId="0" borderId="0"/>
    <xf numFmtId="9" fontId="1" fillId="0" borderId="0" applyFont="0" applyFill="0" applyBorder="0" applyAlignment="0" applyProtection="0"/>
    <xf numFmtId="0" fontId="1" fillId="0" borderId="0"/>
    <xf numFmtId="0" fontId="62" fillId="0" borderId="0" applyFill="0" applyBorder="0">
      <alignment vertical="center"/>
    </xf>
    <xf numFmtId="0" fontId="63" fillId="0" borderId="0" applyNumberFormat="0" applyFill="0" applyBorder="0" applyAlignment="0" applyProtection="0"/>
    <xf numFmtId="0" fontId="64" fillId="0" borderId="0">
      <alignment vertical="center"/>
    </xf>
    <xf numFmtId="0" fontId="75" fillId="39" borderId="0">
      <alignment vertical="center"/>
    </xf>
    <xf numFmtId="0" fontId="7" fillId="42" borderId="0" applyNumberFormat="0" applyBorder="0" applyAlignment="0" applyProtection="0"/>
    <xf numFmtId="0" fontId="20" fillId="0" borderId="0"/>
    <xf numFmtId="0" fontId="89" fillId="0" borderId="0"/>
    <xf numFmtId="44" fontId="1" fillId="0" borderId="0" applyFont="0" applyFill="0" applyBorder="0" applyAlignment="0" applyProtection="0"/>
    <xf numFmtId="0" fontId="1" fillId="0" borderId="0"/>
    <xf numFmtId="165" fontId="20" fillId="0" borderId="0" applyFont="0" applyFill="0" applyBorder="0" applyAlignment="0" applyProtection="0"/>
  </cellStyleXfs>
  <cellXfs count="691">
    <xf numFmtId="0" fontId="0" fillId="0" borderId="0" xfId="0"/>
    <xf numFmtId="0" fontId="1" fillId="0" borderId="0" xfId="4"/>
    <xf numFmtId="15" fontId="1" fillId="0" borderId="0" xfId="4" applyNumberFormat="1"/>
    <xf numFmtId="0" fontId="5" fillId="0" borderId="0" xfId="4" applyFont="1"/>
    <xf numFmtId="0" fontId="1" fillId="5" borderId="4" xfId="4" applyFill="1" applyBorder="1"/>
    <xf numFmtId="0" fontId="1" fillId="5" borderId="4" xfId="4" applyFill="1" applyBorder="1" applyAlignment="1">
      <alignment horizontal="center"/>
    </xf>
    <xf numFmtId="15" fontId="1" fillId="5" borderId="4" xfId="4" applyNumberFormat="1" applyFill="1" applyBorder="1"/>
    <xf numFmtId="4" fontId="1" fillId="5" borderId="4" xfId="4" applyNumberFormat="1" applyFill="1" applyBorder="1" applyProtection="1">
      <protection locked="0"/>
    </xf>
    <xf numFmtId="4" fontId="1" fillId="0" borderId="0" xfId="4" applyNumberFormat="1"/>
    <xf numFmtId="43" fontId="1" fillId="0" borderId="0" xfId="2"/>
    <xf numFmtId="43" fontId="1" fillId="0" borderId="0" xfId="4" applyNumberFormat="1"/>
    <xf numFmtId="43" fontId="1" fillId="0" borderId="0" xfId="2" applyFont="1"/>
    <xf numFmtId="4" fontId="1" fillId="0" borderId="0" xfId="4" applyNumberFormat="1" applyAlignment="1">
      <alignment horizontal="right"/>
    </xf>
    <xf numFmtId="4" fontId="1" fillId="5" borderId="4" xfId="4" applyNumberFormat="1" applyFill="1" applyBorder="1" applyAlignment="1" applyProtection="1">
      <alignment horizontal="right"/>
      <protection locked="0"/>
    </xf>
    <xf numFmtId="0" fontId="8" fillId="5" borderId="3" xfId="8" applyFill="1" applyBorder="1" applyAlignment="1">
      <alignment horizontal="center"/>
    </xf>
    <xf numFmtId="0" fontId="8" fillId="5" borderId="4" xfId="8" applyFill="1" applyBorder="1" applyAlignment="1">
      <alignment horizontal="left"/>
    </xf>
    <xf numFmtId="0" fontId="1" fillId="5" borderId="3" xfId="8" applyFont="1" applyFill="1" applyBorder="1" applyAlignment="1">
      <alignment horizontal="center"/>
    </xf>
    <xf numFmtId="0" fontId="1" fillId="5" borderId="4" xfId="8" applyFont="1" applyFill="1" applyBorder="1" applyAlignment="1">
      <alignment horizontal="left"/>
    </xf>
    <xf numFmtId="0" fontId="0" fillId="0" borderId="12" xfId="0" applyBorder="1"/>
    <xf numFmtId="0" fontId="4" fillId="4" borderId="16" xfId="4" applyFont="1" applyFill="1" applyBorder="1" applyAlignment="1">
      <alignment horizontal="center"/>
    </xf>
    <xf numFmtId="0" fontId="4" fillId="4" borderId="17" xfId="4" applyFont="1" applyFill="1" applyBorder="1" applyAlignment="1">
      <alignment horizontal="center"/>
    </xf>
    <xf numFmtId="0" fontId="4" fillId="4" borderId="18" xfId="4" applyFont="1" applyFill="1" applyBorder="1" applyAlignment="1">
      <alignment horizontal="center"/>
    </xf>
    <xf numFmtId="0" fontId="1" fillId="5" borderId="19" xfId="4" applyFill="1" applyBorder="1" applyAlignment="1">
      <alignment horizontal="center"/>
    </xf>
    <xf numFmtId="4" fontId="1" fillId="5" borderId="20" xfId="4" applyNumberFormat="1" applyFill="1" applyBorder="1" applyProtection="1">
      <protection locked="0"/>
    </xf>
    <xf numFmtId="4" fontId="1" fillId="5" borderId="20" xfId="4" applyNumberFormat="1" applyFill="1" applyBorder="1" applyAlignment="1" applyProtection="1">
      <alignment horizontal="right"/>
      <protection locked="0"/>
    </xf>
    <xf numFmtId="0" fontId="1" fillId="5" borderId="21" xfId="4" applyFill="1" applyBorder="1" applyAlignment="1">
      <alignment horizontal="center"/>
    </xf>
    <xf numFmtId="0" fontId="1" fillId="5" borderId="22" xfId="4" applyFill="1" applyBorder="1"/>
    <xf numFmtId="0" fontId="1" fillId="5" borderId="22" xfId="4" applyFill="1" applyBorder="1" applyAlignment="1">
      <alignment horizontal="center"/>
    </xf>
    <xf numFmtId="15" fontId="1" fillId="5" borderId="22" xfId="4" applyNumberFormat="1" applyFill="1" applyBorder="1"/>
    <xf numFmtId="4" fontId="1" fillId="5" borderId="22" xfId="4" applyNumberFormat="1" applyFill="1" applyBorder="1" applyProtection="1">
      <protection locked="0"/>
    </xf>
    <xf numFmtId="4" fontId="1" fillId="5" borderId="23" xfId="4" applyNumberFormat="1" applyFill="1" applyBorder="1" applyProtection="1">
      <protection locked="0"/>
    </xf>
    <xf numFmtId="0" fontId="13" fillId="0" borderId="0" xfId="6"/>
    <xf numFmtId="0" fontId="14" fillId="0" borderId="0" xfId="0" applyFont="1"/>
    <xf numFmtId="9" fontId="0" fillId="0" borderId="12" xfId="0" applyNumberFormat="1" applyBorder="1"/>
    <xf numFmtId="0" fontId="0" fillId="0" borderId="29" xfId="0" applyBorder="1"/>
    <xf numFmtId="0" fontId="16" fillId="0" borderId="0" xfId="6" applyFont="1"/>
    <xf numFmtId="0" fontId="13" fillId="0" borderId="12" xfId="6" applyBorder="1" applyAlignment="1">
      <alignment horizontal="right"/>
    </xf>
    <xf numFmtId="0" fontId="18" fillId="0" borderId="12" xfId="0" applyFont="1" applyBorder="1"/>
    <xf numFmtId="0" fontId="13" fillId="8" borderId="12" xfId="6" applyFill="1" applyBorder="1"/>
    <xf numFmtId="0" fontId="1" fillId="10" borderId="0" xfId="4" applyFill="1"/>
    <xf numFmtId="0" fontId="8" fillId="0" borderId="0" xfId="8" applyAlignment="1">
      <alignment horizontal="center"/>
    </xf>
    <xf numFmtId="0" fontId="8" fillId="0" borderId="0" xfId="8" applyAlignment="1">
      <alignment horizontal="left"/>
    </xf>
    <xf numFmtId="9" fontId="8" fillId="0" borderId="0" xfId="8" applyNumberFormat="1"/>
    <xf numFmtId="0" fontId="8" fillId="0" borderId="0" xfId="8"/>
    <xf numFmtId="0" fontId="1" fillId="0" borderId="0" xfId="8" applyFont="1" applyAlignment="1">
      <alignment vertical="center" wrapText="1"/>
    </xf>
    <xf numFmtId="0" fontId="8" fillId="0" borderId="0" xfId="8" applyAlignment="1">
      <alignment vertical="center" wrapText="1"/>
    </xf>
    <xf numFmtId="0" fontId="8" fillId="0" borderId="0" xfId="8" applyAlignment="1">
      <alignment wrapText="1"/>
    </xf>
    <xf numFmtId="0" fontId="4" fillId="4" borderId="2" xfId="8" applyFont="1" applyFill="1" applyBorder="1" applyAlignment="1">
      <alignment horizontal="center"/>
    </xf>
    <xf numFmtId="0" fontId="10" fillId="4" borderId="2" xfId="8" applyFont="1" applyFill="1" applyBorder="1" applyAlignment="1">
      <alignment horizontal="center"/>
    </xf>
    <xf numFmtId="0" fontId="4" fillId="4" borderId="0" xfId="8" applyFont="1" applyFill="1" applyAlignment="1">
      <alignment horizontal="center"/>
    </xf>
    <xf numFmtId="0" fontId="8" fillId="5" borderId="4" xfId="8" applyFill="1" applyBorder="1" applyAlignment="1">
      <alignment horizontal="center"/>
    </xf>
    <xf numFmtId="15" fontId="8" fillId="5" borderId="4" xfId="8" applyNumberFormat="1" applyFill="1" applyBorder="1" applyAlignment="1">
      <alignment horizontal="right"/>
    </xf>
    <xf numFmtId="4" fontId="8" fillId="5" borderId="4" xfId="8" applyNumberFormat="1" applyFill="1" applyBorder="1" applyAlignment="1">
      <alignment horizontal="right"/>
    </xf>
    <xf numFmtId="0" fontId="5" fillId="0" borderId="0" xfId="8" applyFont="1"/>
    <xf numFmtId="15" fontId="8" fillId="0" borderId="0" xfId="8" applyNumberFormat="1"/>
    <xf numFmtId="4" fontId="8" fillId="0" borderId="0" xfId="8" applyNumberFormat="1"/>
    <xf numFmtId="43" fontId="8" fillId="0" borderId="0" xfId="8" applyNumberFormat="1"/>
    <xf numFmtId="0" fontId="1" fillId="5" borderId="4" xfId="8" applyFont="1" applyFill="1" applyBorder="1" applyAlignment="1">
      <alignment horizontal="center"/>
    </xf>
    <xf numFmtId="15" fontId="1" fillId="5" borderId="4" xfId="8" applyNumberFormat="1" applyFont="1" applyFill="1" applyBorder="1" applyAlignment="1">
      <alignment horizontal="right"/>
    </xf>
    <xf numFmtId="4" fontId="1" fillId="5" borderId="4" xfId="8" applyNumberFormat="1" applyFont="1" applyFill="1" applyBorder="1" applyAlignment="1">
      <alignment horizontal="right"/>
    </xf>
    <xf numFmtId="0" fontId="1" fillId="0" borderId="0" xfId="8" applyFont="1"/>
    <xf numFmtId="43" fontId="1" fillId="0" borderId="0" xfId="1" applyFont="1" applyProtection="1"/>
    <xf numFmtId="43" fontId="1" fillId="0" borderId="0" xfId="8" applyNumberFormat="1" applyFont="1"/>
    <xf numFmtId="0" fontId="22" fillId="11" borderId="11" xfId="12" applyFont="1" applyFill="1" applyBorder="1" applyAlignment="1" applyProtection="1"/>
    <xf numFmtId="0" fontId="1" fillId="0" borderId="0" xfId="13"/>
    <xf numFmtId="0" fontId="3" fillId="0" borderId="0" xfId="13" applyFont="1"/>
    <xf numFmtId="0" fontId="3" fillId="8" borderId="5" xfId="13" applyFont="1" applyFill="1" applyBorder="1"/>
    <xf numFmtId="0" fontId="3" fillId="8" borderId="32" xfId="13" applyFont="1" applyFill="1" applyBorder="1" applyAlignment="1">
      <alignment wrapText="1"/>
    </xf>
    <xf numFmtId="0" fontId="3" fillId="8" borderId="6" xfId="13" applyFont="1" applyFill="1" applyBorder="1" applyAlignment="1">
      <alignment wrapText="1"/>
    </xf>
    <xf numFmtId="0" fontId="3" fillId="8" borderId="9" xfId="13" applyFont="1" applyFill="1" applyBorder="1"/>
    <xf numFmtId="9" fontId="1" fillId="3" borderId="33" xfId="14" applyFont="1" applyFill="1" applyBorder="1"/>
    <xf numFmtId="9" fontId="1" fillId="3" borderId="10" xfId="14" applyFont="1" applyFill="1" applyBorder="1"/>
    <xf numFmtId="0" fontId="3" fillId="8" borderId="5" xfId="13" applyFont="1" applyFill="1" applyBorder="1" applyAlignment="1">
      <alignment horizontal="center" vertical="center" wrapText="1"/>
    </xf>
    <xf numFmtId="0" fontId="3" fillId="8" borderId="32" xfId="13" applyFont="1" applyFill="1" applyBorder="1" applyAlignment="1">
      <alignment horizontal="center" vertical="center" wrapText="1"/>
    </xf>
    <xf numFmtId="0" fontId="3" fillId="8" borderId="6" xfId="13" applyFont="1" applyFill="1" applyBorder="1" applyAlignment="1">
      <alignment horizontal="center" vertical="center" wrapText="1"/>
    </xf>
    <xf numFmtId="0" fontId="1" fillId="0" borderId="19" xfId="13" applyBorder="1"/>
    <xf numFmtId="15" fontId="1" fillId="0" borderId="4" xfId="13" applyNumberFormat="1" applyBorder="1" applyAlignment="1">
      <alignment horizontal="right"/>
    </xf>
    <xf numFmtId="0" fontId="1" fillId="0" borderId="21" xfId="13" applyBorder="1"/>
    <xf numFmtId="15" fontId="1" fillId="0" borderId="22" xfId="13" applyNumberFormat="1" applyBorder="1" applyAlignment="1">
      <alignment horizontal="right"/>
    </xf>
    <xf numFmtId="0" fontId="3" fillId="12" borderId="0" xfId="13" applyFont="1" applyFill="1"/>
    <xf numFmtId="0" fontId="3" fillId="8" borderId="36" xfId="13" applyFont="1" applyFill="1" applyBorder="1" applyAlignment="1">
      <alignment wrapText="1"/>
    </xf>
    <xf numFmtId="0" fontId="3" fillId="8" borderId="30" xfId="13" applyFont="1" applyFill="1" applyBorder="1" applyAlignment="1">
      <alignment wrapText="1"/>
    </xf>
    <xf numFmtId="0" fontId="3" fillId="8" borderId="37" xfId="13" applyFont="1" applyFill="1" applyBorder="1" applyAlignment="1">
      <alignment wrapText="1"/>
    </xf>
    <xf numFmtId="15" fontId="1" fillId="0" borderId="7" xfId="13" applyNumberFormat="1" applyBorder="1" applyAlignment="1">
      <alignment horizontal="left"/>
    </xf>
    <xf numFmtId="43" fontId="1" fillId="0" borderId="12" xfId="15" applyNumberFormat="1" applyBorder="1" applyAlignment="1">
      <alignment horizontal="right"/>
    </xf>
    <xf numFmtId="43" fontId="1" fillId="0" borderId="8" xfId="15" applyNumberFormat="1" applyBorder="1" applyAlignment="1">
      <alignment horizontal="right"/>
    </xf>
    <xf numFmtId="15" fontId="1" fillId="0" borderId="9" xfId="13" applyNumberFormat="1" applyBorder="1" applyAlignment="1">
      <alignment horizontal="left"/>
    </xf>
    <xf numFmtId="43" fontId="1" fillId="0" borderId="33" xfId="15" applyNumberFormat="1" applyBorder="1" applyAlignment="1">
      <alignment horizontal="right"/>
    </xf>
    <xf numFmtId="43" fontId="1" fillId="0" borderId="10" xfId="15" applyNumberFormat="1" applyBorder="1" applyAlignment="1">
      <alignment horizontal="right"/>
    </xf>
    <xf numFmtId="0" fontId="21" fillId="0" borderId="0" xfId="26" applyAlignment="1" applyProtection="1"/>
    <xf numFmtId="0" fontId="1" fillId="0" borderId="0" xfId="32"/>
    <xf numFmtId="0" fontId="3" fillId="0" borderId="0" xfId="32" applyFont="1"/>
    <xf numFmtId="0" fontId="26" fillId="8" borderId="34" xfId="32" applyFont="1" applyFill="1" applyBorder="1" applyAlignment="1">
      <alignment horizontal="center" vertical="center" wrapText="1"/>
    </xf>
    <xf numFmtId="0" fontId="26" fillId="8" borderId="35" xfId="32" applyFont="1" applyFill="1" applyBorder="1" applyAlignment="1">
      <alignment horizontal="center" vertical="center" wrapText="1"/>
    </xf>
    <xf numFmtId="0" fontId="26" fillId="8" borderId="38" xfId="32" applyFont="1" applyFill="1" applyBorder="1" applyAlignment="1">
      <alignment horizontal="center" vertical="center" wrapText="1"/>
    </xf>
    <xf numFmtId="0" fontId="26" fillId="8" borderId="35" xfId="32" applyFont="1" applyFill="1" applyBorder="1" applyAlignment="1">
      <alignment horizontal="center" wrapText="1"/>
    </xf>
    <xf numFmtId="0" fontId="1" fillId="0" borderId="19" xfId="32" applyBorder="1"/>
    <xf numFmtId="0" fontId="1" fillId="0" borderId="4" xfId="32" applyBorder="1"/>
    <xf numFmtId="0" fontId="1" fillId="0" borderId="36" xfId="32" applyBorder="1"/>
    <xf numFmtId="0" fontId="1" fillId="0" borderId="7" xfId="32" applyBorder="1"/>
    <xf numFmtId="0" fontId="1" fillId="0" borderId="9" xfId="32" applyBorder="1"/>
    <xf numFmtId="0" fontId="3" fillId="0" borderId="0" xfId="32" applyFont="1" applyAlignment="1">
      <alignment vertical="top" wrapText="1"/>
    </xf>
    <xf numFmtId="0" fontId="1" fillId="0" borderId="0" xfId="30"/>
    <xf numFmtId="0" fontId="1" fillId="0" borderId="21" xfId="32" applyBorder="1"/>
    <xf numFmtId="0" fontId="1" fillId="0" borderId="22" xfId="32" applyBorder="1"/>
    <xf numFmtId="0" fontId="14" fillId="0" borderId="12" xfId="0" applyFont="1" applyBorder="1"/>
    <xf numFmtId="0" fontId="0" fillId="0" borderId="12" xfId="0" applyBorder="1" applyAlignment="1">
      <alignment horizontal="center"/>
    </xf>
    <xf numFmtId="0" fontId="0" fillId="7" borderId="12" xfId="0" applyFill="1" applyBorder="1"/>
    <xf numFmtId="0" fontId="0" fillId="13" borderId="0" xfId="0" applyFill="1"/>
    <xf numFmtId="0" fontId="27" fillId="0" borderId="0" xfId="0" applyFont="1"/>
    <xf numFmtId="169" fontId="27" fillId="0" borderId="0" xfId="35" applyNumberFormat="1" applyFont="1"/>
    <xf numFmtId="170" fontId="27" fillId="0" borderId="0" xfId="0" applyNumberFormat="1" applyFont="1"/>
    <xf numFmtId="0" fontId="27" fillId="0" borderId="31" xfId="0" applyFont="1" applyBorder="1"/>
    <xf numFmtId="0" fontId="27" fillId="0" borderId="3" xfId="0" applyFont="1" applyBorder="1"/>
    <xf numFmtId="0" fontId="27" fillId="16" borderId="0" xfId="0" applyFont="1" applyFill="1"/>
    <xf numFmtId="0" fontId="27" fillId="16" borderId="31" xfId="0" applyFont="1" applyFill="1" applyBorder="1"/>
    <xf numFmtId="0" fontId="27" fillId="16" borderId="4" xfId="0" applyFont="1" applyFill="1" applyBorder="1"/>
    <xf numFmtId="169" fontId="30" fillId="16" borderId="0" xfId="0" applyNumberFormat="1" applyFont="1" applyFill="1"/>
    <xf numFmtId="0" fontId="29" fillId="16" borderId="39" xfId="0" applyFont="1" applyFill="1" applyBorder="1"/>
    <xf numFmtId="169" fontId="29" fillId="16" borderId="3" xfId="35" applyNumberFormat="1" applyFont="1" applyFill="1" applyBorder="1"/>
    <xf numFmtId="169" fontId="27" fillId="17" borderId="12" xfId="35" applyNumberFormat="1" applyFont="1" applyFill="1" applyBorder="1"/>
    <xf numFmtId="169" fontId="27" fillId="0" borderId="0" xfId="35" applyNumberFormat="1" applyFont="1" applyFill="1" applyBorder="1"/>
    <xf numFmtId="169" fontId="27" fillId="18" borderId="12" xfId="35" applyNumberFormat="1" applyFont="1" applyFill="1" applyBorder="1"/>
    <xf numFmtId="169" fontId="27" fillId="9" borderId="12" xfId="35" applyNumberFormat="1" applyFont="1" applyFill="1" applyBorder="1"/>
    <xf numFmtId="0" fontId="1" fillId="0" borderId="0" xfId="31" applyFont="1"/>
    <xf numFmtId="0" fontId="1" fillId="0" borderId="0" xfId="36" applyFont="1"/>
    <xf numFmtId="171" fontId="1" fillId="0" borderId="0" xfId="36" applyNumberFormat="1" applyFont="1"/>
    <xf numFmtId="0" fontId="28" fillId="15" borderId="40" xfId="36" applyFont="1" applyFill="1" applyBorder="1"/>
    <xf numFmtId="171" fontId="3" fillId="0" borderId="0" xfId="36" applyNumberFormat="1" applyFont="1" applyAlignment="1">
      <alignment horizontal="center" vertical="center"/>
    </xf>
    <xf numFmtId="0" fontId="31" fillId="15" borderId="12" xfId="36" applyFont="1" applyFill="1" applyBorder="1"/>
    <xf numFmtId="0" fontId="28" fillId="15" borderId="12" xfId="36" applyFont="1" applyFill="1" applyBorder="1" applyAlignment="1">
      <alignment horizontal="center" shrinkToFit="1"/>
    </xf>
    <xf numFmtId="0" fontId="3" fillId="0" borderId="0" xfId="36" applyFont="1" applyAlignment="1">
      <alignment horizontal="center" shrinkToFit="1"/>
    </xf>
    <xf numFmtId="0" fontId="1" fillId="0" borderId="0" xfId="31" applyFont="1" applyAlignment="1">
      <alignment horizontal="left" vertical="top" wrapText="1"/>
    </xf>
    <xf numFmtId="0" fontId="3" fillId="0" borderId="12" xfId="36" applyFont="1" applyBorder="1"/>
    <xf numFmtId="0" fontId="1" fillId="0" borderId="12" xfId="36" applyFont="1" applyBorder="1"/>
    <xf numFmtId="0" fontId="28" fillId="15" borderId="11" xfId="31" applyFont="1" applyFill="1" applyBorder="1" applyAlignment="1">
      <alignment horizontal="center"/>
    </xf>
    <xf numFmtId="4" fontId="1" fillId="0" borderId="0" xfId="31" applyNumberFormat="1" applyFont="1"/>
    <xf numFmtId="4" fontId="1" fillId="0" borderId="12" xfId="36" applyNumberFormat="1" applyFont="1" applyBorder="1" applyAlignment="1">
      <alignment horizontal="right"/>
    </xf>
    <xf numFmtId="2" fontId="1" fillId="0" borderId="0" xfId="36" applyNumberFormat="1" applyFont="1" applyAlignment="1">
      <alignment horizontal="right"/>
    </xf>
    <xf numFmtId="0" fontId="28" fillId="15" borderId="30" xfId="31" applyFont="1" applyFill="1" applyBorder="1" applyAlignment="1">
      <alignment horizontal="center"/>
    </xf>
    <xf numFmtId="0" fontId="28" fillId="15" borderId="12" xfId="31" applyFont="1" applyFill="1" applyBorder="1" applyAlignment="1">
      <alignment horizontal="center"/>
    </xf>
    <xf numFmtId="0" fontId="28" fillId="15" borderId="7" xfId="31" applyFont="1" applyFill="1" applyBorder="1" applyAlignment="1">
      <alignment horizontal="center"/>
    </xf>
    <xf numFmtId="0" fontId="28" fillId="15" borderId="8" xfId="31" applyFont="1" applyFill="1" applyBorder="1" applyAlignment="1">
      <alignment horizontal="center"/>
    </xf>
    <xf numFmtId="0" fontId="28" fillId="0" borderId="0" xfId="31" applyFont="1" applyAlignment="1">
      <alignment horizontal="center"/>
    </xf>
    <xf numFmtId="0" fontId="28" fillId="15" borderId="12" xfId="31" applyFont="1" applyFill="1" applyBorder="1"/>
    <xf numFmtId="0" fontId="1" fillId="6" borderId="12" xfId="36" applyFont="1" applyFill="1" applyBorder="1"/>
    <xf numFmtId="0" fontId="1" fillId="0" borderId="12" xfId="31" applyFont="1" applyBorder="1"/>
    <xf numFmtId="0" fontId="1" fillId="6" borderId="7" xfId="36" applyFont="1" applyFill="1" applyBorder="1"/>
    <xf numFmtId="0" fontId="1" fillId="6" borderId="9" xfId="36" applyFont="1" applyFill="1" applyBorder="1"/>
    <xf numFmtId="0" fontId="3" fillId="0" borderId="12" xfId="36" applyFont="1" applyBorder="1" applyAlignment="1">
      <alignment wrapText="1"/>
    </xf>
    <xf numFmtId="4" fontId="3" fillId="0" borderId="12" xfId="36" applyNumberFormat="1" applyFont="1" applyBorder="1" applyAlignment="1">
      <alignment horizontal="right" vertical="center"/>
    </xf>
    <xf numFmtId="2" fontId="3" fillId="0" borderId="0" xfId="36" applyNumberFormat="1" applyFont="1" applyAlignment="1">
      <alignment horizontal="right" vertical="center"/>
    </xf>
    <xf numFmtId="4" fontId="3" fillId="0" borderId="12" xfId="36" applyNumberFormat="1" applyFont="1" applyBorder="1" applyAlignment="1">
      <alignment horizontal="center" vertical="center"/>
    </xf>
    <xf numFmtId="0" fontId="1" fillId="0" borderId="12" xfId="36" applyFont="1" applyBorder="1" applyAlignment="1">
      <alignment wrapText="1"/>
    </xf>
    <xf numFmtId="0" fontId="3" fillId="0" borderId="45" xfId="36" applyFont="1" applyBorder="1" applyAlignment="1">
      <alignment wrapText="1"/>
    </xf>
    <xf numFmtId="4" fontId="3" fillId="0" borderId="45" xfId="36" applyNumberFormat="1" applyFont="1" applyBorder="1" applyAlignment="1">
      <alignment horizontal="right" vertical="center"/>
    </xf>
    <xf numFmtId="2" fontId="3" fillId="0" borderId="0" xfId="36" applyNumberFormat="1" applyFont="1"/>
    <xf numFmtId="4" fontId="3" fillId="0" borderId="0" xfId="36" applyNumberFormat="1" applyFont="1"/>
    <xf numFmtId="0" fontId="3" fillId="8" borderId="46" xfId="0" applyFont="1" applyFill="1" applyBorder="1" applyAlignment="1">
      <alignment horizontal="center" vertical="center" wrapText="1"/>
    </xf>
    <xf numFmtId="0" fontId="28" fillId="20" borderId="32" xfId="0" applyFont="1" applyFill="1" applyBorder="1" applyAlignment="1">
      <alignment horizontal="center" vertical="center" wrapText="1"/>
    </xf>
    <xf numFmtId="0" fontId="32" fillId="20" borderId="32" xfId="0" applyFont="1" applyFill="1" applyBorder="1" applyAlignment="1">
      <alignment horizontal="center" vertical="center" wrapText="1"/>
    </xf>
    <xf numFmtId="0" fontId="32" fillId="20" borderId="6" xfId="0" applyFont="1" applyFill="1" applyBorder="1" applyAlignment="1">
      <alignment horizontal="center" vertical="center" wrapText="1"/>
    </xf>
    <xf numFmtId="0" fontId="28" fillId="20" borderId="7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8" fillId="20" borderId="9" xfId="0" applyFont="1" applyFill="1" applyBorder="1" applyAlignment="1">
      <alignment wrapText="1"/>
    </xf>
    <xf numFmtId="0" fontId="1" fillId="0" borderId="3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34"/>
    <xf numFmtId="0" fontId="33" fillId="0" borderId="0" xfId="38"/>
    <xf numFmtId="0" fontId="35" fillId="0" borderId="0" xfId="38" applyFont="1"/>
    <xf numFmtId="0" fontId="37" fillId="21" borderId="47" xfId="40" applyFill="1" applyBorder="1" applyAlignment="1">
      <alignment horizontal="center"/>
    </xf>
    <xf numFmtId="0" fontId="37" fillId="0" borderId="0" xfId="40"/>
    <xf numFmtId="0" fontId="37" fillId="0" borderId="48" xfId="40" applyBorder="1" applyAlignment="1">
      <alignment wrapText="1"/>
    </xf>
    <xf numFmtId="0" fontId="37" fillId="0" borderId="48" xfId="40" applyBorder="1" applyAlignment="1">
      <alignment horizontal="right" wrapText="1"/>
    </xf>
    <xf numFmtId="173" fontId="37" fillId="0" borderId="48" xfId="40" applyNumberFormat="1" applyBorder="1" applyAlignment="1">
      <alignment horizontal="right" wrapText="1"/>
    </xf>
    <xf numFmtId="174" fontId="37" fillId="0" borderId="48" xfId="40" applyNumberFormat="1" applyBorder="1" applyAlignment="1">
      <alignment horizontal="right" wrapText="1"/>
    </xf>
    <xf numFmtId="9" fontId="37" fillId="0" borderId="0" xfId="40" applyNumberFormat="1"/>
    <xf numFmtId="9" fontId="37" fillId="0" borderId="0" xfId="39" applyFont="1"/>
    <xf numFmtId="0" fontId="37" fillId="0" borderId="0" xfId="41"/>
    <xf numFmtId="0" fontId="38" fillId="0" borderId="12" xfId="41" applyFont="1" applyBorder="1"/>
    <xf numFmtId="0" fontId="39" fillId="8" borderId="12" xfId="41" applyFont="1" applyFill="1" applyBorder="1"/>
    <xf numFmtId="0" fontId="37" fillId="22" borderId="12" xfId="41" applyFill="1" applyBorder="1"/>
    <xf numFmtId="0" fontId="38" fillId="21" borderId="12" xfId="41" applyFont="1" applyFill="1" applyBorder="1" applyAlignment="1">
      <alignment horizontal="center" vertical="center" wrapText="1"/>
    </xf>
    <xf numFmtId="0" fontId="37" fillId="0" borderId="12" xfId="41" applyBorder="1"/>
    <xf numFmtId="0" fontId="37" fillId="0" borderId="12" xfId="41" applyBorder="1" applyAlignment="1">
      <alignment horizontal="right"/>
    </xf>
    <xf numFmtId="9" fontId="0" fillId="7" borderId="12" xfId="0" applyNumberFormat="1" applyFill="1" applyBorder="1"/>
    <xf numFmtId="9" fontId="1" fillId="0" borderId="0" xfId="36" applyNumberFormat="1" applyFont="1" applyAlignment="1">
      <alignment horizontal="right"/>
    </xf>
    <xf numFmtId="9" fontId="0" fillId="0" borderId="0" xfId="0" applyNumberFormat="1"/>
    <xf numFmtId="0" fontId="1" fillId="0" borderId="4" xfId="32" applyBorder="1" applyAlignment="1">
      <alignment horizontal="center"/>
    </xf>
    <xf numFmtId="175" fontId="3" fillId="0" borderId="0" xfId="13" applyNumberFormat="1" applyFont="1"/>
    <xf numFmtId="17" fontId="14" fillId="25" borderId="49" xfId="0" applyNumberFormat="1" applyFont="1" applyFill="1" applyBorder="1" applyAlignment="1">
      <alignment horizontal="left"/>
    </xf>
    <xf numFmtId="0" fontId="45" fillId="28" borderId="50" xfId="0" applyFont="1" applyFill="1" applyBorder="1"/>
    <xf numFmtId="0" fontId="45" fillId="28" borderId="51" xfId="0" applyFont="1" applyFill="1" applyBorder="1" applyAlignment="1">
      <alignment horizontal="right"/>
    </xf>
    <xf numFmtId="15" fontId="44" fillId="29" borderId="50" xfId="0" applyNumberFormat="1" applyFont="1" applyFill="1" applyBorder="1" applyAlignment="1">
      <alignment horizontal="left"/>
    </xf>
    <xf numFmtId="172" fontId="44" fillId="29" borderId="51" xfId="44" applyNumberFormat="1" applyFont="1" applyFill="1" applyBorder="1"/>
    <xf numFmtId="15" fontId="44" fillId="0" borderId="50" xfId="0" applyNumberFormat="1" applyFont="1" applyBorder="1" applyAlignment="1">
      <alignment horizontal="left"/>
    </xf>
    <xf numFmtId="172" fontId="44" fillId="0" borderId="51" xfId="44" applyNumberFormat="1" applyFont="1" applyBorder="1"/>
    <xf numFmtId="17" fontId="44" fillId="0" borderId="0" xfId="0" applyNumberFormat="1" applyFont="1" applyAlignment="1">
      <alignment horizontal="left" vertical="top" wrapText="1"/>
    </xf>
    <xf numFmtId="43" fontId="0" fillId="0" borderId="0" xfId="1" applyFont="1"/>
    <xf numFmtId="43" fontId="0" fillId="0" borderId="0" xfId="0" applyNumberFormat="1"/>
    <xf numFmtId="176" fontId="0" fillId="0" borderId="0" xfId="1" applyNumberFormat="1" applyFont="1"/>
    <xf numFmtId="43" fontId="20" fillId="0" borderId="0" xfId="1" applyFont="1"/>
    <xf numFmtId="177" fontId="0" fillId="0" borderId="0" xfId="0" applyNumberFormat="1"/>
    <xf numFmtId="0" fontId="4" fillId="14" borderId="0" xfId="8" applyFont="1" applyFill="1" applyAlignment="1">
      <alignment horizontal="center"/>
    </xf>
    <xf numFmtId="0" fontId="50" fillId="0" borderId="0" xfId="45" applyFont="1" applyAlignment="1">
      <alignment vertical="center"/>
    </xf>
    <xf numFmtId="0" fontId="50" fillId="24" borderId="53" xfId="45" applyFont="1" applyFill="1" applyBorder="1"/>
    <xf numFmtId="0" fontId="50" fillId="24" borderId="54" xfId="45" applyFont="1" applyFill="1" applyBorder="1" applyAlignment="1">
      <alignment horizontal="center"/>
    </xf>
    <xf numFmtId="0" fontId="50" fillId="24" borderId="55" xfId="45" applyFont="1" applyFill="1" applyBorder="1" applyAlignment="1">
      <alignment horizontal="center"/>
    </xf>
    <xf numFmtId="0" fontId="51" fillId="0" borderId="0" xfId="45" applyFont="1"/>
    <xf numFmtId="0" fontId="51" fillId="0" borderId="59" xfId="45" applyFont="1" applyBorder="1" applyAlignment="1">
      <alignment horizontal="center"/>
    </xf>
    <xf numFmtId="172" fontId="51" fillId="0" borderId="60" xfId="46" applyNumberFormat="1" applyFont="1" applyBorder="1" applyAlignment="1">
      <alignment horizontal="center"/>
    </xf>
    <xf numFmtId="172" fontId="51" fillId="0" borderId="0" xfId="45" applyNumberFormat="1" applyFont="1"/>
    <xf numFmtId="0" fontId="51" fillId="0" borderId="61" xfId="45" applyFont="1" applyBorder="1"/>
    <xf numFmtId="0" fontId="51" fillId="0" borderId="64" xfId="45" applyFont="1" applyBorder="1" applyAlignment="1">
      <alignment horizontal="center"/>
    </xf>
    <xf numFmtId="172" fontId="51" fillId="0" borderId="65" xfId="46" applyNumberFormat="1" applyFont="1" applyBorder="1" applyAlignment="1">
      <alignment horizontal="center"/>
    </xf>
    <xf numFmtId="0" fontId="51" fillId="0" borderId="66" xfId="45" applyFont="1" applyBorder="1"/>
    <xf numFmtId="1" fontId="52" fillId="0" borderId="62" xfId="45" applyNumberFormat="1" applyFont="1" applyBorder="1"/>
    <xf numFmtId="1" fontId="52" fillId="0" borderId="67" xfId="45" applyNumberFormat="1" applyFont="1" applyBorder="1"/>
    <xf numFmtId="0" fontId="51" fillId="0" borderId="0" xfId="45" applyFont="1" applyAlignment="1">
      <alignment horizontal="center"/>
    </xf>
    <xf numFmtId="0" fontId="43" fillId="0" borderId="0" xfId="0" applyFont="1"/>
    <xf numFmtId="0" fontId="0" fillId="26" borderId="12" xfId="0" applyFill="1" applyBorder="1"/>
    <xf numFmtId="169" fontId="0" fillId="0" borderId="12" xfId="35" applyNumberFormat="1" applyFont="1" applyBorder="1"/>
    <xf numFmtId="0" fontId="0" fillId="26" borderId="12" xfId="0" applyFill="1" applyBorder="1" applyAlignment="1">
      <alignment horizontal="center" vertical="center" wrapText="1"/>
    </xf>
    <xf numFmtId="17" fontId="1" fillId="0" borderId="0" xfId="4" applyNumberFormat="1"/>
    <xf numFmtId="9" fontId="0" fillId="0" borderId="12" xfId="43" applyFont="1" applyBorder="1"/>
    <xf numFmtId="172" fontId="0" fillId="0" borderId="12" xfId="44" applyNumberFormat="1" applyFont="1" applyBorder="1"/>
    <xf numFmtId="0" fontId="0" fillId="0" borderId="12" xfId="0" applyBorder="1" applyAlignment="1">
      <alignment horizontal="left"/>
    </xf>
    <xf numFmtId="0" fontId="12" fillId="15" borderId="12" xfId="0" applyFont="1" applyFill="1" applyBorder="1" applyAlignment="1">
      <alignment horizontal="center" vertical="center" wrapText="1"/>
    </xf>
    <xf numFmtId="0" fontId="14" fillId="30" borderId="74" xfId="0" applyFont="1" applyFill="1" applyBorder="1"/>
    <xf numFmtId="0" fontId="14" fillId="30" borderId="73" xfId="0" applyFont="1" applyFill="1" applyBorder="1"/>
    <xf numFmtId="0" fontId="14" fillId="30" borderId="73" xfId="0" applyFont="1" applyFill="1" applyBorder="1" applyAlignment="1">
      <alignment horizontal="center"/>
    </xf>
    <xf numFmtId="0" fontId="0" fillId="0" borderId="74" xfId="0" applyBorder="1"/>
    <xf numFmtId="0" fontId="0" fillId="0" borderId="73" xfId="0" applyBorder="1"/>
    <xf numFmtId="172" fontId="0" fillId="0" borderId="73" xfId="44" applyNumberFormat="1" applyFont="1" applyFill="1" applyBorder="1"/>
    <xf numFmtId="0" fontId="0" fillId="0" borderId="50" xfId="0" applyBorder="1"/>
    <xf numFmtId="0" fontId="0" fillId="0" borderId="51" xfId="0" applyBorder="1"/>
    <xf numFmtId="172" fontId="0" fillId="0" borderId="51" xfId="44" applyNumberFormat="1" applyFont="1" applyFill="1" applyBorder="1"/>
    <xf numFmtId="0" fontId="56" fillId="19" borderId="35" xfId="32" applyFont="1" applyFill="1" applyBorder="1" applyAlignment="1">
      <alignment horizontal="center" wrapText="1"/>
    </xf>
    <xf numFmtId="0" fontId="27" fillId="31" borderId="0" xfId="0" applyFont="1" applyFill="1"/>
    <xf numFmtId="0" fontId="27" fillId="31" borderId="39" xfId="0" applyFont="1" applyFill="1" applyBorder="1"/>
    <xf numFmtId="0" fontId="27" fillId="31" borderId="4" xfId="0" applyFont="1" applyFill="1" applyBorder="1"/>
    <xf numFmtId="169" fontId="29" fillId="31" borderId="3" xfId="35" applyNumberFormat="1" applyFont="1" applyFill="1" applyBorder="1"/>
    <xf numFmtId="0" fontId="36" fillId="0" borderId="0" xfId="38" applyFont="1"/>
    <xf numFmtId="0" fontId="17" fillId="26" borderId="12" xfId="6" applyFont="1" applyFill="1" applyBorder="1"/>
    <xf numFmtId="0" fontId="19" fillId="26" borderId="12" xfId="0" applyFont="1" applyFill="1" applyBorder="1"/>
    <xf numFmtId="0" fontId="3" fillId="11" borderId="11" xfId="25" applyFont="1" applyFill="1" applyBorder="1" applyAlignment="1" applyProtection="1"/>
    <xf numFmtId="0" fontId="25" fillId="8" borderId="12" xfId="34" applyFont="1" applyFill="1" applyBorder="1" applyAlignment="1">
      <alignment horizontal="left" vertical="center" wrapText="1"/>
    </xf>
    <xf numFmtId="0" fontId="1" fillId="0" borderId="0" xfId="34" applyAlignment="1">
      <alignment horizontal="left" vertical="center" wrapText="1"/>
    </xf>
    <xf numFmtId="0" fontId="25" fillId="0" borderId="16" xfId="34" applyFont="1" applyBorder="1" applyAlignment="1">
      <alignment horizontal="left" vertical="center" wrapText="1"/>
    </xf>
    <xf numFmtId="0" fontId="1" fillId="0" borderId="17" xfId="34" applyBorder="1" applyAlignment="1">
      <alignment horizontal="left" vertical="center" wrapText="1"/>
    </xf>
    <xf numFmtId="0" fontId="1" fillId="0" borderId="18" xfId="34" applyBorder="1" applyAlignment="1">
      <alignment horizontal="left" vertical="center" wrapText="1"/>
    </xf>
    <xf numFmtId="0" fontId="25" fillId="0" borderId="0" xfId="34" applyFont="1" applyAlignment="1">
      <alignment horizontal="left" vertical="center" wrapText="1"/>
    </xf>
    <xf numFmtId="0" fontId="1" fillId="0" borderId="0" xfId="34" applyAlignment="1">
      <alignment horizontal="left" vertical="center" wrapText="1" indent="1"/>
    </xf>
    <xf numFmtId="0" fontId="57" fillId="0" borderId="26" xfId="34" applyFont="1" applyBorder="1" applyAlignment="1">
      <alignment horizontal="left" vertical="center"/>
    </xf>
    <xf numFmtId="0" fontId="1" fillId="0" borderId="27" xfId="34" applyBorder="1" applyAlignment="1">
      <alignment horizontal="left" vertical="center" wrapText="1"/>
    </xf>
    <xf numFmtId="0" fontId="1" fillId="0" borderId="27" xfId="34" applyBorder="1" applyAlignment="1">
      <alignment horizontal="left" vertical="center" wrapText="1" indent="1"/>
    </xf>
    <xf numFmtId="0" fontId="1" fillId="0" borderId="28" xfId="34" applyBorder="1" applyAlignment="1">
      <alignment horizontal="left" vertical="center" wrapText="1"/>
    </xf>
    <xf numFmtId="0" fontId="25" fillId="0" borderId="26" xfId="34" applyFont="1" applyBorder="1" applyAlignment="1">
      <alignment horizontal="left" vertical="center" wrapText="1"/>
    </xf>
    <xf numFmtId="0" fontId="25" fillId="0" borderId="24" xfId="34" applyFont="1" applyBorder="1" applyAlignment="1">
      <alignment horizontal="left" vertical="center" wrapText="1"/>
    </xf>
    <xf numFmtId="0" fontId="1" fillId="0" borderId="25" xfId="34" applyBorder="1" applyAlignment="1">
      <alignment horizontal="left" vertical="center" wrapText="1"/>
    </xf>
    <xf numFmtId="0" fontId="25" fillId="0" borderId="14" xfId="34" applyFont="1" applyBorder="1" applyAlignment="1">
      <alignment horizontal="left" vertical="center" wrapText="1"/>
    </xf>
    <xf numFmtId="0" fontId="1" fillId="0" borderId="13" xfId="34" applyBorder="1" applyAlignment="1">
      <alignment horizontal="left" vertical="center" wrapText="1"/>
    </xf>
    <xf numFmtId="0" fontId="1" fillId="0" borderId="15" xfId="34" applyBorder="1" applyAlignment="1">
      <alignment horizontal="left" vertical="center" wrapText="1"/>
    </xf>
    <xf numFmtId="0" fontId="1" fillId="0" borderId="17" xfId="34" applyBorder="1" applyAlignment="1">
      <alignment horizontal="left" vertical="center" wrapText="1" indent="1"/>
    </xf>
    <xf numFmtId="0" fontId="25" fillId="0" borderId="17" xfId="34" applyFont="1" applyBorder="1" applyAlignment="1">
      <alignment horizontal="left" vertical="center" wrapText="1"/>
    </xf>
    <xf numFmtId="0" fontId="57" fillId="0" borderId="18" xfId="34" applyFont="1" applyBorder="1" applyAlignment="1">
      <alignment horizontal="left" vertical="center" wrapText="1"/>
    </xf>
    <xf numFmtId="10" fontId="0" fillId="0" borderId="0" xfId="43" applyNumberFormat="1" applyFont="1"/>
    <xf numFmtId="0" fontId="59" fillId="15" borderId="0" xfId="42" applyFont="1" applyFill="1"/>
    <xf numFmtId="178" fontId="0" fillId="0" borderId="0" xfId="0" applyNumberFormat="1"/>
    <xf numFmtId="178" fontId="20" fillId="0" borderId="75" xfId="35" applyNumberFormat="1" applyFont="1" applyBorder="1" applyAlignment="1">
      <alignment horizontal="right"/>
    </xf>
    <xf numFmtId="1" fontId="0" fillId="0" borderId="75" xfId="0" applyNumberFormat="1" applyBorder="1" applyAlignment="1">
      <alignment horizontal="center"/>
    </xf>
    <xf numFmtId="17" fontId="0" fillId="0" borderId="76" xfId="0" applyNumberFormat="1" applyBorder="1" applyAlignment="1">
      <alignment horizontal="left"/>
    </xf>
    <xf numFmtId="178" fontId="20" fillId="27" borderId="77" xfId="35" applyNumberFormat="1" applyFont="1" applyFill="1" applyBorder="1" applyAlignment="1">
      <alignment horizontal="right"/>
    </xf>
    <xf numFmtId="1" fontId="0" fillId="27" borderId="77" xfId="0" applyNumberFormat="1" applyFill="1" applyBorder="1" applyAlignment="1">
      <alignment horizontal="center"/>
    </xf>
    <xf numFmtId="17" fontId="0" fillId="27" borderId="78" xfId="0" applyNumberFormat="1" applyFill="1" applyBorder="1" applyAlignment="1">
      <alignment horizontal="left"/>
    </xf>
    <xf numFmtId="178" fontId="20" fillId="0" borderId="77" xfId="35" applyNumberFormat="1" applyFont="1" applyBorder="1" applyAlignment="1">
      <alignment horizontal="right"/>
    </xf>
    <xf numFmtId="1" fontId="0" fillId="0" borderId="77" xfId="0" applyNumberFormat="1" applyBorder="1" applyAlignment="1">
      <alignment horizontal="center"/>
    </xf>
    <xf numFmtId="17" fontId="0" fillId="0" borderId="78" xfId="0" applyNumberFormat="1" applyBorder="1" applyAlignment="1">
      <alignment horizontal="left"/>
    </xf>
    <xf numFmtId="178" fontId="0" fillId="33" borderId="0" xfId="0" applyNumberFormat="1" applyFill="1"/>
    <xf numFmtId="178" fontId="14" fillId="25" borderId="79" xfId="35" applyNumberFormat="1" applyFont="1" applyFill="1" applyBorder="1" applyAlignment="1">
      <alignment horizontal="right"/>
    </xf>
    <xf numFmtId="1" fontId="14" fillId="25" borderId="79" xfId="0" applyNumberFormat="1" applyFont="1" applyFill="1" applyBorder="1"/>
    <xf numFmtId="17" fontId="14" fillId="25" borderId="8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51" fillId="0" borderId="58" xfId="45" applyFont="1" applyBorder="1"/>
    <xf numFmtId="0" fontId="51" fillId="0" borderId="63" xfId="45" applyFont="1" applyBorder="1"/>
    <xf numFmtId="0" fontId="50" fillId="24" borderId="57" xfId="45" applyFont="1" applyFill="1" applyBorder="1"/>
    <xf numFmtId="0" fontId="60" fillId="0" borderId="0" xfId="0" applyFont="1"/>
    <xf numFmtId="0" fontId="60" fillId="0" borderId="31" xfId="0" applyFont="1" applyBorder="1"/>
    <xf numFmtId="0" fontId="0" fillId="0" borderId="31" xfId="0" applyBorder="1"/>
    <xf numFmtId="179" fontId="0" fillId="0" borderId="0" xfId="0" applyNumberFormat="1"/>
    <xf numFmtId="0" fontId="3" fillId="0" borderId="0" xfId="8" applyFont="1" applyAlignment="1">
      <alignment horizontal="left"/>
    </xf>
    <xf numFmtId="0" fontId="1" fillId="0" borderId="20" xfId="32" applyBorder="1" applyAlignment="1">
      <alignment horizontal="center"/>
    </xf>
    <xf numFmtId="0" fontId="1" fillId="0" borderId="23" xfId="32" applyBorder="1" applyAlignment="1">
      <alignment horizontal="center"/>
    </xf>
    <xf numFmtId="0" fontId="3" fillId="11" borderId="5" xfId="34" applyFont="1" applyFill="1" applyBorder="1" applyAlignment="1">
      <alignment horizontal="center" vertical="center"/>
    </xf>
    <xf numFmtId="0" fontId="3" fillId="11" borderId="32" xfId="34" applyFont="1" applyFill="1" applyBorder="1" applyAlignment="1">
      <alignment horizontal="center" vertical="center"/>
    </xf>
    <xf numFmtId="0" fontId="3" fillId="11" borderId="32" xfId="34" applyFont="1" applyFill="1" applyBorder="1" applyAlignment="1">
      <alignment horizontal="center" vertical="center" wrapText="1"/>
    </xf>
    <xf numFmtId="0" fontId="3" fillId="11" borderId="6" xfId="34" applyFont="1" applyFill="1" applyBorder="1" applyAlignment="1">
      <alignment horizontal="center" vertical="center" wrapText="1"/>
    </xf>
    <xf numFmtId="14" fontId="1" fillId="0" borderId="19" xfId="34" applyNumberFormat="1" applyBorder="1"/>
    <xf numFmtId="0" fontId="1" fillId="0" borderId="4" xfId="34" applyBorder="1"/>
    <xf numFmtId="0" fontId="1" fillId="0" borderId="20" xfId="34" applyBorder="1"/>
    <xf numFmtId="0" fontId="3" fillId="0" borderId="0" xfId="34" applyFont="1" applyAlignment="1">
      <alignment horizontal="left"/>
    </xf>
    <xf numFmtId="0" fontId="1" fillId="0" borderId="0" xfId="34" applyAlignment="1">
      <alignment horizontal="centerContinuous"/>
    </xf>
    <xf numFmtId="0" fontId="1" fillId="0" borderId="12" xfId="34" applyBorder="1"/>
    <xf numFmtId="0" fontId="1" fillId="3" borderId="12" xfId="34" applyFill="1" applyBorder="1"/>
    <xf numFmtId="0" fontId="1" fillId="0" borderId="0" xfId="34" applyAlignment="1">
      <alignment horizontal="center"/>
    </xf>
    <xf numFmtId="1" fontId="1" fillId="0" borderId="0" xfId="34" applyNumberFormat="1"/>
    <xf numFmtId="14" fontId="1" fillId="0" borderId="21" xfId="34" applyNumberFormat="1" applyBorder="1"/>
    <xf numFmtId="0" fontId="1" fillId="0" borderId="22" xfId="34" applyBorder="1"/>
    <xf numFmtId="0" fontId="1" fillId="0" borderId="23" xfId="34" applyBorder="1"/>
    <xf numFmtId="0" fontId="61" fillId="0" borderId="0" xfId="4" applyFont="1" applyAlignment="1">
      <alignment horizontal="center"/>
    </xf>
    <xf numFmtId="0" fontId="65" fillId="0" borderId="0" xfId="51" applyFont="1">
      <alignment vertical="center"/>
    </xf>
    <xf numFmtId="0" fontId="66" fillId="0" borderId="86" xfId="52" applyFont="1" applyBorder="1"/>
    <xf numFmtId="0" fontId="65" fillId="0" borderId="86" xfId="51" applyFont="1" applyBorder="1">
      <alignment vertical="center"/>
    </xf>
    <xf numFmtId="0" fontId="67" fillId="0" borderId="0" xfId="0" applyFont="1"/>
    <xf numFmtId="0" fontId="18" fillId="0" borderId="0" xfId="0" applyFont="1"/>
    <xf numFmtId="0" fontId="1" fillId="0" borderId="0" xfId="53" applyFont="1">
      <alignment vertical="center"/>
    </xf>
    <xf numFmtId="0" fontId="68" fillId="0" borderId="0" xfId="0" applyFont="1" applyAlignment="1">
      <alignment vertical="center"/>
    </xf>
    <xf numFmtId="0" fontId="69" fillId="34" borderId="87" xfId="51" applyFont="1" applyFill="1" applyBorder="1" applyAlignment="1">
      <alignment horizontal="center" vertical="center"/>
    </xf>
    <xf numFmtId="0" fontId="70" fillId="0" borderId="88" xfId="51" applyFont="1" applyBorder="1" applyAlignment="1">
      <alignment horizontal="center" vertical="center"/>
    </xf>
    <xf numFmtId="180" fontId="70" fillId="0" borderId="88" xfId="51" applyNumberFormat="1" applyFont="1" applyBorder="1" applyAlignment="1">
      <alignment horizontal="center" vertical="center"/>
    </xf>
    <xf numFmtId="4" fontId="70" fillId="0" borderId="88" xfId="51" applyNumberFormat="1" applyFont="1" applyBorder="1" applyAlignment="1">
      <alignment horizontal="center" vertical="center"/>
    </xf>
    <xf numFmtId="0" fontId="70" fillId="0" borderId="0" xfId="51" applyFont="1" applyBorder="1" applyAlignment="1">
      <alignment horizontal="center" vertical="center"/>
    </xf>
    <xf numFmtId="180" fontId="70" fillId="0" borderId="0" xfId="51" applyNumberFormat="1" applyFont="1" applyBorder="1" applyAlignment="1">
      <alignment horizontal="center" vertical="center"/>
    </xf>
    <xf numFmtId="4" fontId="70" fillId="0" borderId="0" xfId="51" applyNumberFormat="1" applyFont="1" applyBorder="1" applyAlignment="1">
      <alignment horizontal="center" vertical="center"/>
    </xf>
    <xf numFmtId="0" fontId="69" fillId="35" borderId="87" xfId="51" applyFont="1" applyFill="1" applyBorder="1" applyAlignment="1">
      <alignment horizontal="center" vertical="center"/>
    </xf>
    <xf numFmtId="0" fontId="71" fillId="4" borderId="2" xfId="4" applyFont="1" applyFill="1" applyBorder="1" applyAlignment="1">
      <alignment horizontal="center"/>
    </xf>
    <xf numFmtId="0" fontId="1" fillId="5" borderId="3" xfId="4" applyFill="1" applyBorder="1" applyAlignment="1">
      <alignment horizontal="center"/>
    </xf>
    <xf numFmtId="0" fontId="69" fillId="37" borderId="87" xfId="51" applyFont="1" applyFill="1" applyBorder="1" applyAlignment="1">
      <alignment horizontal="left" vertical="center"/>
    </xf>
    <xf numFmtId="0" fontId="69" fillId="37" borderId="87" xfId="51" applyFont="1" applyFill="1" applyBorder="1" applyAlignment="1">
      <alignment horizontal="center" vertical="center"/>
    </xf>
    <xf numFmtId="0" fontId="69" fillId="9" borderId="87" xfId="51" applyFont="1" applyFill="1" applyBorder="1" applyAlignment="1">
      <alignment horizontal="center" vertical="center"/>
    </xf>
    <xf numFmtId="180" fontId="65" fillId="0" borderId="88" xfId="51" applyNumberFormat="1" applyFont="1" applyBorder="1" applyAlignment="1">
      <alignment horizontal="left" vertical="center"/>
    </xf>
    <xf numFmtId="0" fontId="65" fillId="0" borderId="88" xfId="51" applyFont="1" applyBorder="1" applyAlignment="1">
      <alignment horizontal="center" vertical="center"/>
    </xf>
    <xf numFmtId="180" fontId="65" fillId="0" borderId="88" xfId="51" applyNumberFormat="1" applyFont="1" applyBorder="1" applyAlignment="1">
      <alignment horizontal="center" vertical="center"/>
    </xf>
    <xf numFmtId="0" fontId="65" fillId="0" borderId="88" xfId="51" quotePrefix="1" applyFont="1" applyBorder="1" applyAlignment="1">
      <alignment horizontal="center" vertical="center"/>
    </xf>
    <xf numFmtId="0" fontId="72" fillId="0" borderId="88" xfId="51" applyFont="1" applyBorder="1" applyAlignment="1">
      <alignment horizontal="center" vertical="center"/>
    </xf>
    <xf numFmtId="180" fontId="72" fillId="0" borderId="88" xfId="51" applyNumberFormat="1" applyFont="1" applyBorder="1" applyAlignment="1">
      <alignment horizontal="center" vertical="center"/>
    </xf>
    <xf numFmtId="43" fontId="72" fillId="0" borderId="88" xfId="35" applyFont="1" applyBorder="1" applyAlignment="1">
      <alignment horizontal="center" vertical="center"/>
    </xf>
    <xf numFmtId="43" fontId="65" fillId="0" borderId="88" xfId="35" applyFont="1" applyBorder="1" applyAlignment="1">
      <alignment horizontal="center" vertical="center"/>
    </xf>
    <xf numFmtId="15" fontId="65" fillId="0" borderId="88" xfId="51" applyNumberFormat="1" applyFont="1" applyBorder="1" applyAlignment="1">
      <alignment horizontal="center" vertical="center"/>
    </xf>
    <xf numFmtId="4" fontId="72" fillId="0" borderId="88" xfId="51" applyNumberFormat="1" applyFont="1" applyBorder="1" applyAlignment="1">
      <alignment horizontal="center" vertical="center"/>
    </xf>
    <xf numFmtId="0" fontId="69" fillId="15" borderId="87" xfId="51" applyFont="1" applyFill="1" applyBorder="1" applyAlignment="1">
      <alignment horizontal="center" vertical="center"/>
    </xf>
    <xf numFmtId="0" fontId="69" fillId="15" borderId="87" xfId="51" applyFont="1" applyFill="1" applyBorder="1" applyAlignment="1">
      <alignment horizontal="center" vertical="center" wrapText="1"/>
    </xf>
    <xf numFmtId="0" fontId="69" fillId="36" borderId="87" xfId="51" applyFont="1" applyFill="1" applyBorder="1" applyAlignment="1">
      <alignment horizontal="center" vertical="center"/>
    </xf>
    <xf numFmtId="0" fontId="67" fillId="40" borderId="0" xfId="54" applyFont="1" applyFill="1" applyAlignment="1"/>
    <xf numFmtId="0" fontId="76" fillId="40" borderId="0" xfId="54" applyFont="1" applyFill="1" applyAlignment="1"/>
    <xf numFmtId="0" fontId="68" fillId="40" borderId="0" xfId="54" applyFont="1" applyFill="1">
      <alignment vertical="center"/>
    </xf>
    <xf numFmtId="0" fontId="77" fillId="0" borderId="0" xfId="4" applyFont="1" applyAlignment="1">
      <alignment horizontal="left" vertical="center" indent="3"/>
    </xf>
    <xf numFmtId="0" fontId="78" fillId="0" borderId="0" xfId="4" applyFont="1" applyAlignment="1">
      <alignment horizontal="center" vertical="center"/>
    </xf>
    <xf numFmtId="0" fontId="79" fillId="0" borderId="0" xfId="4" applyFont="1"/>
    <xf numFmtId="0" fontId="80" fillId="0" borderId="89" xfId="4" applyFont="1" applyBorder="1" applyAlignment="1">
      <alignment horizontal="center"/>
    </xf>
    <xf numFmtId="0" fontId="28" fillId="34" borderId="0" xfId="4" applyFont="1" applyFill="1" applyAlignment="1">
      <alignment horizontal="center" vertical="center"/>
    </xf>
    <xf numFmtId="0" fontId="81" fillId="39" borderId="0" xfId="54" applyFont="1" applyAlignment="1">
      <alignment horizontal="center" vertical="center"/>
    </xf>
    <xf numFmtId="0" fontId="81" fillId="39" borderId="0" xfId="54" applyFont="1" applyAlignment="1">
      <alignment horizontal="left" vertical="center" indent="2"/>
    </xf>
    <xf numFmtId="0" fontId="81" fillId="40" borderId="0" xfId="54" applyFont="1" applyFill="1" applyAlignment="1">
      <alignment horizontal="center" vertical="center"/>
    </xf>
    <xf numFmtId="0" fontId="81" fillId="40" borderId="0" xfId="54" applyFont="1" applyFill="1" applyAlignment="1">
      <alignment horizontal="left" vertical="center" indent="2"/>
    </xf>
    <xf numFmtId="0" fontId="79" fillId="0" borderId="0" xfId="4" applyFont="1" applyAlignment="1">
      <alignment horizontal="center"/>
    </xf>
    <xf numFmtId="0" fontId="28" fillId="41" borderId="0" xfId="54" applyFont="1" applyFill="1" applyAlignment="1">
      <alignment horizontal="center" vertical="center"/>
    </xf>
    <xf numFmtId="0" fontId="81" fillId="39" borderId="90" xfId="54" applyFont="1" applyBorder="1" applyAlignment="1">
      <alignment horizontal="center" vertical="center"/>
    </xf>
    <xf numFmtId="0" fontId="82" fillId="0" borderId="91" xfId="55" applyFont="1" applyFill="1" applyBorder="1" applyAlignment="1">
      <alignment horizontal="center" vertical="center"/>
    </xf>
    <xf numFmtId="0" fontId="81" fillId="39" borderId="92" xfId="54" applyFont="1" applyBorder="1" applyAlignment="1">
      <alignment horizontal="center" vertical="center"/>
    </xf>
    <xf numFmtId="0" fontId="14" fillId="0" borderId="93" xfId="56" applyFont="1" applyBorder="1"/>
    <xf numFmtId="0" fontId="20" fillId="0" borderId="93" xfId="56" applyBorder="1" applyAlignment="1">
      <alignment horizontal="right"/>
    </xf>
    <xf numFmtId="0" fontId="20" fillId="0" borderId="0" xfId="56"/>
    <xf numFmtId="6" fontId="20" fillId="0" borderId="93" xfId="56" applyNumberFormat="1" applyBorder="1"/>
    <xf numFmtId="0" fontId="20" fillId="0" borderId="93" xfId="56" applyBorder="1"/>
    <xf numFmtId="8" fontId="20" fillId="0" borderId="0" xfId="56" applyNumberFormat="1"/>
    <xf numFmtId="0" fontId="83" fillId="0" borderId="0" xfId="56" applyFont="1"/>
    <xf numFmtId="0" fontId="12" fillId="43" borderId="93" xfId="56" applyFont="1" applyFill="1" applyBorder="1" applyAlignment="1">
      <alignment horizontal="center"/>
    </xf>
    <xf numFmtId="8" fontId="20" fillId="0" borderId="93" xfId="56" applyNumberFormat="1" applyBorder="1"/>
    <xf numFmtId="0" fontId="69" fillId="20" borderId="87" xfId="51" applyFont="1" applyFill="1" applyBorder="1" applyAlignment="1">
      <alignment horizontal="center" vertical="center"/>
    </xf>
    <xf numFmtId="169" fontId="27" fillId="0" borderId="12" xfId="35" applyNumberFormat="1" applyFont="1" applyFill="1" applyBorder="1"/>
    <xf numFmtId="0" fontId="0" fillId="15" borderId="0" xfId="0" applyFill="1"/>
    <xf numFmtId="0" fontId="58" fillId="15" borderId="0" xfId="0" applyFont="1" applyFill="1"/>
    <xf numFmtId="0" fontId="84" fillId="25" borderId="0" xfId="0" applyFont="1" applyFill="1"/>
    <xf numFmtId="0" fontId="42" fillId="25" borderId="0" xfId="0" applyFont="1" applyFill="1"/>
    <xf numFmtId="0" fontId="59" fillId="15" borderId="0" xfId="0" applyFont="1" applyFill="1"/>
    <xf numFmtId="0" fontId="85" fillId="15" borderId="0" xfId="0" applyFont="1" applyFill="1"/>
    <xf numFmtId="0" fontId="86" fillId="15" borderId="0" xfId="0" applyFont="1" applyFill="1"/>
    <xf numFmtId="0" fontId="87" fillId="15" borderId="0" xfId="0" applyFont="1" applyFill="1"/>
    <xf numFmtId="0" fontId="59" fillId="15" borderId="0" xfId="42" applyFont="1" applyFill="1" applyBorder="1"/>
    <xf numFmtId="0" fontId="58" fillId="0" borderId="0" xfId="0" applyFont="1"/>
    <xf numFmtId="0" fontId="46" fillId="0" borderId="0" xfId="0" applyFont="1"/>
    <xf numFmtId="0" fontId="69" fillId="15" borderId="12" xfId="4" applyFont="1" applyFill="1" applyBorder="1" applyAlignment="1">
      <alignment horizontal="center"/>
    </xf>
    <xf numFmtId="0" fontId="1" fillId="0" borderId="12" xfId="4" applyBorder="1" applyAlignment="1">
      <alignment horizontal="center"/>
    </xf>
    <xf numFmtId="0" fontId="32" fillId="15" borderId="12" xfId="6" applyFont="1" applyFill="1" applyBorder="1" applyAlignment="1">
      <alignment horizontal="center"/>
    </xf>
    <xf numFmtId="0" fontId="32" fillId="15" borderId="12" xfId="6" applyFont="1" applyFill="1" applyBorder="1"/>
    <xf numFmtId="0" fontId="21" fillId="0" borderId="0" xfId="24" applyAlignment="1" applyProtection="1"/>
    <xf numFmtId="0" fontId="89" fillId="0" borderId="0" xfId="57"/>
    <xf numFmtId="0" fontId="1" fillId="0" borderId="0" xfId="57" applyFont="1" applyAlignment="1">
      <alignment vertical="top" wrapText="1"/>
    </xf>
    <xf numFmtId="0" fontId="1" fillId="0" borderId="0" xfId="57" applyFont="1"/>
    <xf numFmtId="0" fontId="1" fillId="0" borderId="12" xfId="57" applyFont="1" applyBorder="1"/>
    <xf numFmtId="0" fontId="28" fillId="15" borderId="12" xfId="57" applyFont="1" applyFill="1" applyBorder="1" applyAlignment="1">
      <alignment wrapText="1"/>
    </xf>
    <xf numFmtId="0" fontId="28" fillId="15" borderId="12" xfId="57" applyFont="1" applyFill="1" applyBorder="1" applyAlignment="1">
      <alignment horizontal="center" vertical="center" wrapText="1"/>
    </xf>
    <xf numFmtId="0" fontId="32" fillId="15" borderId="12" xfId="57" applyFont="1" applyFill="1" applyBorder="1" applyAlignment="1">
      <alignment horizontal="center" vertical="center" wrapText="1"/>
    </xf>
    <xf numFmtId="0" fontId="3" fillId="25" borderId="12" xfId="57" applyFont="1" applyFill="1" applyBorder="1" applyAlignment="1">
      <alignment horizontal="center" vertical="center" wrapText="1"/>
    </xf>
    <xf numFmtId="0" fontId="1" fillId="0" borderId="12" xfId="57" applyFont="1" applyBorder="1" applyAlignment="1">
      <alignment wrapText="1"/>
    </xf>
    <xf numFmtId="0" fontId="1" fillId="15" borderId="0" xfId="57" applyFont="1" applyFill="1"/>
    <xf numFmtId="0" fontId="3" fillId="14" borderId="12" xfId="57" applyFont="1" applyFill="1" applyBorder="1" applyAlignment="1">
      <alignment vertical="center" wrapText="1"/>
    </xf>
    <xf numFmtId="0" fontId="1" fillId="18" borderId="12" xfId="57" applyFont="1" applyFill="1" applyBorder="1"/>
    <xf numFmtId="14" fontId="1" fillId="18" borderId="12" xfId="57" applyNumberFormat="1" applyFont="1" applyFill="1" applyBorder="1" applyAlignment="1">
      <alignment horizontal="center"/>
    </xf>
    <xf numFmtId="0" fontId="1" fillId="18" borderId="12" xfId="57" applyFont="1" applyFill="1" applyBorder="1" applyAlignment="1">
      <alignment horizontal="center"/>
    </xf>
    <xf numFmtId="44" fontId="1" fillId="18" borderId="12" xfId="58" applyFont="1" applyFill="1" applyBorder="1"/>
    <xf numFmtId="172" fontId="1" fillId="18" borderId="12" xfId="58" applyNumberFormat="1" applyFont="1" applyFill="1" applyBorder="1"/>
    <xf numFmtId="3" fontId="18" fillId="0" borderId="0" xfId="0" applyNumberFormat="1" applyFont="1"/>
    <xf numFmtId="43" fontId="0" fillId="25" borderId="0" xfId="1" applyFont="1" applyFill="1"/>
    <xf numFmtId="9" fontId="0" fillId="0" borderId="0" xfId="43" applyFont="1"/>
    <xf numFmtId="43" fontId="90" fillId="0" borderId="0" xfId="1" applyFont="1"/>
    <xf numFmtId="0" fontId="91" fillId="0" borderId="0" xfId="4" applyFont="1"/>
    <xf numFmtId="0" fontId="60" fillId="25" borderId="31" xfId="0" applyFont="1" applyFill="1" applyBorder="1"/>
    <xf numFmtId="0" fontId="1" fillId="25" borderId="0" xfId="4" applyFill="1"/>
    <xf numFmtId="169" fontId="40" fillId="25" borderId="0" xfId="0" applyNumberFormat="1" applyFont="1" applyFill="1"/>
    <xf numFmtId="169" fontId="29" fillId="14" borderId="3" xfId="35" applyNumberFormat="1" applyFont="1" applyFill="1" applyBorder="1"/>
    <xf numFmtId="0" fontId="29" fillId="14" borderId="39" xfId="0" applyFont="1" applyFill="1" applyBorder="1"/>
    <xf numFmtId="0" fontId="27" fillId="14" borderId="0" xfId="0" applyFont="1" applyFill="1"/>
    <xf numFmtId="169" fontId="31" fillId="44" borderId="0" xfId="35" applyNumberFormat="1" applyFont="1" applyFill="1"/>
    <xf numFmtId="0" fontId="3" fillId="14" borderId="39" xfId="0" applyFont="1" applyFill="1" applyBorder="1"/>
    <xf numFmtId="164" fontId="0" fillId="0" borderId="0" xfId="0" applyNumberFormat="1"/>
    <xf numFmtId="0" fontId="0" fillId="14" borderId="0" xfId="0" applyFill="1"/>
    <xf numFmtId="0" fontId="0" fillId="0" borderId="16" xfId="0" applyBorder="1"/>
    <xf numFmtId="0" fontId="0" fillId="0" borderId="17" xfId="0" applyBorder="1"/>
    <xf numFmtId="164" fontId="88" fillId="0" borderId="18" xfId="0" applyNumberFormat="1" applyFont="1" applyBorder="1"/>
    <xf numFmtId="164" fontId="0" fillId="0" borderId="12" xfId="0" applyNumberFormat="1" applyBorder="1"/>
    <xf numFmtId="0" fontId="58" fillId="15" borderId="12" xfId="0" applyFont="1" applyFill="1" applyBorder="1" applyAlignment="1">
      <alignment vertical="center" wrapText="1"/>
    </xf>
    <xf numFmtId="164" fontId="0" fillId="26" borderId="12" xfId="0" applyNumberFormat="1" applyFill="1" applyBorder="1"/>
    <xf numFmtId="0" fontId="0" fillId="25" borderId="0" xfId="0" applyFill="1"/>
    <xf numFmtId="14" fontId="8" fillId="0" borderId="0" xfId="8" applyNumberFormat="1"/>
    <xf numFmtId="22" fontId="8" fillId="0" borderId="0" xfId="8" applyNumberFormat="1"/>
    <xf numFmtId="15" fontId="8" fillId="14" borderId="0" xfId="8" applyNumberFormat="1" applyFill="1"/>
    <xf numFmtId="15" fontId="8" fillId="30" borderId="0" xfId="8" applyNumberFormat="1" applyFill="1"/>
    <xf numFmtId="0" fontId="1" fillId="30" borderId="4" xfId="34" applyFill="1" applyBorder="1"/>
    <xf numFmtId="0" fontId="1" fillId="30" borderId="22" xfId="34" applyFill="1" applyBorder="1"/>
    <xf numFmtId="43" fontId="1" fillId="3" borderId="12" xfId="1" applyFont="1" applyFill="1" applyBorder="1"/>
    <xf numFmtId="0" fontId="37" fillId="0" borderId="26" xfId="41" applyBorder="1" applyAlignment="1">
      <alignment horizontal="right"/>
    </xf>
    <xf numFmtId="0" fontId="37" fillId="0" borderId="27" xfId="41" applyBorder="1" applyAlignment="1">
      <alignment horizontal="right"/>
    </xf>
    <xf numFmtId="0" fontId="37" fillId="0" borderId="28" xfId="41" applyBorder="1" applyAlignment="1">
      <alignment horizontal="right"/>
    </xf>
    <xf numFmtId="0" fontId="37" fillId="0" borderId="0" xfId="41" applyAlignment="1">
      <alignment horizontal="left"/>
    </xf>
    <xf numFmtId="0" fontId="38" fillId="0" borderId="0" xfId="41" applyFont="1" applyAlignment="1">
      <alignment horizontal="left"/>
    </xf>
    <xf numFmtId="10" fontId="3" fillId="6" borderId="44" xfId="43" applyNumberFormat="1" applyFont="1" applyFill="1" applyBorder="1" applyAlignment="1">
      <alignment horizontal="center"/>
    </xf>
    <xf numFmtId="0" fontId="92" fillId="0" borderId="0" xfId="0" applyFont="1"/>
    <xf numFmtId="0" fontId="3" fillId="0" borderId="0" xfId="4" applyFont="1"/>
    <xf numFmtId="0" fontId="3" fillId="0" borderId="0" xfId="59" applyFont="1"/>
    <xf numFmtId="0" fontId="3" fillId="0" borderId="0" xfId="4" applyFon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  <xf numFmtId="1" fontId="1" fillId="46" borderId="0" xfId="4" applyNumberFormat="1" applyFill="1"/>
    <xf numFmtId="0" fontId="1" fillId="0" borderId="0" xfId="59"/>
    <xf numFmtId="0" fontId="3" fillId="46" borderId="46" xfId="4" applyFont="1" applyFill="1" applyBorder="1"/>
    <xf numFmtId="1" fontId="3" fillId="46" borderId="12" xfId="4" applyNumberFormat="1" applyFont="1" applyFill="1" applyBorder="1"/>
    <xf numFmtId="1" fontId="3" fillId="46" borderId="94" xfId="4" applyNumberFormat="1" applyFont="1" applyFill="1" applyBorder="1"/>
    <xf numFmtId="1" fontId="3" fillId="46" borderId="32" xfId="4" applyNumberFormat="1" applyFont="1" applyFill="1" applyBorder="1"/>
    <xf numFmtId="1" fontId="3" fillId="46" borderId="6" xfId="4" applyNumberFormat="1" applyFont="1" applyFill="1" applyBorder="1"/>
    <xf numFmtId="0" fontId="1" fillId="14" borderId="95" xfId="4" applyFill="1" applyBorder="1"/>
    <xf numFmtId="1" fontId="1" fillId="46" borderId="12" xfId="4" applyNumberFormat="1" applyFill="1" applyBorder="1"/>
    <xf numFmtId="1" fontId="1" fillId="46" borderId="96" xfId="4" applyNumberFormat="1" applyFill="1" applyBorder="1"/>
    <xf numFmtId="1" fontId="1" fillId="46" borderId="8" xfId="4" applyNumberFormat="1" applyFill="1" applyBorder="1"/>
    <xf numFmtId="1" fontId="90" fillId="46" borderId="0" xfId="4" applyNumberFormat="1" applyFont="1" applyFill="1"/>
    <xf numFmtId="1" fontId="1" fillId="46" borderId="96" xfId="4" applyNumberFormat="1" applyFill="1" applyBorder="1" applyAlignment="1">
      <alignment horizontal="right" vertical="center"/>
    </xf>
    <xf numFmtId="1" fontId="1" fillId="46" borderId="12" xfId="4" applyNumberFormat="1" applyFill="1" applyBorder="1" applyAlignment="1">
      <alignment horizontal="right" vertical="center"/>
    </xf>
    <xf numFmtId="1" fontId="1" fillId="0" borderId="12" xfId="59" applyNumberFormat="1" applyBorder="1"/>
    <xf numFmtId="1" fontId="3" fillId="46" borderId="0" xfId="4" applyNumberFormat="1" applyFont="1" applyFill="1"/>
    <xf numFmtId="0" fontId="3" fillId="46" borderId="95" xfId="4" applyFont="1" applyFill="1" applyBorder="1" applyAlignment="1">
      <alignment horizontal="right"/>
    </xf>
    <xf numFmtId="1" fontId="3" fillId="46" borderId="96" xfId="4" applyNumberFormat="1" applyFont="1" applyFill="1" applyBorder="1"/>
    <xf numFmtId="1" fontId="3" fillId="46" borderId="8" xfId="4" applyNumberFormat="1" applyFont="1" applyFill="1" applyBorder="1"/>
    <xf numFmtId="0" fontId="3" fillId="46" borderId="95" xfId="4" applyFont="1" applyFill="1" applyBorder="1"/>
    <xf numFmtId="0" fontId="1" fillId="46" borderId="95" xfId="4" applyFill="1" applyBorder="1"/>
    <xf numFmtId="0" fontId="93" fillId="0" borderId="0" xfId="59" applyFont="1"/>
    <xf numFmtId="1" fontId="3" fillId="46" borderId="0" xfId="59" applyNumberFormat="1" applyFont="1" applyFill="1"/>
    <xf numFmtId="0" fontId="3" fillId="6" borderId="95" xfId="4" applyFont="1" applyFill="1" applyBorder="1"/>
    <xf numFmtId="1" fontId="1" fillId="6" borderId="12" xfId="4" applyNumberFormat="1" applyFill="1" applyBorder="1"/>
    <xf numFmtId="1" fontId="1" fillId="6" borderId="96" xfId="4" applyNumberFormat="1" applyFill="1" applyBorder="1"/>
    <xf numFmtId="1" fontId="3" fillId="6" borderId="8" xfId="4" applyNumberFormat="1" applyFont="1" applyFill="1" applyBorder="1"/>
    <xf numFmtId="9" fontId="1" fillId="46" borderId="12" xfId="43" applyFont="1" applyFill="1" applyBorder="1"/>
    <xf numFmtId="0" fontId="3" fillId="6" borderId="7" xfId="4" applyFont="1" applyFill="1" applyBorder="1"/>
    <xf numFmtId="1" fontId="1" fillId="0" borderId="0" xfId="59" applyNumberFormat="1"/>
    <xf numFmtId="0" fontId="3" fillId="6" borderId="14" xfId="4" applyFont="1" applyFill="1" applyBorder="1"/>
    <xf numFmtId="1" fontId="1" fillId="6" borderId="22" xfId="4" applyNumberFormat="1" applyFill="1" applyBorder="1"/>
    <xf numFmtId="1" fontId="1" fillId="6" borderId="97" xfId="4" applyNumberFormat="1" applyFill="1" applyBorder="1"/>
    <xf numFmtId="1" fontId="3" fillId="6" borderId="23" xfId="4" applyNumberFormat="1" applyFont="1" applyFill="1" applyBorder="1"/>
    <xf numFmtId="1" fontId="1" fillId="0" borderId="0" xfId="4" applyNumberFormat="1"/>
    <xf numFmtId="0" fontId="1" fillId="0" borderId="95" xfId="4" applyBorder="1"/>
    <xf numFmtId="0" fontId="1" fillId="0" borderId="12" xfId="4" applyBorder="1"/>
    <xf numFmtId="0" fontId="1" fillId="0" borderId="12" xfId="59" applyBorder="1"/>
    <xf numFmtId="0" fontId="3" fillId="0" borderId="95" xfId="4" applyFont="1" applyBorder="1" applyAlignment="1">
      <alignment horizontal="right"/>
    </xf>
    <xf numFmtId="0" fontId="3" fillId="0" borderId="95" xfId="4" applyFont="1" applyBorder="1"/>
    <xf numFmtId="0" fontId="3" fillId="0" borderId="46" xfId="4" applyFont="1" applyBorder="1"/>
    <xf numFmtId="4" fontId="1" fillId="7" borderId="12" xfId="31" applyNumberFormat="1" applyFont="1" applyFill="1" applyBorder="1"/>
    <xf numFmtId="0" fontId="1" fillId="26" borderId="0" xfId="31" applyFont="1" applyFill="1"/>
    <xf numFmtId="0" fontId="0" fillId="0" borderId="0" xfId="56" applyFont="1"/>
    <xf numFmtId="165" fontId="20" fillId="0" borderId="0" xfId="56" applyNumberFormat="1"/>
    <xf numFmtId="0" fontId="31" fillId="6" borderId="47" xfId="40" applyFont="1" applyFill="1" applyBorder="1" applyAlignment="1">
      <alignment horizontal="center" vertical="center"/>
    </xf>
    <xf numFmtId="0" fontId="14" fillId="14" borderId="68" xfId="0" applyFont="1" applyFill="1" applyBorder="1" applyAlignment="1">
      <alignment horizontal="center"/>
    </xf>
    <xf numFmtId="0" fontId="14" fillId="14" borderId="69" xfId="0" applyFont="1" applyFill="1" applyBorder="1" applyAlignment="1">
      <alignment horizontal="center"/>
    </xf>
    <xf numFmtId="0" fontId="0" fillId="14" borderId="68" xfId="0" applyFill="1" applyBorder="1" applyAlignment="1">
      <alignment horizontal="center"/>
    </xf>
    <xf numFmtId="0" fontId="0" fillId="14" borderId="69" xfId="0" applyFill="1" applyBorder="1" applyAlignment="1">
      <alignment horizontal="center"/>
    </xf>
    <xf numFmtId="0" fontId="0" fillId="14" borderId="70" xfId="0" applyFill="1" applyBorder="1" applyAlignment="1">
      <alignment horizontal="center"/>
    </xf>
    <xf numFmtId="0" fontId="0" fillId="14" borderId="71" xfId="0" applyFill="1" applyBorder="1" applyAlignment="1">
      <alignment horizontal="center"/>
    </xf>
    <xf numFmtId="0" fontId="25" fillId="0" borderId="0" xfId="27" applyFont="1"/>
    <xf numFmtId="0" fontId="1" fillId="0" borderId="0" xfId="27"/>
    <xf numFmtId="0" fontId="94" fillId="0" borderId="0" xfId="27" applyFont="1"/>
    <xf numFmtId="0" fontId="95" fillId="0" borderId="0" xfId="27" applyFont="1"/>
    <xf numFmtId="0" fontId="5" fillId="0" borderId="0" xfId="27" applyFont="1" applyAlignment="1">
      <alignment horizontal="left" indent="1"/>
    </xf>
    <xf numFmtId="0" fontId="5" fillId="0" borderId="0" xfId="27" applyFont="1"/>
    <xf numFmtId="0" fontId="96" fillId="0" borderId="0" xfId="27" applyFont="1"/>
    <xf numFmtId="0" fontId="97" fillId="0" borderId="0" xfId="27" applyFont="1"/>
    <xf numFmtId="0" fontId="3" fillId="8" borderId="5" xfId="27" applyFont="1" applyFill="1" applyBorder="1" applyAlignment="1">
      <alignment horizontal="center" vertical="center" wrapText="1"/>
    </xf>
    <xf numFmtId="0" fontId="3" fillId="8" borderId="32" xfId="27" applyFont="1" applyFill="1" applyBorder="1" applyAlignment="1">
      <alignment horizontal="center" vertical="center" wrapText="1"/>
    </xf>
    <xf numFmtId="0" fontId="3" fillId="8" borderId="6" xfId="27" applyFont="1" applyFill="1" applyBorder="1" applyAlignment="1">
      <alignment horizontal="center" vertical="center" wrapText="1"/>
    </xf>
    <xf numFmtId="0" fontId="3" fillId="8" borderId="99" xfId="27" applyFont="1" applyFill="1" applyBorder="1" applyAlignment="1">
      <alignment horizontal="center" vertical="center" wrapText="1"/>
    </xf>
    <xf numFmtId="0" fontId="3" fillId="8" borderId="100" xfId="27" applyFont="1" applyFill="1" applyBorder="1" applyAlignment="1">
      <alignment horizontal="center" vertical="center" wrapText="1"/>
    </xf>
    <xf numFmtId="0" fontId="3" fillId="8" borderId="101" xfId="27" applyFont="1" applyFill="1" applyBorder="1" applyAlignment="1">
      <alignment horizontal="center" vertical="center" wrapText="1"/>
    </xf>
    <xf numFmtId="15" fontId="1" fillId="0" borderId="7" xfId="27" applyNumberFormat="1" applyBorder="1"/>
    <xf numFmtId="0" fontId="1" fillId="0" borderId="12" xfId="27" applyBorder="1"/>
    <xf numFmtId="0" fontId="1" fillId="0" borderId="8" xfId="27" applyBorder="1"/>
    <xf numFmtId="2" fontId="1" fillId="7" borderId="32" xfId="43" applyNumberFormat="1" applyFont="1" applyFill="1" applyBorder="1"/>
    <xf numFmtId="15" fontId="1" fillId="0" borderId="9" xfId="27" applyNumberFormat="1" applyBorder="1"/>
    <xf numFmtId="0" fontId="1" fillId="0" borderId="33" xfId="27" applyBorder="1"/>
    <xf numFmtId="0" fontId="1" fillId="0" borderId="10" xfId="27" applyBorder="1"/>
    <xf numFmtId="15" fontId="1" fillId="0" borderId="0" xfId="27" applyNumberFormat="1"/>
    <xf numFmtId="0" fontId="12" fillId="15" borderId="102" xfId="0" applyFont="1" applyFill="1" applyBorder="1" applyAlignment="1">
      <alignment vertical="center"/>
    </xf>
    <xf numFmtId="0" fontId="12" fillId="15" borderId="103" xfId="0" applyFont="1" applyFill="1" applyBorder="1" applyAlignment="1">
      <alignment horizontal="center" vertical="center" wrapText="1"/>
    </xf>
    <xf numFmtId="0" fontId="0" fillId="26" borderId="16" xfId="0" applyFill="1" applyBorder="1"/>
    <xf numFmtId="0" fontId="0" fillId="26" borderId="18" xfId="0" applyFill="1" applyBorder="1"/>
    <xf numFmtId="0" fontId="0" fillId="26" borderId="24" xfId="0" applyFill="1" applyBorder="1"/>
    <xf numFmtId="0" fontId="0" fillId="26" borderId="25" xfId="0" applyFill="1" applyBorder="1"/>
    <xf numFmtId="0" fontId="0" fillId="26" borderId="14" xfId="0" applyFill="1" applyBorder="1"/>
    <xf numFmtId="0" fontId="0" fillId="0" borderId="104" xfId="0" applyBorder="1"/>
    <xf numFmtId="0" fontId="0" fillId="0" borderId="72" xfId="0" applyBorder="1" applyAlignment="1">
      <alignment horizontal="center"/>
    </xf>
    <xf numFmtId="170" fontId="0" fillId="0" borderId="72" xfId="0" applyNumberFormat="1" applyBorder="1" applyAlignment="1">
      <alignment horizontal="center"/>
    </xf>
    <xf numFmtId="0" fontId="0" fillId="0" borderId="105" xfId="0" applyBorder="1"/>
    <xf numFmtId="0" fontId="0" fillId="0" borderId="106" xfId="0" applyBorder="1" applyAlignment="1">
      <alignment horizontal="center"/>
    </xf>
    <xf numFmtId="170" fontId="0" fillId="0" borderId="106" xfId="0" applyNumberFormat="1" applyBorder="1" applyAlignment="1">
      <alignment horizontal="center"/>
    </xf>
    <xf numFmtId="43" fontId="1" fillId="26" borderId="12" xfId="1" applyFont="1" applyFill="1" applyBorder="1"/>
    <xf numFmtId="43" fontId="1" fillId="7" borderId="12" xfId="1" applyFont="1" applyFill="1" applyBorder="1"/>
    <xf numFmtId="10" fontId="23" fillId="0" borderId="12" xfId="14" applyNumberFormat="1" applyFont="1" applyBorder="1"/>
    <xf numFmtId="10" fontId="24" fillId="24" borderId="12" xfId="43" applyNumberFormat="1" applyFont="1" applyFill="1" applyBorder="1"/>
    <xf numFmtId="0" fontId="26" fillId="8" borderId="34" xfId="32" applyFont="1" applyFill="1" applyBorder="1" applyAlignment="1">
      <alignment horizontal="center"/>
    </xf>
    <xf numFmtId="0" fontId="26" fillId="8" borderId="38" xfId="32" applyFont="1" applyFill="1" applyBorder="1" applyAlignment="1">
      <alignment horizontal="center" wrapText="1"/>
    </xf>
    <xf numFmtId="2" fontId="1" fillId="0" borderId="37" xfId="32" applyNumberFormat="1" applyBorder="1"/>
    <xf numFmtId="0" fontId="1" fillId="0" borderId="30" xfId="32" applyBorder="1"/>
    <xf numFmtId="2" fontId="1" fillId="0" borderId="8" xfId="32" applyNumberFormat="1" applyBorder="1"/>
    <xf numFmtId="0" fontId="1" fillId="0" borderId="12" xfId="32" applyBorder="1"/>
    <xf numFmtId="2" fontId="1" fillId="0" borderId="10" xfId="32" applyNumberFormat="1" applyBorder="1"/>
    <xf numFmtId="0" fontId="1" fillId="0" borderId="33" xfId="32" applyBorder="1"/>
    <xf numFmtId="0" fontId="56" fillId="19" borderId="34" xfId="32" applyFont="1" applyFill="1" applyBorder="1" applyAlignment="1">
      <alignment horizontal="center"/>
    </xf>
    <xf numFmtId="0" fontId="56" fillId="19" borderId="38" xfId="32" applyFont="1" applyFill="1" applyBorder="1" applyAlignment="1">
      <alignment horizontal="center" wrapText="1"/>
    </xf>
    <xf numFmtId="0" fontId="26" fillId="8" borderId="107" xfId="32" applyFont="1" applyFill="1" applyBorder="1" applyAlignment="1">
      <alignment horizontal="center" vertical="center" wrapText="1"/>
    </xf>
    <xf numFmtId="0" fontId="1" fillId="0" borderId="108" xfId="32" applyBorder="1"/>
    <xf numFmtId="0" fontId="1" fillId="0" borderId="109" xfId="32" applyBorder="1"/>
    <xf numFmtId="0" fontId="1" fillId="0" borderId="19" xfId="32" applyBorder="1" applyAlignment="1">
      <alignment horizontal="center"/>
    </xf>
    <xf numFmtId="0" fontId="1" fillId="0" borderId="19" xfId="32" applyBorder="1" applyAlignment="1">
      <alignment horizontal="center" wrapText="1"/>
    </xf>
    <xf numFmtId="0" fontId="1" fillId="0" borderId="21" xfId="32" applyBorder="1" applyAlignment="1">
      <alignment horizontal="center"/>
    </xf>
    <xf numFmtId="10" fontId="3" fillId="0" borderId="0" xfId="43" applyNumberFormat="1" applyFont="1"/>
    <xf numFmtId="0" fontId="37" fillId="53" borderId="47" xfId="40" applyFill="1" applyBorder="1" applyAlignment="1">
      <alignment horizontal="center"/>
    </xf>
    <xf numFmtId="0" fontId="37" fillId="14" borderId="48" xfId="40" applyFill="1" applyBorder="1" applyAlignment="1">
      <alignment wrapText="1"/>
    </xf>
    <xf numFmtId="0" fontId="37" fillId="47" borderId="0" xfId="40" applyFill="1"/>
    <xf numFmtId="14" fontId="0" fillId="0" borderId="0" xfId="0" applyNumberFormat="1"/>
    <xf numFmtId="0" fontId="14" fillId="54" borderId="69" xfId="0" applyFont="1" applyFill="1" applyBorder="1" applyAlignment="1">
      <alignment horizontal="center"/>
    </xf>
    <xf numFmtId="0" fontId="37" fillId="55" borderId="12" xfId="41" applyFill="1" applyBorder="1"/>
    <xf numFmtId="9" fontId="3" fillId="0" borderId="0" xfId="43" applyFont="1"/>
    <xf numFmtId="0" fontId="14" fillId="55" borderId="69" xfId="0" applyFont="1" applyFill="1" applyBorder="1" applyAlignment="1">
      <alignment horizontal="center"/>
    </xf>
    <xf numFmtId="0" fontId="0" fillId="23" borderId="0" xfId="0" applyFill="1"/>
    <xf numFmtId="0" fontId="0" fillId="0" borderId="0" xfId="0" applyAlignment="1">
      <alignment wrapText="1"/>
    </xf>
    <xf numFmtId="0" fontId="0" fillId="47" borderId="0" xfId="0" applyFill="1"/>
    <xf numFmtId="0" fontId="14" fillId="56" borderId="0" xfId="0" applyFont="1" applyFill="1"/>
    <xf numFmtId="0" fontId="14" fillId="47" borderId="0" xfId="0" applyFont="1" applyFill="1"/>
    <xf numFmtId="0" fontId="99" fillId="23" borderId="0" xfId="0" applyFont="1" applyFill="1"/>
    <xf numFmtId="0" fontId="100" fillId="0" borderId="0" xfId="0" applyFont="1"/>
    <xf numFmtId="0" fontId="99" fillId="14" borderId="0" xfId="0" applyFont="1" applyFill="1"/>
    <xf numFmtId="0" fontId="0" fillId="14" borderId="12" xfId="0" applyFill="1" applyBorder="1" applyAlignment="1">
      <alignment horizontal="center"/>
    </xf>
    <xf numFmtId="0" fontId="14" fillId="14" borderId="12" xfId="0" applyFont="1" applyFill="1" applyBorder="1" applyAlignment="1">
      <alignment horizontal="center"/>
    </xf>
    <xf numFmtId="15" fontId="0" fillId="0" borderId="0" xfId="1" applyNumberFormat="1" applyFont="1"/>
    <xf numFmtId="15" fontId="20" fillId="0" borderId="0" xfId="1" applyNumberFormat="1" applyFont="1"/>
    <xf numFmtId="0" fontId="45" fillId="28" borderId="51" xfId="0" applyFont="1" applyFill="1" applyBorder="1" applyAlignment="1">
      <alignment horizontal="left"/>
    </xf>
    <xf numFmtId="0" fontId="0" fillId="0" borderId="30" xfId="0" applyBorder="1" applyAlignment="1">
      <alignment horizontal="center"/>
    </xf>
    <xf numFmtId="0" fontId="102" fillId="45" borderId="111" xfId="0" applyFont="1" applyFill="1" applyBorder="1"/>
    <xf numFmtId="43" fontId="1" fillId="7" borderId="32" xfId="1" applyFont="1" applyFill="1" applyBorder="1"/>
    <xf numFmtId="0" fontId="0" fillId="14" borderId="0" xfId="0" applyFill="1" applyAlignment="1">
      <alignment horizontal="center"/>
    </xf>
    <xf numFmtId="0" fontId="14" fillId="26" borderId="12" xfId="0" applyFont="1" applyFill="1" applyBorder="1" applyAlignment="1">
      <alignment horizontal="left"/>
    </xf>
    <xf numFmtId="0" fontId="14" fillId="26" borderId="12" xfId="0" applyFont="1" applyFill="1" applyBorder="1" applyAlignment="1">
      <alignment horizontal="center"/>
    </xf>
    <xf numFmtId="0" fontId="14" fillId="54" borderId="12" xfId="0" applyFont="1" applyFill="1" applyBorder="1" applyAlignment="1">
      <alignment horizontal="center"/>
    </xf>
    <xf numFmtId="17" fontId="0" fillId="0" borderId="12" xfId="0" applyNumberFormat="1" applyBorder="1" applyAlignment="1">
      <alignment horizontal="left"/>
    </xf>
    <xf numFmtId="9" fontId="0" fillId="0" borderId="12" xfId="43" applyFont="1" applyBorder="1" applyAlignment="1">
      <alignment horizontal="center"/>
    </xf>
    <xf numFmtId="9" fontId="54" fillId="54" borderId="12" xfId="0" applyNumberFormat="1" applyFont="1" applyFill="1" applyBorder="1" applyAlignment="1">
      <alignment horizontal="center"/>
    </xf>
    <xf numFmtId="0" fontId="26" fillId="8" borderId="12" xfId="32" applyFont="1" applyFill="1" applyBorder="1" applyAlignment="1">
      <alignment horizontal="center" vertical="center" wrapText="1"/>
    </xf>
    <xf numFmtId="2" fontId="1" fillId="0" borderId="12" xfId="32" applyNumberFormat="1" applyBorder="1" applyAlignment="1">
      <alignment horizontal="center"/>
    </xf>
    <xf numFmtId="0" fontId="1" fillId="0" borderId="12" xfId="32" applyBorder="1" applyAlignment="1">
      <alignment horizontal="center"/>
    </xf>
    <xf numFmtId="0" fontId="1" fillId="23" borderId="12" xfId="40" applyFont="1" applyFill="1" applyBorder="1" applyAlignment="1">
      <alignment horizontal="left"/>
    </xf>
    <xf numFmtId="0" fontId="33" fillId="57" borderId="12" xfId="38" applyFill="1" applyBorder="1" applyAlignment="1">
      <alignment horizontal="left"/>
    </xf>
    <xf numFmtId="0" fontId="33" fillId="0" borderId="12" xfId="38" applyBorder="1" applyAlignment="1">
      <alignment horizontal="left"/>
    </xf>
    <xf numFmtId="0" fontId="33" fillId="0" borderId="12" xfId="38" applyBorder="1"/>
    <xf numFmtId="0" fontId="104" fillId="58" borderId="12" xfId="38" applyFont="1" applyFill="1" applyBorder="1"/>
    <xf numFmtId="0" fontId="33" fillId="32" borderId="12" xfId="38" applyFill="1" applyBorder="1"/>
    <xf numFmtId="0" fontId="33" fillId="47" borderId="12" xfId="38" applyFill="1" applyBorder="1"/>
    <xf numFmtId="0" fontId="33" fillId="48" borderId="12" xfId="38" applyFill="1" applyBorder="1"/>
    <xf numFmtId="0" fontId="33" fillId="49" borderId="12" xfId="38" applyFill="1" applyBorder="1"/>
    <xf numFmtId="43" fontId="33" fillId="50" borderId="12" xfId="1" applyFont="1" applyFill="1" applyBorder="1"/>
    <xf numFmtId="0" fontId="33" fillId="51" borderId="12" xfId="38" applyFill="1" applyBorder="1"/>
    <xf numFmtId="0" fontId="33" fillId="52" borderId="12" xfId="38" applyFill="1" applyBorder="1"/>
    <xf numFmtId="0" fontId="33" fillId="26" borderId="12" xfId="38" applyFill="1" applyBorder="1" applyAlignment="1">
      <alignment horizontal="left"/>
    </xf>
    <xf numFmtId="2" fontId="0" fillId="0" borderId="0" xfId="0" applyNumberFormat="1"/>
    <xf numFmtId="0" fontId="0" fillId="14" borderId="12" xfId="0" applyFill="1" applyBorder="1"/>
    <xf numFmtId="0" fontId="0" fillId="23" borderId="12" xfId="0" applyFill="1" applyBorder="1"/>
    <xf numFmtId="0" fontId="14" fillId="55" borderId="114" xfId="0" applyFont="1" applyFill="1" applyBorder="1" applyAlignment="1">
      <alignment horizontal="center"/>
    </xf>
    <xf numFmtId="0" fontId="0" fillId="47" borderId="12" xfId="0" applyFill="1" applyBorder="1"/>
    <xf numFmtId="0" fontId="0" fillId="59" borderId="0" xfId="0" applyFill="1"/>
    <xf numFmtId="43" fontId="33" fillId="7" borderId="12" xfId="1" applyFont="1" applyFill="1" applyBorder="1"/>
    <xf numFmtId="0" fontId="33" fillId="60" borderId="12" xfId="38" applyFill="1" applyBorder="1" applyAlignment="1">
      <alignment horizontal="left"/>
    </xf>
    <xf numFmtId="0" fontId="33" fillId="38" borderId="12" xfId="38" applyFill="1" applyBorder="1"/>
    <xf numFmtId="0" fontId="37" fillId="61" borderId="12" xfId="40" applyFill="1" applyBorder="1"/>
    <xf numFmtId="0" fontId="37" fillId="0" borderId="12" xfId="40" applyBorder="1"/>
    <xf numFmtId="0" fontId="37" fillId="61" borderId="12" xfId="40" applyFill="1" applyBorder="1" applyAlignment="1">
      <alignment horizontal="center"/>
    </xf>
    <xf numFmtId="0" fontId="37" fillId="0" borderId="12" xfId="40" applyBorder="1" applyAlignment="1">
      <alignment horizontal="center"/>
    </xf>
    <xf numFmtId="43" fontId="1" fillId="3" borderId="8" xfId="1" applyFont="1" applyFill="1" applyBorder="1"/>
    <xf numFmtId="0" fontId="105" fillId="62" borderId="111" xfId="41" applyFont="1" applyFill="1" applyBorder="1"/>
    <xf numFmtId="0" fontId="106" fillId="63" borderId="111" xfId="41" applyFont="1" applyFill="1" applyBorder="1"/>
    <xf numFmtId="0" fontId="31" fillId="45" borderId="111" xfId="41" applyFont="1" applyFill="1" applyBorder="1"/>
    <xf numFmtId="0" fontId="107" fillId="45" borderId="115" xfId="41" applyFont="1" applyFill="1" applyBorder="1"/>
    <xf numFmtId="0" fontId="107" fillId="45" borderId="116" xfId="41" applyFont="1" applyFill="1" applyBorder="1"/>
    <xf numFmtId="0" fontId="107" fillId="45" borderId="117" xfId="41" applyFont="1" applyFill="1" applyBorder="1"/>
    <xf numFmtId="0" fontId="107" fillId="45" borderId="118" xfId="41" applyFont="1" applyFill="1" applyBorder="1"/>
    <xf numFmtId="0" fontId="107" fillId="45" borderId="111" xfId="41" applyFont="1" applyFill="1" applyBorder="1"/>
    <xf numFmtId="0" fontId="107" fillId="45" borderId="119" xfId="41" applyFont="1" applyFill="1" applyBorder="1"/>
    <xf numFmtId="0" fontId="108" fillId="64" borderId="118" xfId="41" applyFont="1" applyFill="1" applyBorder="1"/>
    <xf numFmtId="0" fontId="31" fillId="45" borderId="119" xfId="41" applyFont="1" applyFill="1" applyBorder="1"/>
    <xf numFmtId="0" fontId="108" fillId="64" borderId="120" xfId="41" applyFont="1" applyFill="1" applyBorder="1"/>
    <xf numFmtId="0" fontId="31" fillId="45" borderId="121" xfId="41" applyFont="1" applyFill="1" applyBorder="1"/>
    <xf numFmtId="0" fontId="31" fillId="45" borderId="122" xfId="41" applyFont="1" applyFill="1" applyBorder="1"/>
    <xf numFmtId="43" fontId="33" fillId="36" borderId="12" xfId="1" applyFont="1" applyFill="1" applyBorder="1"/>
    <xf numFmtId="43" fontId="33" fillId="0" borderId="12" xfId="1" applyFont="1" applyBorder="1"/>
    <xf numFmtId="0" fontId="28" fillId="15" borderId="16" xfId="0" applyFont="1" applyFill="1" applyBorder="1" applyAlignment="1">
      <alignment horizontal="center"/>
    </xf>
    <xf numFmtId="0" fontId="28" fillId="15" borderId="17" xfId="0" applyFont="1" applyFill="1" applyBorder="1" applyAlignment="1">
      <alignment horizontal="center"/>
    </xf>
    <xf numFmtId="0" fontId="28" fillId="15" borderId="18" xfId="0" applyFont="1" applyFill="1" applyBorder="1" applyAlignment="1">
      <alignment horizontal="center"/>
    </xf>
    <xf numFmtId="0" fontId="29" fillId="16" borderId="31" xfId="0" applyFont="1" applyFill="1" applyBorder="1" applyAlignment="1">
      <alignment horizontal="center"/>
    </xf>
    <xf numFmtId="0" fontId="29" fillId="16" borderId="3" xfId="0" applyFont="1" applyFill="1" applyBorder="1" applyAlignment="1">
      <alignment horizontal="center" vertical="center" textRotation="90"/>
    </xf>
    <xf numFmtId="0" fontId="29" fillId="30" borderId="31" xfId="0" applyFont="1" applyFill="1" applyBorder="1" applyAlignment="1">
      <alignment horizontal="center"/>
    </xf>
    <xf numFmtId="0" fontId="29" fillId="31" borderId="3" xfId="0" applyFont="1" applyFill="1" applyBorder="1" applyAlignment="1">
      <alignment horizontal="center" vertical="center" textRotation="90"/>
    </xf>
    <xf numFmtId="0" fontId="15" fillId="0" borderId="31" xfId="8" applyFont="1" applyBorder="1" applyAlignment="1">
      <alignment horizontal="left" wrapText="1"/>
    </xf>
    <xf numFmtId="0" fontId="68" fillId="0" borderId="0" xfId="0" applyFont="1" applyAlignment="1">
      <alignment horizontal="center" vertical="center"/>
    </xf>
    <xf numFmtId="0" fontId="73" fillId="38" borderId="0" xfId="0" applyFont="1" applyFill="1" applyAlignment="1">
      <alignment horizontal="center" vertical="center"/>
    </xf>
    <xf numFmtId="180" fontId="74" fillId="38" borderId="0" xfId="51" applyNumberFormat="1" applyFont="1" applyFill="1" applyBorder="1" applyAlignment="1">
      <alignment horizontal="center" vertical="center"/>
    </xf>
    <xf numFmtId="0" fontId="79" fillId="0" borderId="81" xfId="34" applyFont="1" applyBorder="1" applyAlignment="1">
      <alignment horizontal="left" vertical="top" wrapText="1"/>
    </xf>
    <xf numFmtId="0" fontId="79" fillId="0" borderId="82" xfId="34" applyFont="1" applyBorder="1" applyAlignment="1">
      <alignment horizontal="left" vertical="top" wrapText="1"/>
    </xf>
    <xf numFmtId="0" fontId="79" fillId="0" borderId="83" xfId="34" applyFont="1" applyBorder="1" applyAlignment="1">
      <alignment horizontal="left" vertical="top" wrapText="1"/>
    </xf>
    <xf numFmtId="0" fontId="79" fillId="0" borderId="84" xfId="34" applyFont="1" applyBorder="1" applyAlignment="1">
      <alignment horizontal="left" vertical="top" wrapText="1"/>
    </xf>
    <xf numFmtId="0" fontId="79" fillId="0" borderId="31" xfId="34" applyFont="1" applyBorder="1" applyAlignment="1">
      <alignment horizontal="left" vertical="top" wrapText="1"/>
    </xf>
    <xf numFmtId="0" fontId="79" fillId="0" borderId="85" xfId="34" applyFont="1" applyBorder="1" applyAlignment="1">
      <alignment horizontal="left" vertical="top" wrapText="1"/>
    </xf>
    <xf numFmtId="0" fontId="28" fillId="15" borderId="41" xfId="36" applyFont="1" applyFill="1" applyBorder="1" applyAlignment="1">
      <alignment horizontal="center" vertical="center"/>
    </xf>
    <xf numFmtId="0" fontId="28" fillId="15" borderId="42" xfId="36" applyFont="1" applyFill="1" applyBorder="1" applyAlignment="1">
      <alignment horizontal="center" vertical="center"/>
    </xf>
    <xf numFmtId="0" fontId="28" fillId="15" borderId="43" xfId="36" applyFont="1" applyFill="1" applyBorder="1" applyAlignment="1">
      <alignment horizontal="center" vertical="center"/>
    </xf>
    <xf numFmtId="0" fontId="1" fillId="14" borderId="26" xfId="31" applyFont="1" applyFill="1" applyBorder="1" applyAlignment="1">
      <alignment horizontal="left" vertical="top" wrapText="1"/>
    </xf>
    <xf numFmtId="0" fontId="1" fillId="14" borderId="27" xfId="31" applyFont="1" applyFill="1" applyBorder="1" applyAlignment="1">
      <alignment horizontal="left" vertical="top" wrapText="1"/>
    </xf>
    <xf numFmtId="0" fontId="1" fillId="14" borderId="28" xfId="31" applyFont="1" applyFill="1" applyBorder="1" applyAlignment="1">
      <alignment horizontal="left" vertical="top" wrapText="1"/>
    </xf>
    <xf numFmtId="0" fontId="1" fillId="14" borderId="14" xfId="31" applyFont="1" applyFill="1" applyBorder="1" applyAlignment="1">
      <alignment horizontal="left" vertical="top" wrapText="1"/>
    </xf>
    <xf numFmtId="0" fontId="1" fillId="14" borderId="13" xfId="31" applyFont="1" applyFill="1" applyBorder="1" applyAlignment="1">
      <alignment horizontal="left" vertical="top" wrapText="1"/>
    </xf>
    <xf numFmtId="0" fontId="1" fillId="14" borderId="15" xfId="31" applyFont="1" applyFill="1" applyBorder="1" applyAlignment="1">
      <alignment horizontal="left" vertical="top" wrapText="1"/>
    </xf>
    <xf numFmtId="0" fontId="1" fillId="14" borderId="24" xfId="31" applyFont="1" applyFill="1" applyBorder="1" applyAlignment="1">
      <alignment horizontal="left" vertical="top" wrapText="1"/>
    </xf>
    <xf numFmtId="0" fontId="1" fillId="14" borderId="0" xfId="31" applyFont="1" applyFill="1" applyAlignment="1">
      <alignment horizontal="left" vertical="top" wrapText="1"/>
    </xf>
    <xf numFmtId="0" fontId="1" fillId="14" borderId="25" xfId="31" applyFont="1" applyFill="1" applyBorder="1" applyAlignment="1">
      <alignment horizontal="left" vertical="top" wrapText="1"/>
    </xf>
    <xf numFmtId="0" fontId="3" fillId="14" borderId="16" xfId="31" applyFont="1" applyFill="1" applyBorder="1" applyAlignment="1">
      <alignment horizontal="center"/>
    </xf>
    <xf numFmtId="0" fontId="3" fillId="14" borderId="18" xfId="31" applyFont="1" applyFill="1" applyBorder="1" applyAlignment="1">
      <alignment horizontal="center"/>
    </xf>
    <xf numFmtId="0" fontId="98" fillId="45" borderId="0" xfId="0" applyFont="1" applyFill="1" applyAlignment="1">
      <alignment horizontal="center"/>
    </xf>
    <xf numFmtId="0" fontId="51" fillId="0" borderId="58" xfId="45" applyFont="1" applyBorder="1"/>
    <xf numFmtId="0" fontId="51" fillId="0" borderId="62" xfId="45" applyFont="1" applyBorder="1"/>
    <xf numFmtId="0" fontId="51" fillId="0" borderId="63" xfId="45" applyFont="1" applyBorder="1"/>
    <xf numFmtId="0" fontId="51" fillId="0" borderId="67" xfId="45" applyFont="1" applyBorder="1"/>
    <xf numFmtId="0" fontId="50" fillId="0" borderId="52" xfId="45" applyFont="1" applyBorder="1" applyAlignment="1">
      <alignment horizontal="center" vertical="center"/>
    </xf>
    <xf numFmtId="0" fontId="50" fillId="0" borderId="52" xfId="45" applyFont="1" applyBorder="1" applyAlignment="1">
      <alignment horizontal="center" vertical="center" wrapText="1"/>
    </xf>
    <xf numFmtId="0" fontId="50" fillId="24" borderId="56" xfId="45" applyFont="1" applyFill="1" applyBorder="1"/>
    <xf numFmtId="0" fontId="50" fillId="24" borderId="57" xfId="45" applyFont="1" applyFill="1" applyBorder="1"/>
    <xf numFmtId="0" fontId="3" fillId="19" borderId="26" xfId="32" applyFont="1" applyFill="1" applyBorder="1" applyAlignment="1">
      <alignment horizontal="left" vertical="top" wrapText="1"/>
    </xf>
    <xf numFmtId="0" fontId="3" fillId="19" borderId="27" xfId="32" applyFont="1" applyFill="1" applyBorder="1" applyAlignment="1">
      <alignment horizontal="left" vertical="top" wrapText="1"/>
    </xf>
    <xf numFmtId="0" fontId="3" fillId="19" borderId="28" xfId="32" applyFont="1" applyFill="1" applyBorder="1" applyAlignment="1">
      <alignment horizontal="left" vertical="top" wrapText="1"/>
    </xf>
    <xf numFmtId="0" fontId="3" fillId="19" borderId="24" xfId="32" applyFont="1" applyFill="1" applyBorder="1" applyAlignment="1">
      <alignment horizontal="left" vertical="top" wrapText="1"/>
    </xf>
    <xf numFmtId="0" fontId="3" fillId="19" borderId="0" xfId="32" applyFont="1" applyFill="1" applyAlignment="1">
      <alignment horizontal="left" vertical="top" wrapText="1"/>
    </xf>
    <xf numFmtId="0" fontId="3" fillId="19" borderId="25" xfId="32" applyFont="1" applyFill="1" applyBorder="1" applyAlignment="1">
      <alignment horizontal="left" vertical="top" wrapText="1"/>
    </xf>
    <xf numFmtId="0" fontId="3" fillId="19" borderId="14" xfId="32" applyFont="1" applyFill="1" applyBorder="1" applyAlignment="1">
      <alignment horizontal="left" vertical="top" wrapText="1"/>
    </xf>
    <xf numFmtId="0" fontId="3" fillId="19" borderId="13" xfId="32" applyFont="1" applyFill="1" applyBorder="1" applyAlignment="1">
      <alignment horizontal="left" vertical="top" wrapText="1"/>
    </xf>
    <xf numFmtId="0" fontId="3" fillId="19" borderId="15" xfId="32" applyFont="1" applyFill="1" applyBorder="1" applyAlignment="1">
      <alignment horizontal="left" vertical="top" wrapText="1"/>
    </xf>
    <xf numFmtId="0" fontId="34" fillId="30" borderId="0" xfId="38" applyFont="1" applyFill="1" applyAlignment="1">
      <alignment horizontal="center"/>
    </xf>
    <xf numFmtId="17" fontId="44" fillId="27" borderId="24" xfId="0" applyNumberFormat="1" applyFont="1" applyFill="1" applyBorder="1" applyAlignment="1">
      <alignment horizontal="left" vertical="top" wrapText="1"/>
    </xf>
    <xf numFmtId="17" fontId="44" fillId="27" borderId="0" xfId="0" applyNumberFormat="1" applyFont="1" applyFill="1" applyAlignment="1">
      <alignment horizontal="left" vertical="top" wrapText="1"/>
    </xf>
    <xf numFmtId="0" fontId="31" fillId="6" borderId="98" xfId="40" applyFont="1" applyFill="1" applyBorder="1" applyAlignment="1">
      <alignment horizontal="left" wrapText="1"/>
    </xf>
    <xf numFmtId="0" fontId="31" fillId="6" borderId="0" xfId="40" applyFont="1" applyFill="1" applyAlignment="1">
      <alignment horizontal="left" wrapText="1"/>
    </xf>
    <xf numFmtId="0" fontId="101" fillId="0" borderId="0" xfId="0" applyFont="1"/>
    <xf numFmtId="0" fontId="101" fillId="0" borderId="110" xfId="0" applyFont="1" applyBorder="1"/>
    <xf numFmtId="0" fontId="55" fillId="6" borderId="112" xfId="0" applyFont="1" applyFill="1" applyBorder="1" applyAlignment="1">
      <alignment horizontal="left"/>
    </xf>
    <xf numFmtId="0" fontId="55" fillId="6" borderId="113" xfId="0" applyFont="1" applyFill="1" applyBorder="1" applyAlignment="1">
      <alignment horizontal="left"/>
    </xf>
    <xf numFmtId="9" fontId="14" fillId="0" borderId="12" xfId="0" applyNumberFormat="1" applyFont="1" applyBorder="1" applyAlignment="1">
      <alignment horizontal="center"/>
    </xf>
    <xf numFmtId="0" fontId="28" fillId="45" borderId="0" xfId="4" applyFont="1" applyFill="1" applyAlignment="1">
      <alignment horizontal="center"/>
    </xf>
    <xf numFmtId="0" fontId="3" fillId="46" borderId="0" xfId="4" applyFont="1" applyFill="1" applyAlignment="1">
      <alignment horizontal="center"/>
    </xf>
  </cellXfs>
  <cellStyles count="61">
    <cellStyle name="20% - Accent1 2" xfId="55" xr:uid="{8574C9F3-AC6E-41CE-897C-3BEED1219E95}"/>
    <cellStyle name="Comma" xfId="1" builtinId="3"/>
    <cellStyle name="Comma [0] 2" xfId="47" xr:uid="{00000000-0005-0000-0000-000001000000}"/>
    <cellStyle name="Comma 2" xfId="2" xr:uid="{00000000-0005-0000-0000-000002000000}"/>
    <cellStyle name="Comma 3" xfId="35" xr:uid="{00000000-0005-0000-0000-000003000000}"/>
    <cellStyle name="Comma 4" xfId="60" xr:uid="{8E83CDD1-942C-498B-9F7B-439F0CE9CF09}"/>
    <cellStyle name="Comma_Excel Model Building Workshop - Solutions - Test" xfId="15" xr:uid="{00000000-0005-0000-0000-000004000000}"/>
    <cellStyle name="Comma0" xfId="16" xr:uid="{00000000-0005-0000-0000-000005000000}"/>
    <cellStyle name="Comma0 2" xfId="17" xr:uid="{00000000-0005-0000-0000-000006000000}"/>
    <cellStyle name="Currency" xfId="44" builtinId="4"/>
    <cellStyle name="Currency 2" xfId="37" xr:uid="{00000000-0005-0000-0000-000008000000}"/>
    <cellStyle name="Currency 3" xfId="46" xr:uid="{00000000-0005-0000-0000-000009000000}"/>
    <cellStyle name="Currency 4" xfId="58" xr:uid="{11F0D5B0-D77D-41F2-9077-BC36B6624884}"/>
    <cellStyle name="Currency0" xfId="18" xr:uid="{00000000-0005-0000-0000-00000A000000}"/>
    <cellStyle name="Currency0 2" xfId="19" xr:uid="{00000000-0005-0000-0000-00000B000000}"/>
    <cellStyle name="Date" xfId="20" xr:uid="{00000000-0005-0000-0000-00000C000000}"/>
    <cellStyle name="Date 2" xfId="21" xr:uid="{00000000-0005-0000-0000-00000D000000}"/>
    <cellStyle name="Fixed" xfId="22" xr:uid="{00000000-0005-0000-0000-00000E000000}"/>
    <cellStyle name="Fixed 2" xfId="23" xr:uid="{00000000-0005-0000-0000-00000F000000}"/>
    <cellStyle name="Hyperlink" xfId="42" builtinId="8"/>
    <cellStyle name="Hyperlink 2" xfId="24" xr:uid="{00000000-0005-0000-0000-000011000000}"/>
    <cellStyle name="Hyperlink 3" xfId="25" xr:uid="{00000000-0005-0000-0000-000012000000}"/>
    <cellStyle name="Hyperlink_Excel Model Building Workshop - Solutions - Test" xfId="12" xr:uid="{00000000-0005-0000-0000-000013000000}"/>
    <cellStyle name="Hyperlink_Excel Training_Level 2_30042007" xfId="26" xr:uid="{00000000-0005-0000-0000-000014000000}"/>
    <cellStyle name="junk" xfId="3" xr:uid="{00000000-0005-0000-0000-000015000000}"/>
    <cellStyle name="Normal" xfId="0" builtinId="0"/>
    <cellStyle name="Normal 10" xfId="57" xr:uid="{F8E17F87-0EE1-456E-8EDE-2C1159A725B7}"/>
    <cellStyle name="Normal 2" xfId="4" xr:uid="{00000000-0005-0000-0000-000017000000}"/>
    <cellStyle name="Normal 2 2" xfId="27" xr:uid="{00000000-0005-0000-0000-000018000000}"/>
    <cellStyle name="Normal 2 3" xfId="36" xr:uid="{00000000-0005-0000-0000-000019000000}"/>
    <cellStyle name="Normal 27" xfId="51" xr:uid="{643B1C26-4B86-4649-A593-1651E4661106}"/>
    <cellStyle name="Normal 28" xfId="53" xr:uid="{D212C105-754A-458D-AE50-58B8109EA62A}"/>
    <cellStyle name="Normal 3" xfId="5" xr:uid="{00000000-0005-0000-0000-00001A000000}"/>
    <cellStyle name="Normal 3 2" xfId="6" xr:uid="{00000000-0005-0000-0000-00001B000000}"/>
    <cellStyle name="Normal 3 2 2" xfId="56" xr:uid="{6C769279-AA2B-4F62-A14F-1CCDBD3A8403}"/>
    <cellStyle name="Normal 3 3" xfId="34" xr:uid="{00000000-0005-0000-0000-00001C000000}"/>
    <cellStyle name="Normal 3 4" xfId="48" xr:uid="{00000000-0005-0000-0000-00001D000000}"/>
    <cellStyle name="Normal 4" xfId="7" xr:uid="{00000000-0005-0000-0000-00001E000000}"/>
    <cellStyle name="Normal 4 2" xfId="54" xr:uid="{88417AE8-3EEF-4189-9FF2-A83303533991}"/>
    <cellStyle name="Normal 5" xfId="28" xr:uid="{00000000-0005-0000-0000-00001F000000}"/>
    <cellStyle name="Normal 5 2" xfId="59" xr:uid="{8A40DB4A-4FBA-431C-B8E1-2F5D16FE533D}"/>
    <cellStyle name="Normal 6" xfId="29" xr:uid="{00000000-0005-0000-0000-000020000000}"/>
    <cellStyle name="Normal 7" xfId="30" xr:uid="{00000000-0005-0000-0000-000021000000}"/>
    <cellStyle name="Normal 8" xfId="38" xr:uid="{00000000-0005-0000-0000-000022000000}"/>
    <cellStyle name="Normal 9" xfId="45" xr:uid="{00000000-0005-0000-0000-000023000000}"/>
    <cellStyle name="Normal 9 2" xfId="50" xr:uid="{00000000-0005-0000-0000-000024000000}"/>
    <cellStyle name="Normal_8-FIXASSET-TOTAS-WF" xfId="31" xr:uid="{00000000-0005-0000-0000-000025000000}"/>
    <cellStyle name="Normal_Assignment" xfId="8" xr:uid="{00000000-0005-0000-0000-000026000000}"/>
    <cellStyle name="Normal_Employees" xfId="40" xr:uid="{00000000-0005-0000-0000-000027000000}"/>
    <cellStyle name="Normal_Excel Model Building Workshop - Solutions - Test" xfId="13" xr:uid="{00000000-0005-0000-0000-000028000000}"/>
    <cellStyle name="Normal_Excel Training_Level 2_30042007" xfId="32" xr:uid="{00000000-0005-0000-0000-000029000000}"/>
    <cellStyle name="Normal_UICI Claims_NC Only" xfId="41" xr:uid="{00000000-0005-0000-0000-00002A000000}"/>
    <cellStyle name="Percent" xfId="43" builtinId="5"/>
    <cellStyle name="Percent 2" xfId="33" xr:uid="{00000000-0005-0000-0000-00002C000000}"/>
    <cellStyle name="Percent 3" xfId="39" xr:uid="{00000000-0005-0000-0000-00002D000000}"/>
    <cellStyle name="Percent 4" xfId="49" xr:uid="{00000000-0005-0000-0000-00002E000000}"/>
    <cellStyle name="Percent_Excel Model Building Workshop - Solutions - Test" xfId="14" xr:uid="{00000000-0005-0000-0000-00002F000000}"/>
    <cellStyle name="PSChar" xfId="9" xr:uid="{00000000-0005-0000-0000-000030000000}"/>
    <cellStyle name="Style 1" xfId="10" xr:uid="{00000000-0005-0000-0000-000031000000}"/>
    <cellStyle name="Title 14" xfId="52" xr:uid="{72D6E1D7-EAF1-4D90-88C5-2B6E0A2D183C}"/>
    <cellStyle name="YELLOW" xfId="11" xr:uid="{00000000-0005-0000-0000-000032000000}"/>
  </cellStyles>
  <dxfs count="3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9" defaultPivotStyle="PivotStyleLight16">
    <tableStyle name="CustomTableStyle" pivot="0" count="2" xr9:uid="{00000000-0011-0000-FFFF-FFFF00000000}">
      <tableStyleElement type="headerRow" dxfId="32"/>
      <tableStyleElement type="firstRowStripe" dxfId="31"/>
    </tableStyle>
  </tableStyles>
  <colors>
    <mruColors>
      <color rgb="FFFFFF99"/>
      <color rgb="FFFFCCFF"/>
      <color rgb="FF66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externalLink" Target="externalLinks/externalLink3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'Understanding Charting Rules'!$B$6:$B$10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'Understanding Charting Rules'!$C$6:$C$10</c:f>
              <c:numCache>
                <c:formatCode>_(* #,##0_);_(* \(#,##0\);_(* "-"??_);_(@_)</c:formatCode>
                <c:ptCount val="5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7-4B9C-88E9-B73590575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66199792"/>
        <c:axId val="-1466209040"/>
      </c:barChart>
      <c:catAx>
        <c:axId val="-146619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6209040"/>
        <c:crosses val="autoZero"/>
        <c:auto val="1"/>
        <c:lblAlgn val="ctr"/>
        <c:lblOffset val="100"/>
        <c:noMultiLvlLbl val="0"/>
      </c:catAx>
      <c:valAx>
        <c:axId val="-1466209040"/>
        <c:scaling>
          <c:orientation val="minMax"/>
          <c:min val="80000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619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145472602165515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'Understanding Charting Rules'!$C$27</c:f>
              <c:strCache>
                <c:ptCount val="1"/>
                <c:pt idx="0">
                  <c:v>Efficiency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'Understanding Charting Rules'!$B$28:$B$33</c:f>
              <c:strCache>
                <c:ptCount val="6"/>
                <c:pt idx="0">
                  <c:v>CXO</c:v>
                </c:pt>
                <c:pt idx="1">
                  <c:v>Finance</c:v>
                </c:pt>
                <c:pt idx="2">
                  <c:v>OPS</c:v>
                </c:pt>
                <c:pt idx="3">
                  <c:v>Marketing</c:v>
                </c:pt>
                <c:pt idx="4">
                  <c:v>Sales</c:v>
                </c:pt>
                <c:pt idx="5">
                  <c:v>HR</c:v>
                </c:pt>
              </c:strCache>
            </c:strRef>
          </c:cat>
          <c:val>
            <c:numRef>
              <c:f>'Understanding Charting Rules'!$C$28:$C$33</c:f>
              <c:numCache>
                <c:formatCode>0%</c:formatCode>
                <c:ptCount val="6"/>
                <c:pt idx="0">
                  <c:v>0.5</c:v>
                </c:pt>
                <c:pt idx="1">
                  <c:v>0.68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8-41D0-82A7-EA18C1BA6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66210672"/>
        <c:axId val="-1466205232"/>
      </c:barChart>
      <c:catAx>
        <c:axId val="-146621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6205232"/>
        <c:crosses val="autoZero"/>
        <c:auto val="1"/>
        <c:lblAlgn val="ctr"/>
        <c:lblOffset val="100"/>
        <c:noMultiLvlLbl val="0"/>
      </c:catAx>
      <c:valAx>
        <c:axId val="-146620523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621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'Understanding Charting Rules'!$C$48</c:f>
              <c:strCache>
                <c:ptCount val="1"/>
                <c:pt idx="0">
                  <c:v>Efficiency Percentage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C9-4AE0-90AA-CCECE87D331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C9-4AE0-90AA-CCECE87D331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C9-4AE0-90AA-CCECE87D331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C9-4AE0-90AA-CCECE87D331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0C9-4AE0-90AA-CCECE87D331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0C9-4AE0-90AA-CCECE87D33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'Understanding Charting Rules'!$B$49:$B$54</c:f>
              <c:strCache>
                <c:ptCount val="6"/>
                <c:pt idx="0">
                  <c:v>HR</c:v>
                </c:pt>
                <c:pt idx="1">
                  <c:v>Sales</c:v>
                </c:pt>
                <c:pt idx="2">
                  <c:v>Marketing</c:v>
                </c:pt>
                <c:pt idx="3">
                  <c:v>OPS</c:v>
                </c:pt>
                <c:pt idx="4">
                  <c:v>Finance</c:v>
                </c:pt>
                <c:pt idx="5">
                  <c:v>CXO</c:v>
                </c:pt>
              </c:strCache>
            </c:strRef>
          </c:cat>
          <c:val>
            <c:numRef>
              <c:f>'Understanding Charting Rules'!$C$49:$C$54</c:f>
              <c:numCache>
                <c:formatCode>0%</c:formatCode>
                <c:ptCount val="6"/>
                <c:pt idx="0">
                  <c:v>0.92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0.65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C9-4AE0-90AA-CCECE87D3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40275232"/>
        <c:axId val="-1640274144"/>
      </c:barChart>
      <c:catAx>
        <c:axId val="-164027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0274144"/>
        <c:crosses val="autoZero"/>
        <c:auto val="1"/>
        <c:lblAlgn val="ctr"/>
        <c:lblOffset val="100"/>
        <c:noMultiLvlLbl val="0"/>
      </c:catAx>
      <c:valAx>
        <c:axId val="-164027414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-164027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'Understanding Charting Rules'!$C$5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'Understanding Charting Rules'!$B$6:$B$10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'Understanding Charting Rules'!$C$6:$C$10</c:f>
              <c:numCache>
                <c:formatCode>_(* #,##0_);_(* \(#,##0\);_(* "-"??_);_(@_)</c:formatCode>
                <c:ptCount val="5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1F-403E-9DBB-9DC3F86E0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24007856"/>
        <c:axId val="-1424008400"/>
      </c:barChart>
      <c:catAx>
        <c:axId val="-142400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4008400"/>
        <c:crosses val="autoZero"/>
        <c:auto val="1"/>
        <c:lblAlgn val="ctr"/>
        <c:lblOffset val="100"/>
        <c:noMultiLvlLbl val="0"/>
      </c:catAx>
      <c:valAx>
        <c:axId val="-14240084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40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Problem1!$C$5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Problem1!$B$5:$B$169</c:f>
              <c:strCache>
                <c:ptCount val="163"/>
                <c:pt idx="0">
                  <c:v>Date</c:v>
                </c:pt>
                <c:pt idx="1">
                  <c:v>3-Jul-13</c:v>
                </c:pt>
                <c:pt idx="2">
                  <c:v>4-Jul-13</c:v>
                </c:pt>
                <c:pt idx="3">
                  <c:v>5-Jul-13</c:v>
                </c:pt>
                <c:pt idx="4">
                  <c:v>6-Jul-13</c:v>
                </c:pt>
                <c:pt idx="5">
                  <c:v>7-Jul-13</c:v>
                </c:pt>
                <c:pt idx="6">
                  <c:v>8-Jul-13</c:v>
                </c:pt>
                <c:pt idx="7">
                  <c:v>9-Jul-13</c:v>
                </c:pt>
                <c:pt idx="8">
                  <c:v>10-Jul-13</c:v>
                </c:pt>
                <c:pt idx="9">
                  <c:v>11-Jul-13</c:v>
                </c:pt>
                <c:pt idx="10">
                  <c:v>12-Jul-13</c:v>
                </c:pt>
                <c:pt idx="11">
                  <c:v>13-Jul-13</c:v>
                </c:pt>
                <c:pt idx="12">
                  <c:v>14-Jul-13</c:v>
                </c:pt>
                <c:pt idx="13">
                  <c:v>15-Jul-13</c:v>
                </c:pt>
                <c:pt idx="14">
                  <c:v>16-Jul-13</c:v>
                </c:pt>
                <c:pt idx="15">
                  <c:v>17-Jul-13</c:v>
                </c:pt>
                <c:pt idx="16">
                  <c:v>18-Jul-13</c:v>
                </c:pt>
                <c:pt idx="17">
                  <c:v>19-Jul-13</c:v>
                </c:pt>
                <c:pt idx="18">
                  <c:v>20-Jul-13</c:v>
                </c:pt>
                <c:pt idx="19">
                  <c:v>21-Jul-13</c:v>
                </c:pt>
                <c:pt idx="20">
                  <c:v>22-Jul-13</c:v>
                </c:pt>
                <c:pt idx="21">
                  <c:v>23-Jul-13</c:v>
                </c:pt>
                <c:pt idx="22">
                  <c:v>24-Jul-13</c:v>
                </c:pt>
                <c:pt idx="23">
                  <c:v>25-Jul-13</c:v>
                </c:pt>
                <c:pt idx="24">
                  <c:v>26-Jul-13</c:v>
                </c:pt>
                <c:pt idx="25">
                  <c:v>27-Jul-13</c:v>
                </c:pt>
                <c:pt idx="26">
                  <c:v>28-Jul-13</c:v>
                </c:pt>
                <c:pt idx="27">
                  <c:v>29-Jul-13</c:v>
                </c:pt>
                <c:pt idx="28">
                  <c:v>30-Jul-13</c:v>
                </c:pt>
                <c:pt idx="29">
                  <c:v>31-Jul-13</c:v>
                </c:pt>
                <c:pt idx="30">
                  <c:v>1-Aug-13</c:v>
                </c:pt>
                <c:pt idx="31">
                  <c:v>2-Aug-13</c:v>
                </c:pt>
                <c:pt idx="32">
                  <c:v>3-Aug-13</c:v>
                </c:pt>
                <c:pt idx="33">
                  <c:v>4-Aug-13</c:v>
                </c:pt>
                <c:pt idx="34">
                  <c:v>5-Aug-13</c:v>
                </c:pt>
                <c:pt idx="35">
                  <c:v>6-Aug-13</c:v>
                </c:pt>
                <c:pt idx="36">
                  <c:v>7-Aug-13</c:v>
                </c:pt>
                <c:pt idx="37">
                  <c:v>8-Aug-13</c:v>
                </c:pt>
                <c:pt idx="38">
                  <c:v>9-Aug-13</c:v>
                </c:pt>
                <c:pt idx="39">
                  <c:v>10-Aug-13</c:v>
                </c:pt>
                <c:pt idx="40">
                  <c:v>11-Aug-13</c:v>
                </c:pt>
                <c:pt idx="41">
                  <c:v>12-Aug-13</c:v>
                </c:pt>
                <c:pt idx="42">
                  <c:v>13-Aug-13</c:v>
                </c:pt>
                <c:pt idx="43">
                  <c:v>14-Aug-13</c:v>
                </c:pt>
                <c:pt idx="44">
                  <c:v>15-Aug-13</c:v>
                </c:pt>
                <c:pt idx="45">
                  <c:v>16-Aug-13</c:v>
                </c:pt>
                <c:pt idx="46">
                  <c:v>17-Aug-13</c:v>
                </c:pt>
                <c:pt idx="47">
                  <c:v>18-Aug-13</c:v>
                </c:pt>
                <c:pt idx="48">
                  <c:v>19-Aug-13</c:v>
                </c:pt>
                <c:pt idx="49">
                  <c:v>20-Aug-13</c:v>
                </c:pt>
                <c:pt idx="50">
                  <c:v>21-Aug-13</c:v>
                </c:pt>
                <c:pt idx="51">
                  <c:v>22-Aug-13</c:v>
                </c:pt>
                <c:pt idx="52">
                  <c:v>23-Aug-13</c:v>
                </c:pt>
                <c:pt idx="53">
                  <c:v>24-Aug-13</c:v>
                </c:pt>
                <c:pt idx="54">
                  <c:v>25-Aug-13</c:v>
                </c:pt>
                <c:pt idx="55">
                  <c:v>26-Aug-13</c:v>
                </c:pt>
                <c:pt idx="56">
                  <c:v>27-Aug-13</c:v>
                </c:pt>
                <c:pt idx="57">
                  <c:v>28-Aug-13</c:v>
                </c:pt>
                <c:pt idx="58">
                  <c:v>29-Aug-13</c:v>
                </c:pt>
                <c:pt idx="59">
                  <c:v>30-Aug-13</c:v>
                </c:pt>
                <c:pt idx="60">
                  <c:v>31-Aug-13</c:v>
                </c:pt>
                <c:pt idx="61">
                  <c:v>1-Sep-13</c:v>
                </c:pt>
                <c:pt idx="62">
                  <c:v>2-Sep-13</c:v>
                </c:pt>
                <c:pt idx="63">
                  <c:v>3-Sep-13</c:v>
                </c:pt>
                <c:pt idx="64">
                  <c:v>4-Sep-13</c:v>
                </c:pt>
                <c:pt idx="65">
                  <c:v>5-Sep-13</c:v>
                </c:pt>
                <c:pt idx="66">
                  <c:v>6-Sep-13</c:v>
                </c:pt>
                <c:pt idx="67">
                  <c:v>7-Sep-13</c:v>
                </c:pt>
                <c:pt idx="68">
                  <c:v>8-Sep-13</c:v>
                </c:pt>
                <c:pt idx="69">
                  <c:v>9-Sep-13</c:v>
                </c:pt>
                <c:pt idx="70">
                  <c:v>10-Sep-13</c:v>
                </c:pt>
                <c:pt idx="71">
                  <c:v>11-Sep-13</c:v>
                </c:pt>
                <c:pt idx="72">
                  <c:v>12-Sep-13</c:v>
                </c:pt>
                <c:pt idx="73">
                  <c:v>13-Sep-13</c:v>
                </c:pt>
                <c:pt idx="74">
                  <c:v>14-Sep-13</c:v>
                </c:pt>
                <c:pt idx="75">
                  <c:v>15-Sep-13</c:v>
                </c:pt>
                <c:pt idx="76">
                  <c:v>16-Sep-13</c:v>
                </c:pt>
                <c:pt idx="77">
                  <c:v>17-Sep-13</c:v>
                </c:pt>
                <c:pt idx="78">
                  <c:v>18-Sep-13</c:v>
                </c:pt>
                <c:pt idx="79">
                  <c:v>19-Sep-13</c:v>
                </c:pt>
                <c:pt idx="80">
                  <c:v>20-Sep-13</c:v>
                </c:pt>
                <c:pt idx="81">
                  <c:v>21-Sep-13</c:v>
                </c:pt>
                <c:pt idx="82">
                  <c:v>22-Sep-13</c:v>
                </c:pt>
                <c:pt idx="83">
                  <c:v>23-Sep-13</c:v>
                </c:pt>
                <c:pt idx="84">
                  <c:v>24-Sep-13</c:v>
                </c:pt>
                <c:pt idx="85">
                  <c:v>25-Sep-13</c:v>
                </c:pt>
                <c:pt idx="86">
                  <c:v>26-Sep-13</c:v>
                </c:pt>
                <c:pt idx="87">
                  <c:v>27-Sep-13</c:v>
                </c:pt>
                <c:pt idx="88">
                  <c:v>28-Sep-13</c:v>
                </c:pt>
                <c:pt idx="89">
                  <c:v>29-Sep-13</c:v>
                </c:pt>
                <c:pt idx="90">
                  <c:v>30-Sep-13</c:v>
                </c:pt>
                <c:pt idx="91">
                  <c:v>1-Oct-13</c:v>
                </c:pt>
                <c:pt idx="92">
                  <c:v>2-Oct-13</c:v>
                </c:pt>
                <c:pt idx="93">
                  <c:v>3-Oct-13</c:v>
                </c:pt>
                <c:pt idx="94">
                  <c:v>4-Oct-13</c:v>
                </c:pt>
                <c:pt idx="95">
                  <c:v>5-Oct-13</c:v>
                </c:pt>
                <c:pt idx="96">
                  <c:v>6-Oct-13</c:v>
                </c:pt>
                <c:pt idx="97">
                  <c:v>7-Oct-13</c:v>
                </c:pt>
                <c:pt idx="98">
                  <c:v>8-Oct-13</c:v>
                </c:pt>
                <c:pt idx="99">
                  <c:v>9-Oct-13</c:v>
                </c:pt>
                <c:pt idx="100">
                  <c:v>10-Oct-13</c:v>
                </c:pt>
                <c:pt idx="101">
                  <c:v>11-Oct-13</c:v>
                </c:pt>
                <c:pt idx="102">
                  <c:v>12-Oct-13</c:v>
                </c:pt>
                <c:pt idx="103">
                  <c:v>13-Oct-13</c:v>
                </c:pt>
                <c:pt idx="104">
                  <c:v>14-Oct-13</c:v>
                </c:pt>
                <c:pt idx="105">
                  <c:v>15-Oct-13</c:v>
                </c:pt>
                <c:pt idx="106">
                  <c:v>16-Oct-13</c:v>
                </c:pt>
                <c:pt idx="107">
                  <c:v>17-Oct-13</c:v>
                </c:pt>
                <c:pt idx="108">
                  <c:v>18-Oct-13</c:v>
                </c:pt>
                <c:pt idx="109">
                  <c:v>19-Oct-13</c:v>
                </c:pt>
                <c:pt idx="110">
                  <c:v>20-Oct-13</c:v>
                </c:pt>
                <c:pt idx="111">
                  <c:v>21-Oct-13</c:v>
                </c:pt>
                <c:pt idx="112">
                  <c:v>22-Oct-13</c:v>
                </c:pt>
                <c:pt idx="113">
                  <c:v>23-Oct-13</c:v>
                </c:pt>
                <c:pt idx="114">
                  <c:v>24-Oct-13</c:v>
                </c:pt>
                <c:pt idx="115">
                  <c:v>25-Oct-13</c:v>
                </c:pt>
                <c:pt idx="116">
                  <c:v>26-Oct-13</c:v>
                </c:pt>
                <c:pt idx="117">
                  <c:v>27-Oct-13</c:v>
                </c:pt>
                <c:pt idx="118">
                  <c:v>28-Oct-13</c:v>
                </c:pt>
                <c:pt idx="119">
                  <c:v>29-Oct-13</c:v>
                </c:pt>
                <c:pt idx="120">
                  <c:v>30-Oct-13</c:v>
                </c:pt>
                <c:pt idx="121">
                  <c:v>31-Oct-13</c:v>
                </c:pt>
                <c:pt idx="122">
                  <c:v>1-Nov-13</c:v>
                </c:pt>
                <c:pt idx="123">
                  <c:v>2-Nov-13</c:v>
                </c:pt>
                <c:pt idx="124">
                  <c:v>3-Nov-13</c:v>
                </c:pt>
                <c:pt idx="125">
                  <c:v>4-Nov-13</c:v>
                </c:pt>
                <c:pt idx="126">
                  <c:v>5-Nov-13</c:v>
                </c:pt>
                <c:pt idx="127">
                  <c:v>6-Nov-13</c:v>
                </c:pt>
                <c:pt idx="128">
                  <c:v>7-Nov-13</c:v>
                </c:pt>
                <c:pt idx="129">
                  <c:v>8-Nov-13</c:v>
                </c:pt>
                <c:pt idx="130">
                  <c:v>9-Nov-13</c:v>
                </c:pt>
                <c:pt idx="131">
                  <c:v>10-Nov-13</c:v>
                </c:pt>
                <c:pt idx="132">
                  <c:v>11-Nov-13</c:v>
                </c:pt>
                <c:pt idx="133">
                  <c:v>12-Nov-13</c:v>
                </c:pt>
                <c:pt idx="134">
                  <c:v>13-Nov-13</c:v>
                </c:pt>
                <c:pt idx="135">
                  <c:v>14-Nov-13</c:v>
                </c:pt>
                <c:pt idx="136">
                  <c:v>15-Nov-13</c:v>
                </c:pt>
                <c:pt idx="137">
                  <c:v>16-Nov-13</c:v>
                </c:pt>
                <c:pt idx="138">
                  <c:v>17-Nov-13</c:v>
                </c:pt>
                <c:pt idx="139">
                  <c:v>18-Nov-13</c:v>
                </c:pt>
                <c:pt idx="140">
                  <c:v>19-Nov-13</c:v>
                </c:pt>
                <c:pt idx="141">
                  <c:v>20-Nov-13</c:v>
                </c:pt>
                <c:pt idx="142">
                  <c:v>21-Nov-13</c:v>
                </c:pt>
                <c:pt idx="143">
                  <c:v>22-Nov-13</c:v>
                </c:pt>
                <c:pt idx="144">
                  <c:v>23-Nov-13</c:v>
                </c:pt>
                <c:pt idx="145">
                  <c:v>24-Nov-13</c:v>
                </c:pt>
                <c:pt idx="146">
                  <c:v>25-Nov-13</c:v>
                </c:pt>
                <c:pt idx="147">
                  <c:v>26-Nov-13</c:v>
                </c:pt>
                <c:pt idx="148">
                  <c:v>27-Nov-13</c:v>
                </c:pt>
                <c:pt idx="149">
                  <c:v>28-Nov-13</c:v>
                </c:pt>
                <c:pt idx="150">
                  <c:v>29-Nov-13</c:v>
                </c:pt>
                <c:pt idx="151">
                  <c:v>30-Nov-13</c:v>
                </c:pt>
                <c:pt idx="152">
                  <c:v>1-Dec-13</c:v>
                </c:pt>
                <c:pt idx="153">
                  <c:v>2-Dec-13</c:v>
                </c:pt>
                <c:pt idx="154">
                  <c:v>3-Dec-13</c:v>
                </c:pt>
                <c:pt idx="155">
                  <c:v>4-Dec-13</c:v>
                </c:pt>
                <c:pt idx="156">
                  <c:v>5-Dec-13</c:v>
                </c:pt>
                <c:pt idx="157">
                  <c:v>6-Dec-13</c:v>
                </c:pt>
                <c:pt idx="158">
                  <c:v>7-Dec-13</c:v>
                </c:pt>
                <c:pt idx="159">
                  <c:v>8-Dec-13</c:v>
                </c:pt>
                <c:pt idx="160">
                  <c:v>9-Dec-13</c:v>
                </c:pt>
                <c:pt idx="161">
                  <c:v>10-Dec-13</c:v>
                </c:pt>
                <c:pt idx="162">
                  <c:v>11-Dec-13</c:v>
                </c:pt>
              </c:strCache>
            </c:strRef>
          </c:cat>
          <c:val>
            <c:numRef>
              <c:f>Problem1!$C$6:$C$169</c:f>
              <c:numCache>
                <c:formatCode>_("$"* #,##0_);_("$"* \(#,##0\);_("$"* "-"??_);_(@_)</c:formatCode>
                <c:ptCount val="162"/>
                <c:pt idx="0">
                  <c:v>479</c:v>
                </c:pt>
                <c:pt idx="1">
                  <c:v>473</c:v>
                </c:pt>
                <c:pt idx="2">
                  <c:v>528</c:v>
                </c:pt>
                <c:pt idx="3">
                  <c:v>520</c:v>
                </c:pt>
                <c:pt idx="4">
                  <c:v>500</c:v>
                </c:pt>
                <c:pt idx="5">
                  <c:v>534</c:v>
                </c:pt>
                <c:pt idx="6">
                  <c:v>488</c:v>
                </c:pt>
                <c:pt idx="7">
                  <c:v>489</c:v>
                </c:pt>
                <c:pt idx="8">
                  <c:v>490</c:v>
                </c:pt>
                <c:pt idx="9">
                  <c:v>511</c:v>
                </c:pt>
                <c:pt idx="10">
                  <c:v>521</c:v>
                </c:pt>
                <c:pt idx="11">
                  <c:v>513</c:v>
                </c:pt>
                <c:pt idx="12">
                  <c:v>508</c:v>
                </c:pt>
                <c:pt idx="13">
                  <c:v>527</c:v>
                </c:pt>
                <c:pt idx="14">
                  <c:v>565</c:v>
                </c:pt>
                <c:pt idx="15">
                  <c:v>492</c:v>
                </c:pt>
                <c:pt idx="16">
                  <c:v>508</c:v>
                </c:pt>
                <c:pt idx="17">
                  <c:v>490</c:v>
                </c:pt>
                <c:pt idx="18">
                  <c:v>464</c:v>
                </c:pt>
                <c:pt idx="19">
                  <c:v>549</c:v>
                </c:pt>
                <c:pt idx="20">
                  <c:v>489</c:v>
                </c:pt>
                <c:pt idx="21">
                  <c:v>514</c:v>
                </c:pt>
                <c:pt idx="22">
                  <c:v>504</c:v>
                </c:pt>
                <c:pt idx="23">
                  <c:v>515</c:v>
                </c:pt>
                <c:pt idx="24">
                  <c:v>545</c:v>
                </c:pt>
                <c:pt idx="25">
                  <c:v>496</c:v>
                </c:pt>
                <c:pt idx="26">
                  <c:v>492</c:v>
                </c:pt>
                <c:pt idx="27">
                  <c:v>535</c:v>
                </c:pt>
                <c:pt idx="28">
                  <c:v>514</c:v>
                </c:pt>
                <c:pt idx="29">
                  <c:v>527</c:v>
                </c:pt>
                <c:pt idx="30">
                  <c:v>481</c:v>
                </c:pt>
                <c:pt idx="31">
                  <c:v>499</c:v>
                </c:pt>
                <c:pt idx="32">
                  <c:v>487</c:v>
                </c:pt>
                <c:pt idx="33">
                  <c:v>528</c:v>
                </c:pt>
                <c:pt idx="34">
                  <c:v>479</c:v>
                </c:pt>
                <c:pt idx="35">
                  <c:v>486</c:v>
                </c:pt>
                <c:pt idx="36">
                  <c:v>476</c:v>
                </c:pt>
                <c:pt idx="37">
                  <c:v>519</c:v>
                </c:pt>
                <c:pt idx="38">
                  <c:v>526</c:v>
                </c:pt>
                <c:pt idx="39">
                  <c:v>487</c:v>
                </c:pt>
                <c:pt idx="40">
                  <c:v>510</c:v>
                </c:pt>
                <c:pt idx="41">
                  <c:v>485</c:v>
                </c:pt>
                <c:pt idx="42">
                  <c:v>436</c:v>
                </c:pt>
                <c:pt idx="43">
                  <c:v>485</c:v>
                </c:pt>
                <c:pt idx="44">
                  <c:v>521</c:v>
                </c:pt>
                <c:pt idx="45">
                  <c:v>488</c:v>
                </c:pt>
                <c:pt idx="46">
                  <c:v>482</c:v>
                </c:pt>
                <c:pt idx="47">
                  <c:v>478</c:v>
                </c:pt>
                <c:pt idx="48">
                  <c:v>528</c:v>
                </c:pt>
                <c:pt idx="49">
                  <c:v>477</c:v>
                </c:pt>
                <c:pt idx="50">
                  <c:v>501</c:v>
                </c:pt>
                <c:pt idx="51">
                  <c:v>511</c:v>
                </c:pt>
                <c:pt idx="52">
                  <c:v>495</c:v>
                </c:pt>
                <c:pt idx="53">
                  <c:v>476</c:v>
                </c:pt>
                <c:pt idx="54">
                  <c:v>519</c:v>
                </c:pt>
                <c:pt idx="55">
                  <c:v>475</c:v>
                </c:pt>
                <c:pt idx="56">
                  <c:v>475</c:v>
                </c:pt>
                <c:pt idx="57">
                  <c:v>499</c:v>
                </c:pt>
                <c:pt idx="58">
                  <c:v>512</c:v>
                </c:pt>
                <c:pt idx="59">
                  <c:v>440</c:v>
                </c:pt>
                <c:pt idx="60">
                  <c:v>531</c:v>
                </c:pt>
                <c:pt idx="61">
                  <c:v>493</c:v>
                </c:pt>
                <c:pt idx="62">
                  <c:v>508</c:v>
                </c:pt>
                <c:pt idx="63">
                  <c:v>474</c:v>
                </c:pt>
                <c:pt idx="64">
                  <c:v>523</c:v>
                </c:pt>
                <c:pt idx="65">
                  <c:v>528</c:v>
                </c:pt>
                <c:pt idx="66">
                  <c:v>549</c:v>
                </c:pt>
                <c:pt idx="67">
                  <c:v>510</c:v>
                </c:pt>
                <c:pt idx="68">
                  <c:v>545</c:v>
                </c:pt>
                <c:pt idx="69">
                  <c:v>544</c:v>
                </c:pt>
                <c:pt idx="70">
                  <c:v>512</c:v>
                </c:pt>
                <c:pt idx="71">
                  <c:v>488</c:v>
                </c:pt>
                <c:pt idx="72">
                  <c:v>537</c:v>
                </c:pt>
                <c:pt idx="73">
                  <c:v>527</c:v>
                </c:pt>
                <c:pt idx="74">
                  <c:v>487</c:v>
                </c:pt>
                <c:pt idx="75">
                  <c:v>462</c:v>
                </c:pt>
                <c:pt idx="76">
                  <c:v>471</c:v>
                </c:pt>
                <c:pt idx="77">
                  <c:v>490</c:v>
                </c:pt>
                <c:pt idx="78">
                  <c:v>518</c:v>
                </c:pt>
                <c:pt idx="79">
                  <c:v>478</c:v>
                </c:pt>
                <c:pt idx="80">
                  <c:v>457</c:v>
                </c:pt>
                <c:pt idx="81">
                  <c:v>502</c:v>
                </c:pt>
                <c:pt idx="82">
                  <c:v>532</c:v>
                </c:pt>
                <c:pt idx="83">
                  <c:v>512</c:v>
                </c:pt>
                <c:pt idx="84">
                  <c:v>523</c:v>
                </c:pt>
                <c:pt idx="85">
                  <c:v>537</c:v>
                </c:pt>
                <c:pt idx="86">
                  <c:v>503</c:v>
                </c:pt>
                <c:pt idx="87">
                  <c:v>487</c:v>
                </c:pt>
                <c:pt idx="88">
                  <c:v>530</c:v>
                </c:pt>
                <c:pt idx="89">
                  <c:v>523</c:v>
                </c:pt>
                <c:pt idx="90">
                  <c:v>483</c:v>
                </c:pt>
                <c:pt idx="91">
                  <c:v>499</c:v>
                </c:pt>
                <c:pt idx="92">
                  <c:v>463</c:v>
                </c:pt>
                <c:pt idx="93">
                  <c:v>522</c:v>
                </c:pt>
                <c:pt idx="94">
                  <c:v>457</c:v>
                </c:pt>
                <c:pt idx="95">
                  <c:v>505</c:v>
                </c:pt>
                <c:pt idx="96">
                  <c:v>484</c:v>
                </c:pt>
                <c:pt idx="97">
                  <c:v>520</c:v>
                </c:pt>
                <c:pt idx="98">
                  <c:v>503</c:v>
                </c:pt>
                <c:pt idx="99">
                  <c:v>484</c:v>
                </c:pt>
                <c:pt idx="100">
                  <c:v>522</c:v>
                </c:pt>
                <c:pt idx="101">
                  <c:v>536</c:v>
                </c:pt>
                <c:pt idx="102">
                  <c:v>471</c:v>
                </c:pt>
                <c:pt idx="103">
                  <c:v>477</c:v>
                </c:pt>
                <c:pt idx="104">
                  <c:v>478</c:v>
                </c:pt>
                <c:pt idx="105">
                  <c:v>492</c:v>
                </c:pt>
                <c:pt idx="106">
                  <c:v>473</c:v>
                </c:pt>
                <c:pt idx="107">
                  <c:v>518</c:v>
                </c:pt>
                <c:pt idx="108">
                  <c:v>485</c:v>
                </c:pt>
                <c:pt idx="109">
                  <c:v>502</c:v>
                </c:pt>
                <c:pt idx="110">
                  <c:v>448</c:v>
                </c:pt>
                <c:pt idx="111">
                  <c:v>504</c:v>
                </c:pt>
                <c:pt idx="112">
                  <c:v>492</c:v>
                </c:pt>
                <c:pt idx="113">
                  <c:v>503</c:v>
                </c:pt>
                <c:pt idx="114">
                  <c:v>490</c:v>
                </c:pt>
                <c:pt idx="115">
                  <c:v>489</c:v>
                </c:pt>
                <c:pt idx="116">
                  <c:v>485</c:v>
                </c:pt>
                <c:pt idx="117">
                  <c:v>503</c:v>
                </c:pt>
                <c:pt idx="118">
                  <c:v>513</c:v>
                </c:pt>
                <c:pt idx="119">
                  <c:v>502</c:v>
                </c:pt>
                <c:pt idx="120">
                  <c:v>512</c:v>
                </c:pt>
                <c:pt idx="121">
                  <c:v>534</c:v>
                </c:pt>
                <c:pt idx="122">
                  <c:v>480</c:v>
                </c:pt>
                <c:pt idx="123">
                  <c:v>441</c:v>
                </c:pt>
                <c:pt idx="124">
                  <c:v>511</c:v>
                </c:pt>
                <c:pt idx="125">
                  <c:v>494</c:v>
                </c:pt>
                <c:pt idx="126">
                  <c:v>494</c:v>
                </c:pt>
                <c:pt idx="127">
                  <c:v>520</c:v>
                </c:pt>
                <c:pt idx="128">
                  <c:v>587</c:v>
                </c:pt>
                <c:pt idx="129">
                  <c:v>503</c:v>
                </c:pt>
                <c:pt idx="130">
                  <c:v>505</c:v>
                </c:pt>
                <c:pt idx="131">
                  <c:v>540</c:v>
                </c:pt>
                <c:pt idx="132">
                  <c:v>458</c:v>
                </c:pt>
                <c:pt idx="133">
                  <c:v>548</c:v>
                </c:pt>
                <c:pt idx="134">
                  <c:v>535</c:v>
                </c:pt>
                <c:pt idx="135">
                  <c:v>477</c:v>
                </c:pt>
                <c:pt idx="136">
                  <c:v>551</c:v>
                </c:pt>
                <c:pt idx="137">
                  <c:v>516</c:v>
                </c:pt>
                <c:pt idx="138">
                  <c:v>503</c:v>
                </c:pt>
                <c:pt idx="139">
                  <c:v>467</c:v>
                </c:pt>
                <c:pt idx="140">
                  <c:v>491</c:v>
                </c:pt>
                <c:pt idx="141">
                  <c:v>478</c:v>
                </c:pt>
                <c:pt idx="142">
                  <c:v>481</c:v>
                </c:pt>
                <c:pt idx="143">
                  <c:v>505</c:v>
                </c:pt>
                <c:pt idx="144">
                  <c:v>485</c:v>
                </c:pt>
                <c:pt idx="145">
                  <c:v>483</c:v>
                </c:pt>
                <c:pt idx="146">
                  <c:v>529</c:v>
                </c:pt>
                <c:pt idx="147">
                  <c:v>506</c:v>
                </c:pt>
                <c:pt idx="148">
                  <c:v>478</c:v>
                </c:pt>
                <c:pt idx="149">
                  <c:v>503</c:v>
                </c:pt>
                <c:pt idx="150">
                  <c:v>521</c:v>
                </c:pt>
                <c:pt idx="151">
                  <c:v>481</c:v>
                </c:pt>
                <c:pt idx="152">
                  <c:v>508</c:v>
                </c:pt>
                <c:pt idx="153">
                  <c:v>551</c:v>
                </c:pt>
                <c:pt idx="154">
                  <c:v>473</c:v>
                </c:pt>
                <c:pt idx="155">
                  <c:v>493</c:v>
                </c:pt>
                <c:pt idx="156">
                  <c:v>489</c:v>
                </c:pt>
                <c:pt idx="157">
                  <c:v>497</c:v>
                </c:pt>
                <c:pt idx="158">
                  <c:v>507</c:v>
                </c:pt>
                <c:pt idx="159">
                  <c:v>481</c:v>
                </c:pt>
                <c:pt idx="160">
                  <c:v>542</c:v>
                </c:pt>
                <c:pt idx="161">
                  <c:v>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4-48FB-B0A8-976BB8A1C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50927"/>
        <c:axId val="314964367"/>
      </c:lineChart>
      <c:catAx>
        <c:axId val="314950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64367"/>
        <c:crosses val="autoZero"/>
        <c:auto val="1"/>
        <c:lblAlgn val="ctr"/>
        <c:lblOffset val="100"/>
        <c:noMultiLvlLbl val="1"/>
      </c:catAx>
      <c:valAx>
        <c:axId val="31496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5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838706512459275E-2"/>
          <c:y val="0.19719381462412153"/>
          <c:w val="0.87901504859400603"/>
          <c:h val="0.57297095380921925"/>
        </c:manualLayout>
      </c:layout>
      <c:lineChart>
        <c:grouping val="standard"/>
        <c:varyColors val="0"/>
        <c:ser>
          <c:idx val="0"/>
          <c:order val="0"/>
          <c:tx>
            <c:strRef>
              <c:f>Problem1!$C$5</c:f>
              <c:strCache>
                <c:ptCount val="1"/>
                <c:pt idx="0">
                  <c:v>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Problem1!$B$6:$B$169</c:f>
              <c:numCache>
                <c:formatCode>d\-mmm\-yy</c:formatCode>
                <c:ptCount val="162"/>
                <c:pt idx="0">
                  <c:v>41458</c:v>
                </c:pt>
                <c:pt idx="1">
                  <c:v>41459</c:v>
                </c:pt>
                <c:pt idx="2">
                  <c:v>41460</c:v>
                </c:pt>
                <c:pt idx="3">
                  <c:v>41461</c:v>
                </c:pt>
                <c:pt idx="4">
                  <c:v>41462</c:v>
                </c:pt>
                <c:pt idx="5">
                  <c:v>41463</c:v>
                </c:pt>
                <c:pt idx="6">
                  <c:v>41464</c:v>
                </c:pt>
                <c:pt idx="7">
                  <c:v>41465</c:v>
                </c:pt>
                <c:pt idx="8">
                  <c:v>41466</c:v>
                </c:pt>
                <c:pt idx="9">
                  <c:v>41467</c:v>
                </c:pt>
                <c:pt idx="10">
                  <c:v>41468</c:v>
                </c:pt>
                <c:pt idx="11">
                  <c:v>41469</c:v>
                </c:pt>
                <c:pt idx="12">
                  <c:v>41470</c:v>
                </c:pt>
                <c:pt idx="13">
                  <c:v>41471</c:v>
                </c:pt>
                <c:pt idx="14">
                  <c:v>41472</c:v>
                </c:pt>
                <c:pt idx="15">
                  <c:v>41473</c:v>
                </c:pt>
                <c:pt idx="16">
                  <c:v>41474</c:v>
                </c:pt>
                <c:pt idx="17">
                  <c:v>41475</c:v>
                </c:pt>
                <c:pt idx="18">
                  <c:v>41476</c:v>
                </c:pt>
                <c:pt idx="19">
                  <c:v>41477</c:v>
                </c:pt>
                <c:pt idx="20">
                  <c:v>41478</c:v>
                </c:pt>
                <c:pt idx="21">
                  <c:v>41479</c:v>
                </c:pt>
                <c:pt idx="22">
                  <c:v>41480</c:v>
                </c:pt>
                <c:pt idx="23">
                  <c:v>41481</c:v>
                </c:pt>
                <c:pt idx="24">
                  <c:v>41482</c:v>
                </c:pt>
                <c:pt idx="25">
                  <c:v>41483</c:v>
                </c:pt>
                <c:pt idx="26">
                  <c:v>41484</c:v>
                </c:pt>
                <c:pt idx="27">
                  <c:v>41485</c:v>
                </c:pt>
                <c:pt idx="28">
                  <c:v>41486</c:v>
                </c:pt>
                <c:pt idx="29">
                  <c:v>41487</c:v>
                </c:pt>
                <c:pt idx="30">
                  <c:v>41488</c:v>
                </c:pt>
                <c:pt idx="31">
                  <c:v>41489</c:v>
                </c:pt>
                <c:pt idx="32">
                  <c:v>41490</c:v>
                </c:pt>
                <c:pt idx="33">
                  <c:v>41491</c:v>
                </c:pt>
                <c:pt idx="34">
                  <c:v>41492</c:v>
                </c:pt>
                <c:pt idx="35">
                  <c:v>41493</c:v>
                </c:pt>
                <c:pt idx="36">
                  <c:v>41494</c:v>
                </c:pt>
                <c:pt idx="37">
                  <c:v>41495</c:v>
                </c:pt>
                <c:pt idx="38">
                  <c:v>41496</c:v>
                </c:pt>
                <c:pt idx="39">
                  <c:v>41497</c:v>
                </c:pt>
                <c:pt idx="40">
                  <c:v>41498</c:v>
                </c:pt>
                <c:pt idx="41">
                  <c:v>41499</c:v>
                </c:pt>
                <c:pt idx="42">
                  <c:v>41500</c:v>
                </c:pt>
                <c:pt idx="43">
                  <c:v>41501</c:v>
                </c:pt>
                <c:pt idx="44">
                  <c:v>41502</c:v>
                </c:pt>
                <c:pt idx="45">
                  <c:v>41503</c:v>
                </c:pt>
                <c:pt idx="46">
                  <c:v>41504</c:v>
                </c:pt>
                <c:pt idx="47">
                  <c:v>41505</c:v>
                </c:pt>
                <c:pt idx="48">
                  <c:v>41506</c:v>
                </c:pt>
                <c:pt idx="49">
                  <c:v>41507</c:v>
                </c:pt>
                <c:pt idx="50">
                  <c:v>41508</c:v>
                </c:pt>
                <c:pt idx="51">
                  <c:v>41509</c:v>
                </c:pt>
                <c:pt idx="52">
                  <c:v>41510</c:v>
                </c:pt>
                <c:pt idx="53">
                  <c:v>41511</c:v>
                </c:pt>
                <c:pt idx="54">
                  <c:v>41512</c:v>
                </c:pt>
                <c:pt idx="55">
                  <c:v>41513</c:v>
                </c:pt>
                <c:pt idx="56">
                  <c:v>41514</c:v>
                </c:pt>
                <c:pt idx="57">
                  <c:v>41515</c:v>
                </c:pt>
                <c:pt idx="58">
                  <c:v>41516</c:v>
                </c:pt>
                <c:pt idx="59">
                  <c:v>41517</c:v>
                </c:pt>
                <c:pt idx="60">
                  <c:v>41518</c:v>
                </c:pt>
                <c:pt idx="61">
                  <c:v>41519</c:v>
                </c:pt>
                <c:pt idx="62">
                  <c:v>41520</c:v>
                </c:pt>
                <c:pt idx="63">
                  <c:v>41521</c:v>
                </c:pt>
                <c:pt idx="64">
                  <c:v>41522</c:v>
                </c:pt>
                <c:pt idx="65">
                  <c:v>41523</c:v>
                </c:pt>
                <c:pt idx="66">
                  <c:v>41524</c:v>
                </c:pt>
                <c:pt idx="67">
                  <c:v>41525</c:v>
                </c:pt>
                <c:pt idx="68">
                  <c:v>41526</c:v>
                </c:pt>
                <c:pt idx="69">
                  <c:v>41527</c:v>
                </c:pt>
                <c:pt idx="70">
                  <c:v>41528</c:v>
                </c:pt>
                <c:pt idx="71">
                  <c:v>41529</c:v>
                </c:pt>
                <c:pt idx="72">
                  <c:v>41530</c:v>
                </c:pt>
                <c:pt idx="73">
                  <c:v>41531</c:v>
                </c:pt>
                <c:pt idx="74">
                  <c:v>41532</c:v>
                </c:pt>
                <c:pt idx="75">
                  <c:v>41533</c:v>
                </c:pt>
                <c:pt idx="76">
                  <c:v>41534</c:v>
                </c:pt>
                <c:pt idx="77">
                  <c:v>41535</c:v>
                </c:pt>
                <c:pt idx="78">
                  <c:v>41536</c:v>
                </c:pt>
                <c:pt idx="79">
                  <c:v>41537</c:v>
                </c:pt>
                <c:pt idx="80">
                  <c:v>41538</c:v>
                </c:pt>
                <c:pt idx="81">
                  <c:v>41539</c:v>
                </c:pt>
                <c:pt idx="82">
                  <c:v>41540</c:v>
                </c:pt>
                <c:pt idx="83">
                  <c:v>41541</c:v>
                </c:pt>
                <c:pt idx="84">
                  <c:v>41542</c:v>
                </c:pt>
                <c:pt idx="85">
                  <c:v>41543</c:v>
                </c:pt>
                <c:pt idx="86">
                  <c:v>41544</c:v>
                </c:pt>
                <c:pt idx="87">
                  <c:v>41545</c:v>
                </c:pt>
                <c:pt idx="88">
                  <c:v>41546</c:v>
                </c:pt>
                <c:pt idx="89">
                  <c:v>41547</c:v>
                </c:pt>
                <c:pt idx="90">
                  <c:v>41548</c:v>
                </c:pt>
                <c:pt idx="91">
                  <c:v>41549</c:v>
                </c:pt>
                <c:pt idx="92">
                  <c:v>41550</c:v>
                </c:pt>
                <c:pt idx="93">
                  <c:v>41551</c:v>
                </c:pt>
                <c:pt idx="94">
                  <c:v>41552</c:v>
                </c:pt>
                <c:pt idx="95">
                  <c:v>41553</c:v>
                </c:pt>
                <c:pt idx="96">
                  <c:v>41554</c:v>
                </c:pt>
                <c:pt idx="97">
                  <c:v>41555</c:v>
                </c:pt>
                <c:pt idx="98">
                  <c:v>41556</c:v>
                </c:pt>
                <c:pt idx="99">
                  <c:v>41557</c:v>
                </c:pt>
                <c:pt idx="100">
                  <c:v>41558</c:v>
                </c:pt>
                <c:pt idx="101">
                  <c:v>41559</c:v>
                </c:pt>
                <c:pt idx="102">
                  <c:v>41560</c:v>
                </c:pt>
                <c:pt idx="103">
                  <c:v>41561</c:v>
                </c:pt>
                <c:pt idx="104">
                  <c:v>41562</c:v>
                </c:pt>
                <c:pt idx="105">
                  <c:v>41563</c:v>
                </c:pt>
                <c:pt idx="106">
                  <c:v>41564</c:v>
                </c:pt>
                <c:pt idx="107">
                  <c:v>41565</c:v>
                </c:pt>
                <c:pt idx="108">
                  <c:v>41566</c:v>
                </c:pt>
                <c:pt idx="109">
                  <c:v>41567</c:v>
                </c:pt>
                <c:pt idx="110">
                  <c:v>41568</c:v>
                </c:pt>
                <c:pt idx="111">
                  <c:v>41569</c:v>
                </c:pt>
                <c:pt idx="112">
                  <c:v>41570</c:v>
                </c:pt>
                <c:pt idx="113">
                  <c:v>41571</c:v>
                </c:pt>
                <c:pt idx="114">
                  <c:v>41572</c:v>
                </c:pt>
                <c:pt idx="115">
                  <c:v>41573</c:v>
                </c:pt>
                <c:pt idx="116">
                  <c:v>41574</c:v>
                </c:pt>
                <c:pt idx="117">
                  <c:v>41575</c:v>
                </c:pt>
                <c:pt idx="118">
                  <c:v>41576</c:v>
                </c:pt>
                <c:pt idx="119">
                  <c:v>41577</c:v>
                </c:pt>
                <c:pt idx="120">
                  <c:v>41578</c:v>
                </c:pt>
                <c:pt idx="121">
                  <c:v>41579</c:v>
                </c:pt>
                <c:pt idx="122">
                  <c:v>41580</c:v>
                </c:pt>
                <c:pt idx="123">
                  <c:v>41581</c:v>
                </c:pt>
                <c:pt idx="124">
                  <c:v>41582</c:v>
                </c:pt>
                <c:pt idx="125">
                  <c:v>41583</c:v>
                </c:pt>
                <c:pt idx="126">
                  <c:v>41584</c:v>
                </c:pt>
                <c:pt idx="127">
                  <c:v>41585</c:v>
                </c:pt>
                <c:pt idx="128">
                  <c:v>41586</c:v>
                </c:pt>
                <c:pt idx="129">
                  <c:v>41587</c:v>
                </c:pt>
                <c:pt idx="130">
                  <c:v>41588</c:v>
                </c:pt>
                <c:pt idx="131">
                  <c:v>41589</c:v>
                </c:pt>
                <c:pt idx="132">
                  <c:v>41590</c:v>
                </c:pt>
                <c:pt idx="133">
                  <c:v>41591</c:v>
                </c:pt>
                <c:pt idx="134">
                  <c:v>41592</c:v>
                </c:pt>
                <c:pt idx="135">
                  <c:v>41593</c:v>
                </c:pt>
                <c:pt idx="136">
                  <c:v>41594</c:v>
                </c:pt>
                <c:pt idx="137">
                  <c:v>41595</c:v>
                </c:pt>
                <c:pt idx="138">
                  <c:v>41596</c:v>
                </c:pt>
                <c:pt idx="139">
                  <c:v>41597</c:v>
                </c:pt>
                <c:pt idx="140">
                  <c:v>41598</c:v>
                </c:pt>
                <c:pt idx="141">
                  <c:v>41599</c:v>
                </c:pt>
                <c:pt idx="142">
                  <c:v>41600</c:v>
                </c:pt>
                <c:pt idx="143">
                  <c:v>41601</c:v>
                </c:pt>
                <c:pt idx="144">
                  <c:v>41602</c:v>
                </c:pt>
                <c:pt idx="145">
                  <c:v>41603</c:v>
                </c:pt>
                <c:pt idx="146">
                  <c:v>41604</c:v>
                </c:pt>
                <c:pt idx="147">
                  <c:v>41605</c:v>
                </c:pt>
                <c:pt idx="148">
                  <c:v>41606</c:v>
                </c:pt>
                <c:pt idx="149">
                  <c:v>41607</c:v>
                </c:pt>
                <c:pt idx="150">
                  <c:v>41608</c:v>
                </c:pt>
                <c:pt idx="151">
                  <c:v>41609</c:v>
                </c:pt>
                <c:pt idx="152">
                  <c:v>41610</c:v>
                </c:pt>
                <c:pt idx="153">
                  <c:v>41611</c:v>
                </c:pt>
                <c:pt idx="154">
                  <c:v>41612</c:v>
                </c:pt>
                <c:pt idx="155">
                  <c:v>41613</c:v>
                </c:pt>
                <c:pt idx="156">
                  <c:v>41614</c:v>
                </c:pt>
                <c:pt idx="157">
                  <c:v>41615</c:v>
                </c:pt>
                <c:pt idx="158">
                  <c:v>41616</c:v>
                </c:pt>
                <c:pt idx="159">
                  <c:v>41617</c:v>
                </c:pt>
                <c:pt idx="160">
                  <c:v>41618</c:v>
                </c:pt>
                <c:pt idx="161">
                  <c:v>41619</c:v>
                </c:pt>
              </c:numCache>
            </c:numRef>
          </c:cat>
          <c:val>
            <c:numRef>
              <c:f>Problem1!$C$6:$C$169</c:f>
              <c:numCache>
                <c:formatCode>_("$"* #,##0_);_("$"* \(#,##0\);_("$"* "-"??_);_(@_)</c:formatCode>
                <c:ptCount val="162"/>
                <c:pt idx="0">
                  <c:v>479</c:v>
                </c:pt>
                <c:pt idx="1">
                  <c:v>473</c:v>
                </c:pt>
                <c:pt idx="2">
                  <c:v>528</c:v>
                </c:pt>
                <c:pt idx="3">
                  <c:v>520</c:v>
                </c:pt>
                <c:pt idx="4">
                  <c:v>500</c:v>
                </c:pt>
                <c:pt idx="5">
                  <c:v>534</c:v>
                </c:pt>
                <c:pt idx="6">
                  <c:v>488</c:v>
                </c:pt>
                <c:pt idx="7">
                  <c:v>489</c:v>
                </c:pt>
                <c:pt idx="8">
                  <c:v>490</c:v>
                </c:pt>
                <c:pt idx="9">
                  <c:v>511</c:v>
                </c:pt>
                <c:pt idx="10">
                  <c:v>521</c:v>
                </c:pt>
                <c:pt idx="11">
                  <c:v>513</c:v>
                </c:pt>
                <c:pt idx="12">
                  <c:v>508</c:v>
                </c:pt>
                <c:pt idx="13">
                  <c:v>527</c:v>
                </c:pt>
                <c:pt idx="14">
                  <c:v>565</c:v>
                </c:pt>
                <c:pt idx="15">
                  <c:v>492</c:v>
                </c:pt>
                <c:pt idx="16">
                  <c:v>508</c:v>
                </c:pt>
                <c:pt idx="17">
                  <c:v>490</c:v>
                </c:pt>
                <c:pt idx="18">
                  <c:v>464</c:v>
                </c:pt>
                <c:pt idx="19">
                  <c:v>549</c:v>
                </c:pt>
                <c:pt idx="20">
                  <c:v>489</c:v>
                </c:pt>
                <c:pt idx="21">
                  <c:v>514</c:v>
                </c:pt>
                <c:pt idx="22">
                  <c:v>504</c:v>
                </c:pt>
                <c:pt idx="23">
                  <c:v>515</c:v>
                </c:pt>
                <c:pt idx="24">
                  <c:v>545</c:v>
                </c:pt>
                <c:pt idx="25">
                  <c:v>496</c:v>
                </c:pt>
                <c:pt idx="26">
                  <c:v>492</c:v>
                </c:pt>
                <c:pt idx="27">
                  <c:v>535</c:v>
                </c:pt>
                <c:pt idx="28">
                  <c:v>514</c:v>
                </c:pt>
                <c:pt idx="29">
                  <c:v>527</c:v>
                </c:pt>
                <c:pt idx="30">
                  <c:v>481</c:v>
                </c:pt>
                <c:pt idx="31">
                  <c:v>499</c:v>
                </c:pt>
                <c:pt idx="32">
                  <c:v>487</c:v>
                </c:pt>
                <c:pt idx="33">
                  <c:v>528</c:v>
                </c:pt>
                <c:pt idx="34">
                  <c:v>479</c:v>
                </c:pt>
                <c:pt idx="35">
                  <c:v>486</c:v>
                </c:pt>
                <c:pt idx="36">
                  <c:v>476</c:v>
                </c:pt>
                <c:pt idx="37">
                  <c:v>519</c:v>
                </c:pt>
                <c:pt idx="38">
                  <c:v>526</c:v>
                </c:pt>
                <c:pt idx="39">
                  <c:v>487</c:v>
                </c:pt>
                <c:pt idx="40">
                  <c:v>510</c:v>
                </c:pt>
                <c:pt idx="41">
                  <c:v>485</c:v>
                </c:pt>
                <c:pt idx="42">
                  <c:v>436</c:v>
                </c:pt>
                <c:pt idx="43">
                  <c:v>485</c:v>
                </c:pt>
                <c:pt idx="44">
                  <c:v>521</c:v>
                </c:pt>
                <c:pt idx="45">
                  <c:v>488</c:v>
                </c:pt>
                <c:pt idx="46">
                  <c:v>482</c:v>
                </c:pt>
                <c:pt idx="47">
                  <c:v>478</c:v>
                </c:pt>
                <c:pt idx="48">
                  <c:v>528</c:v>
                </c:pt>
                <c:pt idx="49">
                  <c:v>477</c:v>
                </c:pt>
                <c:pt idx="50">
                  <c:v>501</c:v>
                </c:pt>
                <c:pt idx="51">
                  <c:v>511</c:v>
                </c:pt>
                <c:pt idx="52">
                  <c:v>495</c:v>
                </c:pt>
                <c:pt idx="53">
                  <c:v>476</c:v>
                </c:pt>
                <c:pt idx="54">
                  <c:v>519</c:v>
                </c:pt>
                <c:pt idx="55">
                  <c:v>475</c:v>
                </c:pt>
                <c:pt idx="56">
                  <c:v>475</c:v>
                </c:pt>
                <c:pt idx="57">
                  <c:v>499</c:v>
                </c:pt>
                <c:pt idx="58">
                  <c:v>512</c:v>
                </c:pt>
                <c:pt idx="59">
                  <c:v>440</c:v>
                </c:pt>
                <c:pt idx="60">
                  <c:v>531</c:v>
                </c:pt>
                <c:pt idx="61">
                  <c:v>493</c:v>
                </c:pt>
                <c:pt idx="62">
                  <c:v>508</c:v>
                </c:pt>
                <c:pt idx="63">
                  <c:v>474</c:v>
                </c:pt>
                <c:pt idx="64">
                  <c:v>523</c:v>
                </c:pt>
                <c:pt idx="65">
                  <c:v>528</c:v>
                </c:pt>
                <c:pt idx="66">
                  <c:v>549</c:v>
                </c:pt>
                <c:pt idx="67">
                  <c:v>510</c:v>
                </c:pt>
                <c:pt idx="68">
                  <c:v>545</c:v>
                </c:pt>
                <c:pt idx="69">
                  <c:v>544</c:v>
                </c:pt>
                <c:pt idx="70">
                  <c:v>512</c:v>
                </c:pt>
                <c:pt idx="71">
                  <c:v>488</c:v>
                </c:pt>
                <c:pt idx="72">
                  <c:v>537</c:v>
                </c:pt>
                <c:pt idx="73">
                  <c:v>527</c:v>
                </c:pt>
                <c:pt idx="74">
                  <c:v>487</c:v>
                </c:pt>
                <c:pt idx="75">
                  <c:v>462</c:v>
                </c:pt>
                <c:pt idx="76">
                  <c:v>471</c:v>
                </c:pt>
                <c:pt idx="77">
                  <c:v>490</c:v>
                </c:pt>
                <c:pt idx="78">
                  <c:v>518</c:v>
                </c:pt>
                <c:pt idx="79">
                  <c:v>478</c:v>
                </c:pt>
                <c:pt idx="80">
                  <c:v>457</c:v>
                </c:pt>
                <c:pt idx="81">
                  <c:v>502</c:v>
                </c:pt>
                <c:pt idx="82">
                  <c:v>532</c:v>
                </c:pt>
                <c:pt idx="83">
                  <c:v>512</c:v>
                </c:pt>
                <c:pt idx="84">
                  <c:v>523</c:v>
                </c:pt>
                <c:pt idx="85">
                  <c:v>537</c:v>
                </c:pt>
                <c:pt idx="86">
                  <c:v>503</c:v>
                </c:pt>
                <c:pt idx="87">
                  <c:v>487</c:v>
                </c:pt>
                <c:pt idx="88">
                  <c:v>530</c:v>
                </c:pt>
                <c:pt idx="89">
                  <c:v>523</c:v>
                </c:pt>
                <c:pt idx="90">
                  <c:v>483</c:v>
                </c:pt>
                <c:pt idx="91">
                  <c:v>499</c:v>
                </c:pt>
                <c:pt idx="92">
                  <c:v>463</c:v>
                </c:pt>
                <c:pt idx="93">
                  <c:v>522</c:v>
                </c:pt>
                <c:pt idx="94">
                  <c:v>457</c:v>
                </c:pt>
                <c:pt idx="95">
                  <c:v>505</c:v>
                </c:pt>
                <c:pt idx="96">
                  <c:v>484</c:v>
                </c:pt>
                <c:pt idx="97">
                  <c:v>520</c:v>
                </c:pt>
                <c:pt idx="98">
                  <c:v>503</c:v>
                </c:pt>
                <c:pt idx="99">
                  <c:v>484</c:v>
                </c:pt>
                <c:pt idx="100">
                  <c:v>522</c:v>
                </c:pt>
                <c:pt idx="101">
                  <c:v>536</c:v>
                </c:pt>
                <c:pt idx="102">
                  <c:v>471</c:v>
                </c:pt>
                <c:pt idx="103">
                  <c:v>477</c:v>
                </c:pt>
                <c:pt idx="104">
                  <c:v>478</c:v>
                </c:pt>
                <c:pt idx="105">
                  <c:v>492</c:v>
                </c:pt>
                <c:pt idx="106">
                  <c:v>473</c:v>
                </c:pt>
                <c:pt idx="107">
                  <c:v>518</c:v>
                </c:pt>
                <c:pt idx="108">
                  <c:v>485</c:v>
                </c:pt>
                <c:pt idx="109">
                  <c:v>502</c:v>
                </c:pt>
                <c:pt idx="110">
                  <c:v>448</c:v>
                </c:pt>
                <c:pt idx="111">
                  <c:v>504</c:v>
                </c:pt>
                <c:pt idx="112">
                  <c:v>492</c:v>
                </c:pt>
                <c:pt idx="113">
                  <c:v>503</c:v>
                </c:pt>
                <c:pt idx="114">
                  <c:v>490</c:v>
                </c:pt>
                <c:pt idx="115">
                  <c:v>489</c:v>
                </c:pt>
                <c:pt idx="116">
                  <c:v>485</c:v>
                </c:pt>
                <c:pt idx="117">
                  <c:v>503</c:v>
                </c:pt>
                <c:pt idx="118">
                  <c:v>513</c:v>
                </c:pt>
                <c:pt idx="119">
                  <c:v>502</c:v>
                </c:pt>
                <c:pt idx="120">
                  <c:v>512</c:v>
                </c:pt>
                <c:pt idx="121">
                  <c:v>534</c:v>
                </c:pt>
                <c:pt idx="122">
                  <c:v>480</c:v>
                </c:pt>
                <c:pt idx="123">
                  <c:v>441</c:v>
                </c:pt>
                <c:pt idx="124">
                  <c:v>511</c:v>
                </c:pt>
                <c:pt idx="125">
                  <c:v>494</c:v>
                </c:pt>
                <c:pt idx="126">
                  <c:v>494</c:v>
                </c:pt>
                <c:pt idx="127">
                  <c:v>520</c:v>
                </c:pt>
                <c:pt idx="128">
                  <c:v>587</c:v>
                </c:pt>
                <c:pt idx="129">
                  <c:v>503</c:v>
                </c:pt>
                <c:pt idx="130">
                  <c:v>505</c:v>
                </c:pt>
                <c:pt idx="131">
                  <c:v>540</c:v>
                </c:pt>
                <c:pt idx="132">
                  <c:v>458</c:v>
                </c:pt>
                <c:pt idx="133">
                  <c:v>548</c:v>
                </c:pt>
                <c:pt idx="134">
                  <c:v>535</c:v>
                </c:pt>
                <c:pt idx="135">
                  <c:v>477</c:v>
                </c:pt>
                <c:pt idx="136">
                  <c:v>551</c:v>
                </c:pt>
                <c:pt idx="137">
                  <c:v>516</c:v>
                </c:pt>
                <c:pt idx="138">
                  <c:v>503</c:v>
                </c:pt>
                <c:pt idx="139">
                  <c:v>467</c:v>
                </c:pt>
                <c:pt idx="140">
                  <c:v>491</c:v>
                </c:pt>
                <c:pt idx="141">
                  <c:v>478</c:v>
                </c:pt>
                <c:pt idx="142">
                  <c:v>481</c:v>
                </c:pt>
                <c:pt idx="143">
                  <c:v>505</c:v>
                </c:pt>
                <c:pt idx="144">
                  <c:v>485</c:v>
                </c:pt>
                <c:pt idx="145">
                  <c:v>483</c:v>
                </c:pt>
                <c:pt idx="146">
                  <c:v>529</c:v>
                </c:pt>
                <c:pt idx="147">
                  <c:v>506</c:v>
                </c:pt>
                <c:pt idx="148">
                  <c:v>478</c:v>
                </c:pt>
                <c:pt idx="149">
                  <c:v>503</c:v>
                </c:pt>
                <c:pt idx="150">
                  <c:v>521</c:v>
                </c:pt>
                <c:pt idx="151">
                  <c:v>481</c:v>
                </c:pt>
                <c:pt idx="152">
                  <c:v>508</c:v>
                </c:pt>
                <c:pt idx="153">
                  <c:v>551</c:v>
                </c:pt>
                <c:pt idx="154">
                  <c:v>473</c:v>
                </c:pt>
                <c:pt idx="155">
                  <c:v>493</c:v>
                </c:pt>
                <c:pt idx="156">
                  <c:v>489</c:v>
                </c:pt>
                <c:pt idx="157">
                  <c:v>497</c:v>
                </c:pt>
                <c:pt idx="158">
                  <c:v>507</c:v>
                </c:pt>
                <c:pt idx="159">
                  <c:v>481</c:v>
                </c:pt>
                <c:pt idx="160">
                  <c:v>542</c:v>
                </c:pt>
                <c:pt idx="161">
                  <c:v>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7-4E8E-A7FC-6CFC8F11506B}"/>
            </c:ext>
          </c:extLst>
        </c:ser>
        <c:ser>
          <c:idx val="1"/>
          <c:order val="1"/>
          <c:tx>
            <c:strRef>
              <c:f>Problem1!$F$5</c:f>
              <c:strCache>
                <c:ptCount val="1"/>
                <c:pt idx="0">
                  <c:v>Values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Problem1!$B$6:$B$169</c:f>
              <c:numCache>
                <c:formatCode>d\-mmm\-yy</c:formatCode>
                <c:ptCount val="162"/>
                <c:pt idx="0">
                  <c:v>41458</c:v>
                </c:pt>
                <c:pt idx="1">
                  <c:v>41459</c:v>
                </c:pt>
                <c:pt idx="2">
                  <c:v>41460</c:v>
                </c:pt>
                <c:pt idx="3">
                  <c:v>41461</c:v>
                </c:pt>
                <c:pt idx="4">
                  <c:v>41462</c:v>
                </c:pt>
                <c:pt idx="5">
                  <c:v>41463</c:v>
                </c:pt>
                <c:pt idx="6">
                  <c:v>41464</c:v>
                </c:pt>
                <c:pt idx="7">
                  <c:v>41465</c:v>
                </c:pt>
                <c:pt idx="8">
                  <c:v>41466</c:v>
                </c:pt>
                <c:pt idx="9">
                  <c:v>41467</c:v>
                </c:pt>
                <c:pt idx="10">
                  <c:v>41468</c:v>
                </c:pt>
                <c:pt idx="11">
                  <c:v>41469</c:v>
                </c:pt>
                <c:pt idx="12">
                  <c:v>41470</c:v>
                </c:pt>
                <c:pt idx="13">
                  <c:v>41471</c:v>
                </c:pt>
                <c:pt idx="14">
                  <c:v>41472</c:v>
                </c:pt>
                <c:pt idx="15">
                  <c:v>41473</c:v>
                </c:pt>
                <c:pt idx="16">
                  <c:v>41474</c:v>
                </c:pt>
                <c:pt idx="17">
                  <c:v>41475</c:v>
                </c:pt>
                <c:pt idx="18">
                  <c:v>41476</c:v>
                </c:pt>
                <c:pt idx="19">
                  <c:v>41477</c:v>
                </c:pt>
                <c:pt idx="20">
                  <c:v>41478</c:v>
                </c:pt>
                <c:pt idx="21">
                  <c:v>41479</c:v>
                </c:pt>
                <c:pt idx="22">
                  <c:v>41480</c:v>
                </c:pt>
                <c:pt idx="23">
                  <c:v>41481</c:v>
                </c:pt>
                <c:pt idx="24">
                  <c:v>41482</c:v>
                </c:pt>
                <c:pt idx="25">
                  <c:v>41483</c:v>
                </c:pt>
                <c:pt idx="26">
                  <c:v>41484</c:v>
                </c:pt>
                <c:pt idx="27">
                  <c:v>41485</c:v>
                </c:pt>
                <c:pt idx="28">
                  <c:v>41486</c:v>
                </c:pt>
                <c:pt idx="29">
                  <c:v>41487</c:v>
                </c:pt>
                <c:pt idx="30">
                  <c:v>41488</c:v>
                </c:pt>
                <c:pt idx="31">
                  <c:v>41489</c:v>
                </c:pt>
                <c:pt idx="32">
                  <c:v>41490</c:v>
                </c:pt>
                <c:pt idx="33">
                  <c:v>41491</c:v>
                </c:pt>
                <c:pt idx="34">
                  <c:v>41492</c:v>
                </c:pt>
                <c:pt idx="35">
                  <c:v>41493</c:v>
                </c:pt>
                <c:pt idx="36">
                  <c:v>41494</c:v>
                </c:pt>
                <c:pt idx="37">
                  <c:v>41495</c:v>
                </c:pt>
                <c:pt idx="38">
                  <c:v>41496</c:v>
                </c:pt>
                <c:pt idx="39">
                  <c:v>41497</c:v>
                </c:pt>
                <c:pt idx="40">
                  <c:v>41498</c:v>
                </c:pt>
                <c:pt idx="41">
                  <c:v>41499</c:v>
                </c:pt>
                <c:pt idx="42">
                  <c:v>41500</c:v>
                </c:pt>
                <c:pt idx="43">
                  <c:v>41501</c:v>
                </c:pt>
                <c:pt idx="44">
                  <c:v>41502</c:v>
                </c:pt>
                <c:pt idx="45">
                  <c:v>41503</c:v>
                </c:pt>
                <c:pt idx="46">
                  <c:v>41504</c:v>
                </c:pt>
                <c:pt idx="47">
                  <c:v>41505</c:v>
                </c:pt>
                <c:pt idx="48">
                  <c:v>41506</c:v>
                </c:pt>
                <c:pt idx="49">
                  <c:v>41507</c:v>
                </c:pt>
                <c:pt idx="50">
                  <c:v>41508</c:v>
                </c:pt>
                <c:pt idx="51">
                  <c:v>41509</c:v>
                </c:pt>
                <c:pt idx="52">
                  <c:v>41510</c:v>
                </c:pt>
                <c:pt idx="53">
                  <c:v>41511</c:v>
                </c:pt>
                <c:pt idx="54">
                  <c:v>41512</c:v>
                </c:pt>
                <c:pt idx="55">
                  <c:v>41513</c:v>
                </c:pt>
                <c:pt idx="56">
                  <c:v>41514</c:v>
                </c:pt>
                <c:pt idx="57">
                  <c:v>41515</c:v>
                </c:pt>
                <c:pt idx="58">
                  <c:v>41516</c:v>
                </c:pt>
                <c:pt idx="59">
                  <c:v>41517</c:v>
                </c:pt>
                <c:pt idx="60">
                  <c:v>41518</c:v>
                </c:pt>
                <c:pt idx="61">
                  <c:v>41519</c:v>
                </c:pt>
                <c:pt idx="62">
                  <c:v>41520</c:v>
                </c:pt>
                <c:pt idx="63">
                  <c:v>41521</c:v>
                </c:pt>
                <c:pt idx="64">
                  <c:v>41522</c:v>
                </c:pt>
                <c:pt idx="65">
                  <c:v>41523</c:v>
                </c:pt>
                <c:pt idx="66">
                  <c:v>41524</c:v>
                </c:pt>
                <c:pt idx="67">
                  <c:v>41525</c:v>
                </c:pt>
                <c:pt idx="68">
                  <c:v>41526</c:v>
                </c:pt>
                <c:pt idx="69">
                  <c:v>41527</c:v>
                </c:pt>
                <c:pt idx="70">
                  <c:v>41528</c:v>
                </c:pt>
                <c:pt idx="71">
                  <c:v>41529</c:v>
                </c:pt>
                <c:pt idx="72">
                  <c:v>41530</c:v>
                </c:pt>
                <c:pt idx="73">
                  <c:v>41531</c:v>
                </c:pt>
                <c:pt idx="74">
                  <c:v>41532</c:v>
                </c:pt>
                <c:pt idx="75">
                  <c:v>41533</c:v>
                </c:pt>
                <c:pt idx="76">
                  <c:v>41534</c:v>
                </c:pt>
                <c:pt idx="77">
                  <c:v>41535</c:v>
                </c:pt>
                <c:pt idx="78">
                  <c:v>41536</c:v>
                </c:pt>
                <c:pt idx="79">
                  <c:v>41537</c:v>
                </c:pt>
                <c:pt idx="80">
                  <c:v>41538</c:v>
                </c:pt>
                <c:pt idx="81">
                  <c:v>41539</c:v>
                </c:pt>
                <c:pt idx="82">
                  <c:v>41540</c:v>
                </c:pt>
                <c:pt idx="83">
                  <c:v>41541</c:v>
                </c:pt>
                <c:pt idx="84">
                  <c:v>41542</c:v>
                </c:pt>
                <c:pt idx="85">
                  <c:v>41543</c:v>
                </c:pt>
                <c:pt idx="86">
                  <c:v>41544</c:v>
                </c:pt>
                <c:pt idx="87">
                  <c:v>41545</c:v>
                </c:pt>
                <c:pt idx="88">
                  <c:v>41546</c:v>
                </c:pt>
                <c:pt idx="89">
                  <c:v>41547</c:v>
                </c:pt>
                <c:pt idx="90">
                  <c:v>41548</c:v>
                </c:pt>
                <c:pt idx="91">
                  <c:v>41549</c:v>
                </c:pt>
                <c:pt idx="92">
                  <c:v>41550</c:v>
                </c:pt>
                <c:pt idx="93">
                  <c:v>41551</c:v>
                </c:pt>
                <c:pt idx="94">
                  <c:v>41552</c:v>
                </c:pt>
                <c:pt idx="95">
                  <c:v>41553</c:v>
                </c:pt>
                <c:pt idx="96">
                  <c:v>41554</c:v>
                </c:pt>
                <c:pt idx="97">
                  <c:v>41555</c:v>
                </c:pt>
                <c:pt idx="98">
                  <c:v>41556</c:v>
                </c:pt>
                <c:pt idx="99">
                  <c:v>41557</c:v>
                </c:pt>
                <c:pt idx="100">
                  <c:v>41558</c:v>
                </c:pt>
                <c:pt idx="101">
                  <c:v>41559</c:v>
                </c:pt>
                <c:pt idx="102">
                  <c:v>41560</c:v>
                </c:pt>
                <c:pt idx="103">
                  <c:v>41561</c:v>
                </c:pt>
                <c:pt idx="104">
                  <c:v>41562</c:v>
                </c:pt>
                <c:pt idx="105">
                  <c:v>41563</c:v>
                </c:pt>
                <c:pt idx="106">
                  <c:v>41564</c:v>
                </c:pt>
                <c:pt idx="107">
                  <c:v>41565</c:v>
                </c:pt>
                <c:pt idx="108">
                  <c:v>41566</c:v>
                </c:pt>
                <c:pt idx="109">
                  <c:v>41567</c:v>
                </c:pt>
                <c:pt idx="110">
                  <c:v>41568</c:v>
                </c:pt>
                <c:pt idx="111">
                  <c:v>41569</c:v>
                </c:pt>
                <c:pt idx="112">
                  <c:v>41570</c:v>
                </c:pt>
                <c:pt idx="113">
                  <c:v>41571</c:v>
                </c:pt>
                <c:pt idx="114">
                  <c:v>41572</c:v>
                </c:pt>
                <c:pt idx="115">
                  <c:v>41573</c:v>
                </c:pt>
                <c:pt idx="116">
                  <c:v>41574</c:v>
                </c:pt>
                <c:pt idx="117">
                  <c:v>41575</c:v>
                </c:pt>
                <c:pt idx="118">
                  <c:v>41576</c:v>
                </c:pt>
                <c:pt idx="119">
                  <c:v>41577</c:v>
                </c:pt>
                <c:pt idx="120">
                  <c:v>41578</c:v>
                </c:pt>
                <c:pt idx="121">
                  <c:v>41579</c:v>
                </c:pt>
                <c:pt idx="122">
                  <c:v>41580</c:v>
                </c:pt>
                <c:pt idx="123">
                  <c:v>41581</c:v>
                </c:pt>
                <c:pt idx="124">
                  <c:v>41582</c:v>
                </c:pt>
                <c:pt idx="125">
                  <c:v>41583</c:v>
                </c:pt>
                <c:pt idx="126">
                  <c:v>41584</c:v>
                </c:pt>
                <c:pt idx="127">
                  <c:v>41585</c:v>
                </c:pt>
                <c:pt idx="128">
                  <c:v>41586</c:v>
                </c:pt>
                <c:pt idx="129">
                  <c:v>41587</c:v>
                </c:pt>
                <c:pt idx="130">
                  <c:v>41588</c:v>
                </c:pt>
                <c:pt idx="131">
                  <c:v>41589</c:v>
                </c:pt>
                <c:pt idx="132">
                  <c:v>41590</c:v>
                </c:pt>
                <c:pt idx="133">
                  <c:v>41591</c:v>
                </c:pt>
                <c:pt idx="134">
                  <c:v>41592</c:v>
                </c:pt>
                <c:pt idx="135">
                  <c:v>41593</c:v>
                </c:pt>
                <c:pt idx="136">
                  <c:v>41594</c:v>
                </c:pt>
                <c:pt idx="137">
                  <c:v>41595</c:v>
                </c:pt>
                <c:pt idx="138">
                  <c:v>41596</c:v>
                </c:pt>
                <c:pt idx="139">
                  <c:v>41597</c:v>
                </c:pt>
                <c:pt idx="140">
                  <c:v>41598</c:v>
                </c:pt>
                <c:pt idx="141">
                  <c:v>41599</c:v>
                </c:pt>
                <c:pt idx="142">
                  <c:v>41600</c:v>
                </c:pt>
                <c:pt idx="143">
                  <c:v>41601</c:v>
                </c:pt>
                <c:pt idx="144">
                  <c:v>41602</c:v>
                </c:pt>
                <c:pt idx="145">
                  <c:v>41603</c:v>
                </c:pt>
                <c:pt idx="146">
                  <c:v>41604</c:v>
                </c:pt>
                <c:pt idx="147">
                  <c:v>41605</c:v>
                </c:pt>
                <c:pt idx="148">
                  <c:v>41606</c:v>
                </c:pt>
                <c:pt idx="149">
                  <c:v>41607</c:v>
                </c:pt>
                <c:pt idx="150">
                  <c:v>41608</c:v>
                </c:pt>
                <c:pt idx="151">
                  <c:v>41609</c:v>
                </c:pt>
                <c:pt idx="152">
                  <c:v>41610</c:v>
                </c:pt>
                <c:pt idx="153">
                  <c:v>41611</c:v>
                </c:pt>
                <c:pt idx="154">
                  <c:v>41612</c:v>
                </c:pt>
                <c:pt idx="155">
                  <c:v>41613</c:v>
                </c:pt>
                <c:pt idx="156">
                  <c:v>41614</c:v>
                </c:pt>
                <c:pt idx="157">
                  <c:v>41615</c:v>
                </c:pt>
                <c:pt idx="158">
                  <c:v>41616</c:v>
                </c:pt>
                <c:pt idx="159">
                  <c:v>41617</c:v>
                </c:pt>
                <c:pt idx="160">
                  <c:v>41618</c:v>
                </c:pt>
                <c:pt idx="161">
                  <c:v>41619</c:v>
                </c:pt>
              </c:numCache>
            </c:numRef>
          </c:cat>
          <c:val>
            <c:numRef>
              <c:f>Problem1!$F$6:$F$169</c:f>
              <c:numCache>
                <c:formatCode>General</c:formatCode>
                <c:ptCount val="162"/>
                <c:pt idx="0">
                  <c:v>479</c:v>
                </c:pt>
                <c:pt idx="1">
                  <c:v>473</c:v>
                </c:pt>
                <c:pt idx="2">
                  <c:v>528</c:v>
                </c:pt>
                <c:pt idx="3">
                  <c:v>520</c:v>
                </c:pt>
                <c:pt idx="4">
                  <c:v>500</c:v>
                </c:pt>
                <c:pt idx="5">
                  <c:v>534</c:v>
                </c:pt>
                <c:pt idx="6">
                  <c:v>488</c:v>
                </c:pt>
                <c:pt idx="7">
                  <c:v>489</c:v>
                </c:pt>
                <c:pt idx="8">
                  <c:v>490</c:v>
                </c:pt>
                <c:pt idx="9">
                  <c:v>511</c:v>
                </c:pt>
                <c:pt idx="10">
                  <c:v>521</c:v>
                </c:pt>
                <c:pt idx="11">
                  <c:v>513</c:v>
                </c:pt>
                <c:pt idx="12">
                  <c:v>508</c:v>
                </c:pt>
                <c:pt idx="13">
                  <c:v>527</c:v>
                </c:pt>
                <c:pt idx="14">
                  <c:v>565</c:v>
                </c:pt>
                <c:pt idx="15">
                  <c:v>492</c:v>
                </c:pt>
                <c:pt idx="16">
                  <c:v>508</c:v>
                </c:pt>
                <c:pt idx="17">
                  <c:v>490</c:v>
                </c:pt>
                <c:pt idx="18">
                  <c:v>464</c:v>
                </c:pt>
                <c:pt idx="19">
                  <c:v>549</c:v>
                </c:pt>
                <c:pt idx="20">
                  <c:v>489</c:v>
                </c:pt>
                <c:pt idx="21">
                  <c:v>514</c:v>
                </c:pt>
                <c:pt idx="22">
                  <c:v>504</c:v>
                </c:pt>
                <c:pt idx="23">
                  <c:v>515</c:v>
                </c:pt>
                <c:pt idx="24">
                  <c:v>545</c:v>
                </c:pt>
                <c:pt idx="25">
                  <c:v>496</c:v>
                </c:pt>
                <c:pt idx="26">
                  <c:v>492</c:v>
                </c:pt>
                <c:pt idx="27">
                  <c:v>535</c:v>
                </c:pt>
                <c:pt idx="28">
                  <c:v>514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7-4E8E-A7FC-6CFC8F115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523248"/>
        <c:axId val="1722523728"/>
      </c:lineChart>
      <c:dateAx>
        <c:axId val="172252324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523728"/>
        <c:crosses val="autoZero"/>
        <c:auto val="1"/>
        <c:lblOffset val="100"/>
        <c:baseTimeUnit val="days"/>
      </c:dateAx>
      <c:valAx>
        <c:axId val="17225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5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Problem1!$F$8:$F$169</c:f>
              <c:numCache>
                <c:formatCode>General</c:formatCode>
                <c:ptCount val="162"/>
                <c:pt idx="0">
                  <c:v>479</c:v>
                </c:pt>
                <c:pt idx="1">
                  <c:v>473</c:v>
                </c:pt>
                <c:pt idx="2">
                  <c:v>528</c:v>
                </c:pt>
                <c:pt idx="3">
                  <c:v>520</c:v>
                </c:pt>
                <c:pt idx="4">
                  <c:v>500</c:v>
                </c:pt>
                <c:pt idx="5">
                  <c:v>534</c:v>
                </c:pt>
                <c:pt idx="6">
                  <c:v>488</c:v>
                </c:pt>
                <c:pt idx="7">
                  <c:v>489</c:v>
                </c:pt>
                <c:pt idx="8">
                  <c:v>490</c:v>
                </c:pt>
                <c:pt idx="9">
                  <c:v>511</c:v>
                </c:pt>
                <c:pt idx="10">
                  <c:v>521</c:v>
                </c:pt>
                <c:pt idx="11">
                  <c:v>513</c:v>
                </c:pt>
                <c:pt idx="12">
                  <c:v>508</c:v>
                </c:pt>
                <c:pt idx="13">
                  <c:v>527</c:v>
                </c:pt>
                <c:pt idx="14">
                  <c:v>565</c:v>
                </c:pt>
                <c:pt idx="15">
                  <c:v>492</c:v>
                </c:pt>
                <c:pt idx="16">
                  <c:v>508</c:v>
                </c:pt>
                <c:pt idx="17">
                  <c:v>490</c:v>
                </c:pt>
                <c:pt idx="18">
                  <c:v>464</c:v>
                </c:pt>
                <c:pt idx="19">
                  <c:v>549</c:v>
                </c:pt>
                <c:pt idx="20">
                  <c:v>489</c:v>
                </c:pt>
                <c:pt idx="21">
                  <c:v>514</c:v>
                </c:pt>
                <c:pt idx="22">
                  <c:v>504</c:v>
                </c:pt>
                <c:pt idx="23">
                  <c:v>515</c:v>
                </c:pt>
                <c:pt idx="24">
                  <c:v>545</c:v>
                </c:pt>
                <c:pt idx="25">
                  <c:v>496</c:v>
                </c:pt>
                <c:pt idx="26">
                  <c:v>492</c:v>
                </c:pt>
                <c:pt idx="27">
                  <c:v>535</c:v>
                </c:pt>
                <c:pt idx="28">
                  <c:v>514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F-4A9F-8245-BE0CFB335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901439"/>
        <c:axId val="1508905759"/>
      </c:lineChart>
      <c:catAx>
        <c:axId val="1508901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905759"/>
        <c:crosses val="autoZero"/>
        <c:auto val="1"/>
        <c:lblAlgn val="ctr"/>
        <c:lblOffset val="100"/>
        <c:noMultiLvlLbl val="0"/>
      </c:catAx>
      <c:valAx>
        <c:axId val="150890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90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Problem1!$C$5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Problem1!$B$5:$B$169</c:f>
              <c:strCache>
                <c:ptCount val="163"/>
                <c:pt idx="0">
                  <c:v>Date</c:v>
                </c:pt>
                <c:pt idx="1">
                  <c:v>3-Jul-13</c:v>
                </c:pt>
                <c:pt idx="2">
                  <c:v>4-Jul-13</c:v>
                </c:pt>
                <c:pt idx="3">
                  <c:v>5-Jul-13</c:v>
                </c:pt>
                <c:pt idx="4">
                  <c:v>6-Jul-13</c:v>
                </c:pt>
                <c:pt idx="5">
                  <c:v>7-Jul-13</c:v>
                </c:pt>
                <c:pt idx="6">
                  <c:v>8-Jul-13</c:v>
                </c:pt>
                <c:pt idx="7">
                  <c:v>9-Jul-13</c:v>
                </c:pt>
                <c:pt idx="8">
                  <c:v>10-Jul-13</c:v>
                </c:pt>
                <c:pt idx="9">
                  <c:v>11-Jul-13</c:v>
                </c:pt>
                <c:pt idx="10">
                  <c:v>12-Jul-13</c:v>
                </c:pt>
                <c:pt idx="11">
                  <c:v>13-Jul-13</c:v>
                </c:pt>
                <c:pt idx="12">
                  <c:v>14-Jul-13</c:v>
                </c:pt>
                <c:pt idx="13">
                  <c:v>15-Jul-13</c:v>
                </c:pt>
                <c:pt idx="14">
                  <c:v>16-Jul-13</c:v>
                </c:pt>
                <c:pt idx="15">
                  <c:v>17-Jul-13</c:v>
                </c:pt>
                <c:pt idx="16">
                  <c:v>18-Jul-13</c:v>
                </c:pt>
                <c:pt idx="17">
                  <c:v>19-Jul-13</c:v>
                </c:pt>
                <c:pt idx="18">
                  <c:v>20-Jul-13</c:v>
                </c:pt>
                <c:pt idx="19">
                  <c:v>21-Jul-13</c:v>
                </c:pt>
                <c:pt idx="20">
                  <c:v>22-Jul-13</c:v>
                </c:pt>
                <c:pt idx="21">
                  <c:v>23-Jul-13</c:v>
                </c:pt>
                <c:pt idx="22">
                  <c:v>24-Jul-13</c:v>
                </c:pt>
                <c:pt idx="23">
                  <c:v>25-Jul-13</c:v>
                </c:pt>
                <c:pt idx="24">
                  <c:v>26-Jul-13</c:v>
                </c:pt>
                <c:pt idx="25">
                  <c:v>27-Jul-13</c:v>
                </c:pt>
                <c:pt idx="26">
                  <c:v>28-Jul-13</c:v>
                </c:pt>
                <c:pt idx="27">
                  <c:v>29-Jul-13</c:v>
                </c:pt>
                <c:pt idx="28">
                  <c:v>30-Jul-13</c:v>
                </c:pt>
                <c:pt idx="29">
                  <c:v>31-Jul-13</c:v>
                </c:pt>
                <c:pt idx="30">
                  <c:v>1-Aug-13</c:v>
                </c:pt>
                <c:pt idx="31">
                  <c:v>2-Aug-13</c:v>
                </c:pt>
                <c:pt idx="32">
                  <c:v>3-Aug-13</c:v>
                </c:pt>
                <c:pt idx="33">
                  <c:v>4-Aug-13</c:v>
                </c:pt>
                <c:pt idx="34">
                  <c:v>5-Aug-13</c:v>
                </c:pt>
                <c:pt idx="35">
                  <c:v>6-Aug-13</c:v>
                </c:pt>
                <c:pt idx="36">
                  <c:v>7-Aug-13</c:v>
                </c:pt>
                <c:pt idx="37">
                  <c:v>8-Aug-13</c:v>
                </c:pt>
                <c:pt idx="38">
                  <c:v>9-Aug-13</c:v>
                </c:pt>
                <c:pt idx="39">
                  <c:v>10-Aug-13</c:v>
                </c:pt>
                <c:pt idx="40">
                  <c:v>11-Aug-13</c:v>
                </c:pt>
                <c:pt idx="41">
                  <c:v>12-Aug-13</c:v>
                </c:pt>
                <c:pt idx="42">
                  <c:v>13-Aug-13</c:v>
                </c:pt>
                <c:pt idx="43">
                  <c:v>14-Aug-13</c:v>
                </c:pt>
                <c:pt idx="44">
                  <c:v>15-Aug-13</c:v>
                </c:pt>
                <c:pt idx="45">
                  <c:v>16-Aug-13</c:v>
                </c:pt>
                <c:pt idx="46">
                  <c:v>17-Aug-13</c:v>
                </c:pt>
                <c:pt idx="47">
                  <c:v>18-Aug-13</c:v>
                </c:pt>
                <c:pt idx="48">
                  <c:v>19-Aug-13</c:v>
                </c:pt>
                <c:pt idx="49">
                  <c:v>20-Aug-13</c:v>
                </c:pt>
                <c:pt idx="50">
                  <c:v>21-Aug-13</c:v>
                </c:pt>
                <c:pt idx="51">
                  <c:v>22-Aug-13</c:v>
                </c:pt>
                <c:pt idx="52">
                  <c:v>23-Aug-13</c:v>
                </c:pt>
                <c:pt idx="53">
                  <c:v>24-Aug-13</c:v>
                </c:pt>
                <c:pt idx="54">
                  <c:v>25-Aug-13</c:v>
                </c:pt>
                <c:pt idx="55">
                  <c:v>26-Aug-13</c:v>
                </c:pt>
                <c:pt idx="56">
                  <c:v>27-Aug-13</c:v>
                </c:pt>
                <c:pt idx="57">
                  <c:v>28-Aug-13</c:v>
                </c:pt>
                <c:pt idx="58">
                  <c:v>29-Aug-13</c:v>
                </c:pt>
                <c:pt idx="59">
                  <c:v>30-Aug-13</c:v>
                </c:pt>
                <c:pt idx="60">
                  <c:v>31-Aug-13</c:v>
                </c:pt>
                <c:pt idx="61">
                  <c:v>1-Sep-13</c:v>
                </c:pt>
                <c:pt idx="62">
                  <c:v>2-Sep-13</c:v>
                </c:pt>
                <c:pt idx="63">
                  <c:v>3-Sep-13</c:v>
                </c:pt>
                <c:pt idx="64">
                  <c:v>4-Sep-13</c:v>
                </c:pt>
                <c:pt idx="65">
                  <c:v>5-Sep-13</c:v>
                </c:pt>
                <c:pt idx="66">
                  <c:v>6-Sep-13</c:v>
                </c:pt>
                <c:pt idx="67">
                  <c:v>7-Sep-13</c:v>
                </c:pt>
                <c:pt idx="68">
                  <c:v>8-Sep-13</c:v>
                </c:pt>
                <c:pt idx="69">
                  <c:v>9-Sep-13</c:v>
                </c:pt>
                <c:pt idx="70">
                  <c:v>10-Sep-13</c:v>
                </c:pt>
                <c:pt idx="71">
                  <c:v>11-Sep-13</c:v>
                </c:pt>
                <c:pt idx="72">
                  <c:v>12-Sep-13</c:v>
                </c:pt>
                <c:pt idx="73">
                  <c:v>13-Sep-13</c:v>
                </c:pt>
                <c:pt idx="74">
                  <c:v>14-Sep-13</c:v>
                </c:pt>
                <c:pt idx="75">
                  <c:v>15-Sep-13</c:v>
                </c:pt>
                <c:pt idx="76">
                  <c:v>16-Sep-13</c:v>
                </c:pt>
                <c:pt idx="77">
                  <c:v>17-Sep-13</c:v>
                </c:pt>
                <c:pt idx="78">
                  <c:v>18-Sep-13</c:v>
                </c:pt>
                <c:pt idx="79">
                  <c:v>19-Sep-13</c:v>
                </c:pt>
                <c:pt idx="80">
                  <c:v>20-Sep-13</c:v>
                </c:pt>
                <c:pt idx="81">
                  <c:v>21-Sep-13</c:v>
                </c:pt>
                <c:pt idx="82">
                  <c:v>22-Sep-13</c:v>
                </c:pt>
                <c:pt idx="83">
                  <c:v>23-Sep-13</c:v>
                </c:pt>
                <c:pt idx="84">
                  <c:v>24-Sep-13</c:v>
                </c:pt>
                <c:pt idx="85">
                  <c:v>25-Sep-13</c:v>
                </c:pt>
                <c:pt idx="86">
                  <c:v>26-Sep-13</c:v>
                </c:pt>
                <c:pt idx="87">
                  <c:v>27-Sep-13</c:v>
                </c:pt>
                <c:pt idx="88">
                  <c:v>28-Sep-13</c:v>
                </c:pt>
                <c:pt idx="89">
                  <c:v>29-Sep-13</c:v>
                </c:pt>
                <c:pt idx="90">
                  <c:v>30-Sep-13</c:v>
                </c:pt>
                <c:pt idx="91">
                  <c:v>1-Oct-13</c:v>
                </c:pt>
                <c:pt idx="92">
                  <c:v>2-Oct-13</c:v>
                </c:pt>
                <c:pt idx="93">
                  <c:v>3-Oct-13</c:v>
                </c:pt>
                <c:pt idx="94">
                  <c:v>4-Oct-13</c:v>
                </c:pt>
                <c:pt idx="95">
                  <c:v>5-Oct-13</c:v>
                </c:pt>
                <c:pt idx="96">
                  <c:v>6-Oct-13</c:v>
                </c:pt>
                <c:pt idx="97">
                  <c:v>7-Oct-13</c:v>
                </c:pt>
                <c:pt idx="98">
                  <c:v>8-Oct-13</c:v>
                </c:pt>
                <c:pt idx="99">
                  <c:v>9-Oct-13</c:v>
                </c:pt>
                <c:pt idx="100">
                  <c:v>10-Oct-13</c:v>
                </c:pt>
                <c:pt idx="101">
                  <c:v>11-Oct-13</c:v>
                </c:pt>
                <c:pt idx="102">
                  <c:v>12-Oct-13</c:v>
                </c:pt>
                <c:pt idx="103">
                  <c:v>13-Oct-13</c:v>
                </c:pt>
                <c:pt idx="104">
                  <c:v>14-Oct-13</c:v>
                </c:pt>
                <c:pt idx="105">
                  <c:v>15-Oct-13</c:v>
                </c:pt>
                <c:pt idx="106">
                  <c:v>16-Oct-13</c:v>
                </c:pt>
                <c:pt idx="107">
                  <c:v>17-Oct-13</c:v>
                </c:pt>
                <c:pt idx="108">
                  <c:v>18-Oct-13</c:v>
                </c:pt>
                <c:pt idx="109">
                  <c:v>19-Oct-13</c:v>
                </c:pt>
                <c:pt idx="110">
                  <c:v>20-Oct-13</c:v>
                </c:pt>
                <c:pt idx="111">
                  <c:v>21-Oct-13</c:v>
                </c:pt>
                <c:pt idx="112">
                  <c:v>22-Oct-13</c:v>
                </c:pt>
                <c:pt idx="113">
                  <c:v>23-Oct-13</c:v>
                </c:pt>
                <c:pt idx="114">
                  <c:v>24-Oct-13</c:v>
                </c:pt>
                <c:pt idx="115">
                  <c:v>25-Oct-13</c:v>
                </c:pt>
                <c:pt idx="116">
                  <c:v>26-Oct-13</c:v>
                </c:pt>
                <c:pt idx="117">
                  <c:v>27-Oct-13</c:v>
                </c:pt>
                <c:pt idx="118">
                  <c:v>28-Oct-13</c:v>
                </c:pt>
                <c:pt idx="119">
                  <c:v>29-Oct-13</c:v>
                </c:pt>
                <c:pt idx="120">
                  <c:v>30-Oct-13</c:v>
                </c:pt>
                <c:pt idx="121">
                  <c:v>31-Oct-13</c:v>
                </c:pt>
                <c:pt idx="122">
                  <c:v>1-Nov-13</c:v>
                </c:pt>
                <c:pt idx="123">
                  <c:v>2-Nov-13</c:v>
                </c:pt>
                <c:pt idx="124">
                  <c:v>3-Nov-13</c:v>
                </c:pt>
                <c:pt idx="125">
                  <c:v>4-Nov-13</c:v>
                </c:pt>
                <c:pt idx="126">
                  <c:v>5-Nov-13</c:v>
                </c:pt>
                <c:pt idx="127">
                  <c:v>6-Nov-13</c:v>
                </c:pt>
                <c:pt idx="128">
                  <c:v>7-Nov-13</c:v>
                </c:pt>
                <c:pt idx="129">
                  <c:v>8-Nov-13</c:v>
                </c:pt>
                <c:pt idx="130">
                  <c:v>9-Nov-13</c:v>
                </c:pt>
                <c:pt idx="131">
                  <c:v>10-Nov-13</c:v>
                </c:pt>
                <c:pt idx="132">
                  <c:v>11-Nov-13</c:v>
                </c:pt>
                <c:pt idx="133">
                  <c:v>12-Nov-13</c:v>
                </c:pt>
                <c:pt idx="134">
                  <c:v>13-Nov-13</c:v>
                </c:pt>
                <c:pt idx="135">
                  <c:v>14-Nov-13</c:v>
                </c:pt>
                <c:pt idx="136">
                  <c:v>15-Nov-13</c:v>
                </c:pt>
                <c:pt idx="137">
                  <c:v>16-Nov-13</c:v>
                </c:pt>
                <c:pt idx="138">
                  <c:v>17-Nov-13</c:v>
                </c:pt>
                <c:pt idx="139">
                  <c:v>18-Nov-13</c:v>
                </c:pt>
                <c:pt idx="140">
                  <c:v>19-Nov-13</c:v>
                </c:pt>
                <c:pt idx="141">
                  <c:v>20-Nov-13</c:v>
                </c:pt>
                <c:pt idx="142">
                  <c:v>21-Nov-13</c:v>
                </c:pt>
                <c:pt idx="143">
                  <c:v>22-Nov-13</c:v>
                </c:pt>
                <c:pt idx="144">
                  <c:v>23-Nov-13</c:v>
                </c:pt>
                <c:pt idx="145">
                  <c:v>24-Nov-13</c:v>
                </c:pt>
                <c:pt idx="146">
                  <c:v>25-Nov-13</c:v>
                </c:pt>
                <c:pt idx="147">
                  <c:v>26-Nov-13</c:v>
                </c:pt>
                <c:pt idx="148">
                  <c:v>27-Nov-13</c:v>
                </c:pt>
                <c:pt idx="149">
                  <c:v>28-Nov-13</c:v>
                </c:pt>
                <c:pt idx="150">
                  <c:v>29-Nov-13</c:v>
                </c:pt>
                <c:pt idx="151">
                  <c:v>30-Nov-13</c:v>
                </c:pt>
                <c:pt idx="152">
                  <c:v>1-Dec-13</c:v>
                </c:pt>
                <c:pt idx="153">
                  <c:v>2-Dec-13</c:v>
                </c:pt>
                <c:pt idx="154">
                  <c:v>3-Dec-13</c:v>
                </c:pt>
                <c:pt idx="155">
                  <c:v>4-Dec-13</c:v>
                </c:pt>
                <c:pt idx="156">
                  <c:v>5-Dec-13</c:v>
                </c:pt>
                <c:pt idx="157">
                  <c:v>6-Dec-13</c:v>
                </c:pt>
                <c:pt idx="158">
                  <c:v>7-Dec-13</c:v>
                </c:pt>
                <c:pt idx="159">
                  <c:v>8-Dec-13</c:v>
                </c:pt>
                <c:pt idx="160">
                  <c:v>9-Dec-13</c:v>
                </c:pt>
                <c:pt idx="161">
                  <c:v>10-Dec-13</c:v>
                </c:pt>
                <c:pt idx="162">
                  <c:v>11-Dec-13</c:v>
                </c:pt>
              </c:strCache>
            </c:strRef>
          </c:cat>
          <c:val>
            <c:numRef>
              <c:f>Problem1!$C$6:$C$169</c:f>
              <c:numCache>
                <c:formatCode>_("$"* #,##0_);_("$"* \(#,##0\);_("$"* "-"??_);_(@_)</c:formatCode>
                <c:ptCount val="162"/>
                <c:pt idx="0">
                  <c:v>479</c:v>
                </c:pt>
                <c:pt idx="1">
                  <c:v>473</c:v>
                </c:pt>
                <c:pt idx="2">
                  <c:v>528</c:v>
                </c:pt>
                <c:pt idx="3">
                  <c:v>520</c:v>
                </c:pt>
                <c:pt idx="4">
                  <c:v>500</c:v>
                </c:pt>
                <c:pt idx="5">
                  <c:v>534</c:v>
                </c:pt>
                <c:pt idx="6">
                  <c:v>488</c:v>
                </c:pt>
                <c:pt idx="7">
                  <c:v>489</c:v>
                </c:pt>
                <c:pt idx="8">
                  <c:v>490</c:v>
                </c:pt>
                <c:pt idx="9">
                  <c:v>511</c:v>
                </c:pt>
                <c:pt idx="10">
                  <c:v>521</c:v>
                </c:pt>
                <c:pt idx="11">
                  <c:v>513</c:v>
                </c:pt>
                <c:pt idx="12">
                  <c:v>508</c:v>
                </c:pt>
                <c:pt idx="13">
                  <c:v>527</c:v>
                </c:pt>
                <c:pt idx="14">
                  <c:v>565</c:v>
                </c:pt>
                <c:pt idx="15">
                  <c:v>492</c:v>
                </c:pt>
                <c:pt idx="16">
                  <c:v>508</c:v>
                </c:pt>
                <c:pt idx="17">
                  <c:v>490</c:v>
                </c:pt>
                <c:pt idx="18">
                  <c:v>464</c:v>
                </c:pt>
                <c:pt idx="19">
                  <c:v>549</c:v>
                </c:pt>
                <c:pt idx="20">
                  <c:v>489</c:v>
                </c:pt>
                <c:pt idx="21">
                  <c:v>514</c:v>
                </c:pt>
                <c:pt idx="22">
                  <c:v>504</c:v>
                </c:pt>
                <c:pt idx="23">
                  <c:v>515</c:v>
                </c:pt>
                <c:pt idx="24">
                  <c:v>545</c:v>
                </c:pt>
                <c:pt idx="25">
                  <c:v>496</c:v>
                </c:pt>
                <c:pt idx="26">
                  <c:v>492</c:v>
                </c:pt>
                <c:pt idx="27">
                  <c:v>535</c:v>
                </c:pt>
                <c:pt idx="28">
                  <c:v>514</c:v>
                </c:pt>
                <c:pt idx="29">
                  <c:v>527</c:v>
                </c:pt>
                <c:pt idx="30">
                  <c:v>481</c:v>
                </c:pt>
                <c:pt idx="31">
                  <c:v>499</c:v>
                </c:pt>
                <c:pt idx="32">
                  <c:v>487</c:v>
                </c:pt>
                <c:pt idx="33">
                  <c:v>528</c:v>
                </c:pt>
                <c:pt idx="34">
                  <c:v>479</c:v>
                </c:pt>
                <c:pt idx="35">
                  <c:v>486</c:v>
                </c:pt>
                <c:pt idx="36">
                  <c:v>476</c:v>
                </c:pt>
                <c:pt idx="37">
                  <c:v>519</c:v>
                </c:pt>
                <c:pt idx="38">
                  <c:v>526</c:v>
                </c:pt>
                <c:pt idx="39">
                  <c:v>487</c:v>
                </c:pt>
                <c:pt idx="40">
                  <c:v>510</c:v>
                </c:pt>
                <c:pt idx="41">
                  <c:v>485</c:v>
                </c:pt>
                <c:pt idx="42">
                  <c:v>436</c:v>
                </c:pt>
                <c:pt idx="43">
                  <c:v>485</c:v>
                </c:pt>
                <c:pt idx="44">
                  <c:v>521</c:v>
                </c:pt>
                <c:pt idx="45">
                  <c:v>488</c:v>
                </c:pt>
                <c:pt idx="46">
                  <c:v>482</c:v>
                </c:pt>
                <c:pt idx="47">
                  <c:v>478</c:v>
                </c:pt>
                <c:pt idx="48">
                  <c:v>528</c:v>
                </c:pt>
                <c:pt idx="49">
                  <c:v>477</c:v>
                </c:pt>
                <c:pt idx="50">
                  <c:v>501</c:v>
                </c:pt>
                <c:pt idx="51">
                  <c:v>511</c:v>
                </c:pt>
                <c:pt idx="52">
                  <c:v>495</c:v>
                </c:pt>
                <c:pt idx="53">
                  <c:v>476</c:v>
                </c:pt>
                <c:pt idx="54">
                  <c:v>519</c:v>
                </c:pt>
                <c:pt idx="55">
                  <c:v>475</c:v>
                </c:pt>
                <c:pt idx="56">
                  <c:v>475</c:v>
                </c:pt>
                <c:pt idx="57">
                  <c:v>499</c:v>
                </c:pt>
                <c:pt idx="58">
                  <c:v>512</c:v>
                </c:pt>
                <c:pt idx="59">
                  <c:v>440</c:v>
                </c:pt>
                <c:pt idx="60">
                  <c:v>531</c:v>
                </c:pt>
                <c:pt idx="61">
                  <c:v>493</c:v>
                </c:pt>
                <c:pt idx="62">
                  <c:v>508</c:v>
                </c:pt>
                <c:pt idx="63">
                  <c:v>474</c:v>
                </c:pt>
                <c:pt idx="64">
                  <c:v>523</c:v>
                </c:pt>
                <c:pt idx="65">
                  <c:v>528</c:v>
                </c:pt>
                <c:pt idx="66">
                  <c:v>549</c:v>
                </c:pt>
                <c:pt idx="67">
                  <c:v>510</c:v>
                </c:pt>
                <c:pt idx="68">
                  <c:v>545</c:v>
                </c:pt>
                <c:pt idx="69">
                  <c:v>544</c:v>
                </c:pt>
                <c:pt idx="70">
                  <c:v>512</c:v>
                </c:pt>
                <c:pt idx="71">
                  <c:v>488</c:v>
                </c:pt>
                <c:pt idx="72">
                  <c:v>537</c:v>
                </c:pt>
                <c:pt idx="73">
                  <c:v>527</c:v>
                </c:pt>
                <c:pt idx="74">
                  <c:v>487</c:v>
                </c:pt>
                <c:pt idx="75">
                  <c:v>462</c:v>
                </c:pt>
                <c:pt idx="76">
                  <c:v>471</c:v>
                </c:pt>
                <c:pt idx="77">
                  <c:v>490</c:v>
                </c:pt>
                <c:pt idx="78">
                  <c:v>518</c:v>
                </c:pt>
                <c:pt idx="79">
                  <c:v>478</c:v>
                </c:pt>
                <c:pt idx="80">
                  <c:v>457</c:v>
                </c:pt>
                <c:pt idx="81">
                  <c:v>502</c:v>
                </c:pt>
                <c:pt idx="82">
                  <c:v>532</c:v>
                </c:pt>
                <c:pt idx="83">
                  <c:v>512</c:v>
                </c:pt>
                <c:pt idx="84">
                  <c:v>523</c:v>
                </c:pt>
                <c:pt idx="85">
                  <c:v>537</c:v>
                </c:pt>
                <c:pt idx="86">
                  <c:v>503</c:v>
                </c:pt>
                <c:pt idx="87">
                  <c:v>487</c:v>
                </c:pt>
                <c:pt idx="88">
                  <c:v>530</c:v>
                </c:pt>
                <c:pt idx="89">
                  <c:v>523</c:v>
                </c:pt>
                <c:pt idx="90">
                  <c:v>483</c:v>
                </c:pt>
                <c:pt idx="91">
                  <c:v>499</c:v>
                </c:pt>
                <c:pt idx="92">
                  <c:v>463</c:v>
                </c:pt>
                <c:pt idx="93">
                  <c:v>522</c:v>
                </c:pt>
                <c:pt idx="94">
                  <c:v>457</c:v>
                </c:pt>
                <c:pt idx="95">
                  <c:v>505</c:v>
                </c:pt>
                <c:pt idx="96">
                  <c:v>484</c:v>
                </c:pt>
                <c:pt idx="97">
                  <c:v>520</c:v>
                </c:pt>
                <c:pt idx="98">
                  <c:v>503</c:v>
                </c:pt>
                <c:pt idx="99">
                  <c:v>484</c:v>
                </c:pt>
                <c:pt idx="100">
                  <c:v>522</c:v>
                </c:pt>
                <c:pt idx="101">
                  <c:v>536</c:v>
                </c:pt>
                <c:pt idx="102">
                  <c:v>471</c:v>
                </c:pt>
                <c:pt idx="103">
                  <c:v>477</c:v>
                </c:pt>
                <c:pt idx="104">
                  <c:v>478</c:v>
                </c:pt>
                <c:pt idx="105">
                  <c:v>492</c:v>
                </c:pt>
                <c:pt idx="106">
                  <c:v>473</c:v>
                </c:pt>
                <c:pt idx="107">
                  <c:v>518</c:v>
                </c:pt>
                <c:pt idx="108">
                  <c:v>485</c:v>
                </c:pt>
                <c:pt idx="109">
                  <c:v>502</c:v>
                </c:pt>
                <c:pt idx="110">
                  <c:v>448</c:v>
                </c:pt>
                <c:pt idx="111">
                  <c:v>504</c:v>
                </c:pt>
                <c:pt idx="112">
                  <c:v>492</c:v>
                </c:pt>
                <c:pt idx="113">
                  <c:v>503</c:v>
                </c:pt>
                <c:pt idx="114">
                  <c:v>490</c:v>
                </c:pt>
                <c:pt idx="115">
                  <c:v>489</c:v>
                </c:pt>
                <c:pt idx="116">
                  <c:v>485</c:v>
                </c:pt>
                <c:pt idx="117">
                  <c:v>503</c:v>
                </c:pt>
                <c:pt idx="118">
                  <c:v>513</c:v>
                </c:pt>
                <c:pt idx="119">
                  <c:v>502</c:v>
                </c:pt>
                <c:pt idx="120">
                  <c:v>512</c:v>
                </c:pt>
                <c:pt idx="121">
                  <c:v>534</c:v>
                </c:pt>
                <c:pt idx="122">
                  <c:v>480</c:v>
                </c:pt>
                <c:pt idx="123">
                  <c:v>441</c:v>
                </c:pt>
                <c:pt idx="124">
                  <c:v>511</c:v>
                </c:pt>
                <c:pt idx="125">
                  <c:v>494</c:v>
                </c:pt>
                <c:pt idx="126">
                  <c:v>494</c:v>
                </c:pt>
                <c:pt idx="127">
                  <c:v>520</c:v>
                </c:pt>
                <c:pt idx="128">
                  <c:v>587</c:v>
                </c:pt>
                <c:pt idx="129">
                  <c:v>503</c:v>
                </c:pt>
                <c:pt idx="130">
                  <c:v>505</c:v>
                </c:pt>
                <c:pt idx="131">
                  <c:v>540</c:v>
                </c:pt>
                <c:pt idx="132">
                  <c:v>458</c:v>
                </c:pt>
                <c:pt idx="133">
                  <c:v>548</c:v>
                </c:pt>
                <c:pt idx="134">
                  <c:v>535</c:v>
                </c:pt>
                <c:pt idx="135">
                  <c:v>477</c:v>
                </c:pt>
                <c:pt idx="136">
                  <c:v>551</c:v>
                </c:pt>
                <c:pt idx="137">
                  <c:v>516</c:v>
                </c:pt>
                <c:pt idx="138">
                  <c:v>503</c:v>
                </c:pt>
                <c:pt idx="139">
                  <c:v>467</c:v>
                </c:pt>
                <c:pt idx="140">
                  <c:v>491</c:v>
                </c:pt>
                <c:pt idx="141">
                  <c:v>478</c:v>
                </c:pt>
                <c:pt idx="142">
                  <c:v>481</c:v>
                </c:pt>
                <c:pt idx="143">
                  <c:v>505</c:v>
                </c:pt>
                <c:pt idx="144">
                  <c:v>485</c:v>
                </c:pt>
                <c:pt idx="145">
                  <c:v>483</c:v>
                </c:pt>
                <c:pt idx="146">
                  <c:v>529</c:v>
                </c:pt>
                <c:pt idx="147">
                  <c:v>506</c:v>
                </c:pt>
                <c:pt idx="148">
                  <c:v>478</c:v>
                </c:pt>
                <c:pt idx="149">
                  <c:v>503</c:v>
                </c:pt>
                <c:pt idx="150">
                  <c:v>521</c:v>
                </c:pt>
                <c:pt idx="151">
                  <c:v>481</c:v>
                </c:pt>
                <c:pt idx="152">
                  <c:v>508</c:v>
                </c:pt>
                <c:pt idx="153">
                  <c:v>551</c:v>
                </c:pt>
                <c:pt idx="154">
                  <c:v>473</c:v>
                </c:pt>
                <c:pt idx="155">
                  <c:v>493</c:v>
                </c:pt>
                <c:pt idx="156">
                  <c:v>489</c:v>
                </c:pt>
                <c:pt idx="157">
                  <c:v>497</c:v>
                </c:pt>
                <c:pt idx="158">
                  <c:v>507</c:v>
                </c:pt>
                <c:pt idx="159">
                  <c:v>481</c:v>
                </c:pt>
                <c:pt idx="160">
                  <c:v>542</c:v>
                </c:pt>
                <c:pt idx="161">
                  <c:v>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7-4C56-BCDE-754663D8D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50927"/>
        <c:axId val="314964367"/>
      </c:lineChart>
      <c:catAx>
        <c:axId val="314950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64367"/>
        <c:crosses val="autoZero"/>
        <c:auto val="1"/>
        <c:lblAlgn val="ctr"/>
        <c:lblOffset val="100"/>
        <c:noMultiLvlLbl val="1"/>
      </c:catAx>
      <c:valAx>
        <c:axId val="31496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5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Highes</a:t>
            </a:r>
            <a:r>
              <a:rPr lang="en-IN" baseline="0"/>
              <a:t>t Sales Dynamic chart</a:t>
            </a:r>
          </a:p>
          <a:p>
            <a:pPr>
              <a:defRPr/>
            </a:pPr>
            <a:endParaRPr lang="en-IN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631698149556915E-2"/>
          <c:y val="0.17239536813925113"/>
          <c:w val="0.8792725346210466"/>
          <c:h val="0.62667272416967734"/>
        </c:manualLayout>
      </c:layout>
      <c:lineChart>
        <c:grouping val="standard"/>
        <c:varyColors val="0"/>
        <c:ser>
          <c:idx val="0"/>
          <c:order val="0"/>
          <c:tx>
            <c:strRef>
              <c:f>Problem1!$C$5</c:f>
              <c:strCache>
                <c:ptCount val="1"/>
                <c:pt idx="0">
                  <c:v>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Problem1!$B$6:$B$169</c:f>
              <c:numCache>
                <c:formatCode>d\-mmm\-yy</c:formatCode>
                <c:ptCount val="162"/>
                <c:pt idx="0">
                  <c:v>41458</c:v>
                </c:pt>
                <c:pt idx="1">
                  <c:v>41459</c:v>
                </c:pt>
                <c:pt idx="2">
                  <c:v>41460</c:v>
                </c:pt>
                <c:pt idx="3">
                  <c:v>41461</c:v>
                </c:pt>
                <c:pt idx="4">
                  <c:v>41462</c:v>
                </c:pt>
                <c:pt idx="5">
                  <c:v>41463</c:v>
                </c:pt>
                <c:pt idx="6">
                  <c:v>41464</c:v>
                </c:pt>
                <c:pt idx="7">
                  <c:v>41465</c:v>
                </c:pt>
                <c:pt idx="8">
                  <c:v>41466</c:v>
                </c:pt>
                <c:pt idx="9">
                  <c:v>41467</c:v>
                </c:pt>
                <c:pt idx="10">
                  <c:v>41468</c:v>
                </c:pt>
                <c:pt idx="11">
                  <c:v>41469</c:v>
                </c:pt>
                <c:pt idx="12">
                  <c:v>41470</c:v>
                </c:pt>
                <c:pt idx="13">
                  <c:v>41471</c:v>
                </c:pt>
                <c:pt idx="14">
                  <c:v>41472</c:v>
                </c:pt>
                <c:pt idx="15">
                  <c:v>41473</c:v>
                </c:pt>
                <c:pt idx="16">
                  <c:v>41474</c:v>
                </c:pt>
                <c:pt idx="17">
                  <c:v>41475</c:v>
                </c:pt>
                <c:pt idx="18">
                  <c:v>41476</c:v>
                </c:pt>
                <c:pt idx="19">
                  <c:v>41477</c:v>
                </c:pt>
                <c:pt idx="20">
                  <c:v>41478</c:v>
                </c:pt>
                <c:pt idx="21">
                  <c:v>41479</c:v>
                </c:pt>
                <c:pt idx="22">
                  <c:v>41480</c:v>
                </c:pt>
                <c:pt idx="23">
                  <c:v>41481</c:v>
                </c:pt>
                <c:pt idx="24">
                  <c:v>41482</c:v>
                </c:pt>
                <c:pt idx="25">
                  <c:v>41483</c:v>
                </c:pt>
                <c:pt idx="26">
                  <c:v>41484</c:v>
                </c:pt>
                <c:pt idx="27">
                  <c:v>41485</c:v>
                </c:pt>
                <c:pt idx="28">
                  <c:v>41486</c:v>
                </c:pt>
                <c:pt idx="29">
                  <c:v>41487</c:v>
                </c:pt>
                <c:pt idx="30">
                  <c:v>41488</c:v>
                </c:pt>
                <c:pt idx="31">
                  <c:v>41489</c:v>
                </c:pt>
                <c:pt idx="32">
                  <c:v>41490</c:v>
                </c:pt>
                <c:pt idx="33">
                  <c:v>41491</c:v>
                </c:pt>
                <c:pt idx="34">
                  <c:v>41492</c:v>
                </c:pt>
                <c:pt idx="35">
                  <c:v>41493</c:v>
                </c:pt>
                <c:pt idx="36">
                  <c:v>41494</c:v>
                </c:pt>
                <c:pt idx="37">
                  <c:v>41495</c:v>
                </c:pt>
                <c:pt idx="38">
                  <c:v>41496</c:v>
                </c:pt>
                <c:pt idx="39">
                  <c:v>41497</c:v>
                </c:pt>
                <c:pt idx="40">
                  <c:v>41498</c:v>
                </c:pt>
                <c:pt idx="41">
                  <c:v>41499</c:v>
                </c:pt>
                <c:pt idx="42">
                  <c:v>41500</c:v>
                </c:pt>
                <c:pt idx="43">
                  <c:v>41501</c:v>
                </c:pt>
                <c:pt idx="44">
                  <c:v>41502</c:v>
                </c:pt>
                <c:pt idx="45">
                  <c:v>41503</c:v>
                </c:pt>
                <c:pt idx="46">
                  <c:v>41504</c:v>
                </c:pt>
                <c:pt idx="47">
                  <c:v>41505</c:v>
                </c:pt>
                <c:pt idx="48">
                  <c:v>41506</c:v>
                </c:pt>
                <c:pt idx="49">
                  <c:v>41507</c:v>
                </c:pt>
                <c:pt idx="50">
                  <c:v>41508</c:v>
                </c:pt>
                <c:pt idx="51">
                  <c:v>41509</c:v>
                </c:pt>
                <c:pt idx="52">
                  <c:v>41510</c:v>
                </c:pt>
                <c:pt idx="53">
                  <c:v>41511</c:v>
                </c:pt>
                <c:pt idx="54">
                  <c:v>41512</c:v>
                </c:pt>
                <c:pt idx="55">
                  <c:v>41513</c:v>
                </c:pt>
                <c:pt idx="56">
                  <c:v>41514</c:v>
                </c:pt>
                <c:pt idx="57">
                  <c:v>41515</c:v>
                </c:pt>
                <c:pt idx="58">
                  <c:v>41516</c:v>
                </c:pt>
                <c:pt idx="59">
                  <c:v>41517</c:v>
                </c:pt>
                <c:pt idx="60">
                  <c:v>41518</c:v>
                </c:pt>
                <c:pt idx="61">
                  <c:v>41519</c:v>
                </c:pt>
                <c:pt idx="62">
                  <c:v>41520</c:v>
                </c:pt>
                <c:pt idx="63">
                  <c:v>41521</c:v>
                </c:pt>
                <c:pt idx="64">
                  <c:v>41522</c:v>
                </c:pt>
                <c:pt idx="65">
                  <c:v>41523</c:v>
                </c:pt>
                <c:pt idx="66">
                  <c:v>41524</c:v>
                </c:pt>
                <c:pt idx="67">
                  <c:v>41525</c:v>
                </c:pt>
                <c:pt idx="68">
                  <c:v>41526</c:v>
                </c:pt>
                <c:pt idx="69">
                  <c:v>41527</c:v>
                </c:pt>
                <c:pt idx="70">
                  <c:v>41528</c:v>
                </c:pt>
                <c:pt idx="71">
                  <c:v>41529</c:v>
                </c:pt>
                <c:pt idx="72">
                  <c:v>41530</c:v>
                </c:pt>
                <c:pt idx="73">
                  <c:v>41531</c:v>
                </c:pt>
                <c:pt idx="74">
                  <c:v>41532</c:v>
                </c:pt>
                <c:pt idx="75">
                  <c:v>41533</c:v>
                </c:pt>
                <c:pt idx="76">
                  <c:v>41534</c:v>
                </c:pt>
                <c:pt idx="77">
                  <c:v>41535</c:v>
                </c:pt>
                <c:pt idx="78">
                  <c:v>41536</c:v>
                </c:pt>
                <c:pt idx="79">
                  <c:v>41537</c:v>
                </c:pt>
                <c:pt idx="80">
                  <c:v>41538</c:v>
                </c:pt>
                <c:pt idx="81">
                  <c:v>41539</c:v>
                </c:pt>
                <c:pt idx="82">
                  <c:v>41540</c:v>
                </c:pt>
                <c:pt idx="83">
                  <c:v>41541</c:v>
                </c:pt>
                <c:pt idx="84">
                  <c:v>41542</c:v>
                </c:pt>
                <c:pt idx="85">
                  <c:v>41543</c:v>
                </c:pt>
                <c:pt idx="86">
                  <c:v>41544</c:v>
                </c:pt>
                <c:pt idx="87">
                  <c:v>41545</c:v>
                </c:pt>
                <c:pt idx="88">
                  <c:v>41546</c:v>
                </c:pt>
                <c:pt idx="89">
                  <c:v>41547</c:v>
                </c:pt>
                <c:pt idx="90">
                  <c:v>41548</c:v>
                </c:pt>
                <c:pt idx="91">
                  <c:v>41549</c:v>
                </c:pt>
                <c:pt idx="92">
                  <c:v>41550</c:v>
                </c:pt>
                <c:pt idx="93">
                  <c:v>41551</c:v>
                </c:pt>
                <c:pt idx="94">
                  <c:v>41552</c:v>
                </c:pt>
                <c:pt idx="95">
                  <c:v>41553</c:v>
                </c:pt>
                <c:pt idx="96">
                  <c:v>41554</c:v>
                </c:pt>
                <c:pt idx="97">
                  <c:v>41555</c:v>
                </c:pt>
                <c:pt idx="98">
                  <c:v>41556</c:v>
                </c:pt>
                <c:pt idx="99">
                  <c:v>41557</c:v>
                </c:pt>
                <c:pt idx="100">
                  <c:v>41558</c:v>
                </c:pt>
                <c:pt idx="101">
                  <c:v>41559</c:v>
                </c:pt>
                <c:pt idx="102">
                  <c:v>41560</c:v>
                </c:pt>
                <c:pt idx="103">
                  <c:v>41561</c:v>
                </c:pt>
                <c:pt idx="104">
                  <c:v>41562</c:v>
                </c:pt>
                <c:pt idx="105">
                  <c:v>41563</c:v>
                </c:pt>
                <c:pt idx="106">
                  <c:v>41564</c:v>
                </c:pt>
                <c:pt idx="107">
                  <c:v>41565</c:v>
                </c:pt>
                <c:pt idx="108">
                  <c:v>41566</c:v>
                </c:pt>
                <c:pt idx="109">
                  <c:v>41567</c:v>
                </c:pt>
                <c:pt idx="110">
                  <c:v>41568</c:v>
                </c:pt>
                <c:pt idx="111">
                  <c:v>41569</c:v>
                </c:pt>
                <c:pt idx="112">
                  <c:v>41570</c:v>
                </c:pt>
                <c:pt idx="113">
                  <c:v>41571</c:v>
                </c:pt>
                <c:pt idx="114">
                  <c:v>41572</c:v>
                </c:pt>
                <c:pt idx="115">
                  <c:v>41573</c:v>
                </c:pt>
                <c:pt idx="116">
                  <c:v>41574</c:v>
                </c:pt>
                <c:pt idx="117">
                  <c:v>41575</c:v>
                </c:pt>
                <c:pt idx="118">
                  <c:v>41576</c:v>
                </c:pt>
                <c:pt idx="119">
                  <c:v>41577</c:v>
                </c:pt>
                <c:pt idx="120">
                  <c:v>41578</c:v>
                </c:pt>
                <c:pt idx="121">
                  <c:v>41579</c:v>
                </c:pt>
                <c:pt idx="122">
                  <c:v>41580</c:v>
                </c:pt>
                <c:pt idx="123">
                  <c:v>41581</c:v>
                </c:pt>
                <c:pt idx="124">
                  <c:v>41582</c:v>
                </c:pt>
                <c:pt idx="125">
                  <c:v>41583</c:v>
                </c:pt>
                <c:pt idx="126">
                  <c:v>41584</c:v>
                </c:pt>
                <c:pt idx="127">
                  <c:v>41585</c:v>
                </c:pt>
                <c:pt idx="128">
                  <c:v>41586</c:v>
                </c:pt>
                <c:pt idx="129">
                  <c:v>41587</c:v>
                </c:pt>
                <c:pt idx="130">
                  <c:v>41588</c:v>
                </c:pt>
                <c:pt idx="131">
                  <c:v>41589</c:v>
                </c:pt>
                <c:pt idx="132">
                  <c:v>41590</c:v>
                </c:pt>
                <c:pt idx="133">
                  <c:v>41591</c:v>
                </c:pt>
                <c:pt idx="134">
                  <c:v>41592</c:v>
                </c:pt>
                <c:pt idx="135">
                  <c:v>41593</c:v>
                </c:pt>
                <c:pt idx="136">
                  <c:v>41594</c:v>
                </c:pt>
                <c:pt idx="137">
                  <c:v>41595</c:v>
                </c:pt>
                <c:pt idx="138">
                  <c:v>41596</c:v>
                </c:pt>
                <c:pt idx="139">
                  <c:v>41597</c:v>
                </c:pt>
                <c:pt idx="140">
                  <c:v>41598</c:v>
                </c:pt>
                <c:pt idx="141">
                  <c:v>41599</c:v>
                </c:pt>
                <c:pt idx="142">
                  <c:v>41600</c:v>
                </c:pt>
                <c:pt idx="143">
                  <c:v>41601</c:v>
                </c:pt>
                <c:pt idx="144">
                  <c:v>41602</c:v>
                </c:pt>
                <c:pt idx="145">
                  <c:v>41603</c:v>
                </c:pt>
                <c:pt idx="146">
                  <c:v>41604</c:v>
                </c:pt>
                <c:pt idx="147">
                  <c:v>41605</c:v>
                </c:pt>
                <c:pt idx="148">
                  <c:v>41606</c:v>
                </c:pt>
                <c:pt idx="149">
                  <c:v>41607</c:v>
                </c:pt>
                <c:pt idx="150">
                  <c:v>41608</c:v>
                </c:pt>
                <c:pt idx="151">
                  <c:v>41609</c:v>
                </c:pt>
                <c:pt idx="152">
                  <c:v>41610</c:v>
                </c:pt>
                <c:pt idx="153">
                  <c:v>41611</c:v>
                </c:pt>
                <c:pt idx="154">
                  <c:v>41612</c:v>
                </c:pt>
                <c:pt idx="155">
                  <c:v>41613</c:v>
                </c:pt>
                <c:pt idx="156">
                  <c:v>41614</c:v>
                </c:pt>
                <c:pt idx="157">
                  <c:v>41615</c:v>
                </c:pt>
                <c:pt idx="158">
                  <c:v>41616</c:v>
                </c:pt>
                <c:pt idx="159">
                  <c:v>41617</c:v>
                </c:pt>
                <c:pt idx="160">
                  <c:v>41618</c:v>
                </c:pt>
                <c:pt idx="161">
                  <c:v>41619</c:v>
                </c:pt>
              </c:numCache>
            </c:numRef>
          </c:cat>
          <c:val>
            <c:numRef>
              <c:f>Problem1!$C$6:$C$169</c:f>
              <c:numCache>
                <c:formatCode>_("$"* #,##0_);_("$"* \(#,##0\);_("$"* "-"??_);_(@_)</c:formatCode>
                <c:ptCount val="162"/>
                <c:pt idx="0">
                  <c:v>479</c:v>
                </c:pt>
                <c:pt idx="1">
                  <c:v>473</c:v>
                </c:pt>
                <c:pt idx="2">
                  <c:v>528</c:v>
                </c:pt>
                <c:pt idx="3">
                  <c:v>520</c:v>
                </c:pt>
                <c:pt idx="4">
                  <c:v>500</c:v>
                </c:pt>
                <c:pt idx="5">
                  <c:v>534</c:v>
                </c:pt>
                <c:pt idx="6">
                  <c:v>488</c:v>
                </c:pt>
                <c:pt idx="7">
                  <c:v>489</c:v>
                </c:pt>
                <c:pt idx="8">
                  <c:v>490</c:v>
                </c:pt>
                <c:pt idx="9">
                  <c:v>511</c:v>
                </c:pt>
                <c:pt idx="10">
                  <c:v>521</c:v>
                </c:pt>
                <c:pt idx="11">
                  <c:v>513</c:v>
                </c:pt>
                <c:pt idx="12">
                  <c:v>508</c:v>
                </c:pt>
                <c:pt idx="13">
                  <c:v>527</c:v>
                </c:pt>
                <c:pt idx="14">
                  <c:v>565</c:v>
                </c:pt>
                <c:pt idx="15">
                  <c:v>492</c:v>
                </c:pt>
                <c:pt idx="16">
                  <c:v>508</c:v>
                </c:pt>
                <c:pt idx="17">
                  <c:v>490</c:v>
                </c:pt>
                <c:pt idx="18">
                  <c:v>464</c:v>
                </c:pt>
                <c:pt idx="19">
                  <c:v>549</c:v>
                </c:pt>
                <c:pt idx="20">
                  <c:v>489</c:v>
                </c:pt>
                <c:pt idx="21">
                  <c:v>514</c:v>
                </c:pt>
                <c:pt idx="22">
                  <c:v>504</c:v>
                </c:pt>
                <c:pt idx="23">
                  <c:v>515</c:v>
                </c:pt>
                <c:pt idx="24">
                  <c:v>545</c:v>
                </c:pt>
                <c:pt idx="25">
                  <c:v>496</c:v>
                </c:pt>
                <c:pt idx="26">
                  <c:v>492</c:v>
                </c:pt>
                <c:pt idx="27">
                  <c:v>535</c:v>
                </c:pt>
                <c:pt idx="28">
                  <c:v>514</c:v>
                </c:pt>
                <c:pt idx="29">
                  <c:v>527</c:v>
                </c:pt>
                <c:pt idx="30">
                  <c:v>481</c:v>
                </c:pt>
                <c:pt idx="31">
                  <c:v>499</c:v>
                </c:pt>
                <c:pt idx="32">
                  <c:v>487</c:v>
                </c:pt>
                <c:pt idx="33">
                  <c:v>528</c:v>
                </c:pt>
                <c:pt idx="34">
                  <c:v>479</c:v>
                </c:pt>
                <c:pt idx="35">
                  <c:v>486</c:v>
                </c:pt>
                <c:pt idx="36">
                  <c:v>476</c:v>
                </c:pt>
                <c:pt idx="37">
                  <c:v>519</c:v>
                </c:pt>
                <c:pt idx="38">
                  <c:v>526</c:v>
                </c:pt>
                <c:pt idx="39">
                  <c:v>487</c:v>
                </c:pt>
                <c:pt idx="40">
                  <c:v>510</c:v>
                </c:pt>
                <c:pt idx="41">
                  <c:v>485</c:v>
                </c:pt>
                <c:pt idx="42">
                  <c:v>436</c:v>
                </c:pt>
                <c:pt idx="43">
                  <c:v>485</c:v>
                </c:pt>
                <c:pt idx="44">
                  <c:v>521</c:v>
                </c:pt>
                <c:pt idx="45">
                  <c:v>488</c:v>
                </c:pt>
                <c:pt idx="46">
                  <c:v>482</c:v>
                </c:pt>
                <c:pt idx="47">
                  <c:v>478</c:v>
                </c:pt>
                <c:pt idx="48">
                  <c:v>528</c:v>
                </c:pt>
                <c:pt idx="49">
                  <c:v>477</c:v>
                </c:pt>
                <c:pt idx="50">
                  <c:v>501</c:v>
                </c:pt>
                <c:pt idx="51">
                  <c:v>511</c:v>
                </c:pt>
                <c:pt idx="52">
                  <c:v>495</c:v>
                </c:pt>
                <c:pt idx="53">
                  <c:v>476</c:v>
                </c:pt>
                <c:pt idx="54">
                  <c:v>519</c:v>
                </c:pt>
                <c:pt idx="55">
                  <c:v>475</c:v>
                </c:pt>
                <c:pt idx="56">
                  <c:v>475</c:v>
                </c:pt>
                <c:pt idx="57">
                  <c:v>499</c:v>
                </c:pt>
                <c:pt idx="58">
                  <c:v>512</c:v>
                </c:pt>
                <c:pt idx="59">
                  <c:v>440</c:v>
                </c:pt>
                <c:pt idx="60">
                  <c:v>531</c:v>
                </c:pt>
                <c:pt idx="61">
                  <c:v>493</c:v>
                </c:pt>
                <c:pt idx="62">
                  <c:v>508</c:v>
                </c:pt>
                <c:pt idx="63">
                  <c:v>474</c:v>
                </c:pt>
                <c:pt idx="64">
                  <c:v>523</c:v>
                </c:pt>
                <c:pt idx="65">
                  <c:v>528</c:v>
                </c:pt>
                <c:pt idx="66">
                  <c:v>549</c:v>
                </c:pt>
                <c:pt idx="67">
                  <c:v>510</c:v>
                </c:pt>
                <c:pt idx="68">
                  <c:v>545</c:v>
                </c:pt>
                <c:pt idx="69">
                  <c:v>544</c:v>
                </c:pt>
                <c:pt idx="70">
                  <c:v>512</c:v>
                </c:pt>
                <c:pt idx="71">
                  <c:v>488</c:v>
                </c:pt>
                <c:pt idx="72">
                  <c:v>537</c:v>
                </c:pt>
                <c:pt idx="73">
                  <c:v>527</c:v>
                </c:pt>
                <c:pt idx="74">
                  <c:v>487</c:v>
                </c:pt>
                <c:pt idx="75">
                  <c:v>462</c:v>
                </c:pt>
                <c:pt idx="76">
                  <c:v>471</c:v>
                </c:pt>
                <c:pt idx="77">
                  <c:v>490</c:v>
                </c:pt>
                <c:pt idx="78">
                  <c:v>518</c:v>
                </c:pt>
                <c:pt idx="79">
                  <c:v>478</c:v>
                </c:pt>
                <c:pt idx="80">
                  <c:v>457</c:v>
                </c:pt>
                <c:pt idx="81">
                  <c:v>502</c:v>
                </c:pt>
                <c:pt idx="82">
                  <c:v>532</c:v>
                </c:pt>
                <c:pt idx="83">
                  <c:v>512</c:v>
                </c:pt>
                <c:pt idx="84">
                  <c:v>523</c:v>
                </c:pt>
                <c:pt idx="85">
                  <c:v>537</c:v>
                </c:pt>
                <c:pt idx="86">
                  <c:v>503</c:v>
                </c:pt>
                <c:pt idx="87">
                  <c:v>487</c:v>
                </c:pt>
                <c:pt idx="88">
                  <c:v>530</c:v>
                </c:pt>
                <c:pt idx="89">
                  <c:v>523</c:v>
                </c:pt>
                <c:pt idx="90">
                  <c:v>483</c:v>
                </c:pt>
                <c:pt idx="91">
                  <c:v>499</c:v>
                </c:pt>
                <c:pt idx="92">
                  <c:v>463</c:v>
                </c:pt>
                <c:pt idx="93">
                  <c:v>522</c:v>
                </c:pt>
                <c:pt idx="94">
                  <c:v>457</c:v>
                </c:pt>
                <c:pt idx="95">
                  <c:v>505</c:v>
                </c:pt>
                <c:pt idx="96">
                  <c:v>484</c:v>
                </c:pt>
                <c:pt idx="97">
                  <c:v>520</c:v>
                </c:pt>
                <c:pt idx="98">
                  <c:v>503</c:v>
                </c:pt>
                <c:pt idx="99">
                  <c:v>484</c:v>
                </c:pt>
                <c:pt idx="100">
                  <c:v>522</c:v>
                </c:pt>
                <c:pt idx="101">
                  <c:v>536</c:v>
                </c:pt>
                <c:pt idx="102">
                  <c:v>471</c:v>
                </c:pt>
                <c:pt idx="103">
                  <c:v>477</c:v>
                </c:pt>
                <c:pt idx="104">
                  <c:v>478</c:v>
                </c:pt>
                <c:pt idx="105">
                  <c:v>492</c:v>
                </c:pt>
                <c:pt idx="106">
                  <c:v>473</c:v>
                </c:pt>
                <c:pt idx="107">
                  <c:v>518</c:v>
                </c:pt>
                <c:pt idx="108">
                  <c:v>485</c:v>
                </c:pt>
                <c:pt idx="109">
                  <c:v>502</c:v>
                </c:pt>
                <c:pt idx="110">
                  <c:v>448</c:v>
                </c:pt>
                <c:pt idx="111">
                  <c:v>504</c:v>
                </c:pt>
                <c:pt idx="112">
                  <c:v>492</c:v>
                </c:pt>
                <c:pt idx="113">
                  <c:v>503</c:v>
                </c:pt>
                <c:pt idx="114">
                  <c:v>490</c:v>
                </c:pt>
                <c:pt idx="115">
                  <c:v>489</c:v>
                </c:pt>
                <c:pt idx="116">
                  <c:v>485</c:v>
                </c:pt>
                <c:pt idx="117">
                  <c:v>503</c:v>
                </c:pt>
                <c:pt idx="118">
                  <c:v>513</c:v>
                </c:pt>
                <c:pt idx="119">
                  <c:v>502</c:v>
                </c:pt>
                <c:pt idx="120">
                  <c:v>512</c:v>
                </c:pt>
                <c:pt idx="121">
                  <c:v>534</c:v>
                </c:pt>
                <c:pt idx="122">
                  <c:v>480</c:v>
                </c:pt>
                <c:pt idx="123">
                  <c:v>441</c:v>
                </c:pt>
                <c:pt idx="124">
                  <c:v>511</c:v>
                </c:pt>
                <c:pt idx="125">
                  <c:v>494</c:v>
                </c:pt>
                <c:pt idx="126">
                  <c:v>494</c:v>
                </c:pt>
                <c:pt idx="127">
                  <c:v>520</c:v>
                </c:pt>
                <c:pt idx="128">
                  <c:v>587</c:v>
                </c:pt>
                <c:pt idx="129">
                  <c:v>503</c:v>
                </c:pt>
                <c:pt idx="130">
                  <c:v>505</c:v>
                </c:pt>
                <c:pt idx="131">
                  <c:v>540</c:v>
                </c:pt>
                <c:pt idx="132">
                  <c:v>458</c:v>
                </c:pt>
                <c:pt idx="133">
                  <c:v>548</c:v>
                </c:pt>
                <c:pt idx="134">
                  <c:v>535</c:v>
                </c:pt>
                <c:pt idx="135">
                  <c:v>477</c:v>
                </c:pt>
                <c:pt idx="136">
                  <c:v>551</c:v>
                </c:pt>
                <c:pt idx="137">
                  <c:v>516</c:v>
                </c:pt>
                <c:pt idx="138">
                  <c:v>503</c:v>
                </c:pt>
                <c:pt idx="139">
                  <c:v>467</c:v>
                </c:pt>
                <c:pt idx="140">
                  <c:v>491</c:v>
                </c:pt>
                <c:pt idx="141">
                  <c:v>478</c:v>
                </c:pt>
                <c:pt idx="142">
                  <c:v>481</c:v>
                </c:pt>
                <c:pt idx="143">
                  <c:v>505</c:v>
                </c:pt>
                <c:pt idx="144">
                  <c:v>485</c:v>
                </c:pt>
                <c:pt idx="145">
                  <c:v>483</c:v>
                </c:pt>
                <c:pt idx="146">
                  <c:v>529</c:v>
                </c:pt>
                <c:pt idx="147">
                  <c:v>506</c:v>
                </c:pt>
                <c:pt idx="148">
                  <c:v>478</c:v>
                </c:pt>
                <c:pt idx="149">
                  <c:v>503</c:v>
                </c:pt>
                <c:pt idx="150">
                  <c:v>521</c:v>
                </c:pt>
                <c:pt idx="151">
                  <c:v>481</c:v>
                </c:pt>
                <c:pt idx="152">
                  <c:v>508</c:v>
                </c:pt>
                <c:pt idx="153">
                  <c:v>551</c:v>
                </c:pt>
                <c:pt idx="154">
                  <c:v>473</c:v>
                </c:pt>
                <c:pt idx="155">
                  <c:v>493</c:v>
                </c:pt>
                <c:pt idx="156">
                  <c:v>489</c:v>
                </c:pt>
                <c:pt idx="157">
                  <c:v>497</c:v>
                </c:pt>
                <c:pt idx="158">
                  <c:v>507</c:v>
                </c:pt>
                <c:pt idx="159">
                  <c:v>481</c:v>
                </c:pt>
                <c:pt idx="160">
                  <c:v>542</c:v>
                </c:pt>
                <c:pt idx="161">
                  <c:v>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73-42F1-A3B2-A02895F6811F}"/>
            </c:ext>
          </c:extLst>
        </c:ser>
        <c:ser>
          <c:idx val="1"/>
          <c:order val="1"/>
          <c:tx>
            <c:strRef>
              <c:f>Problem1!$F$5</c:f>
              <c:strCache>
                <c:ptCount val="1"/>
                <c:pt idx="0">
                  <c:v>Values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Problem1!$B$6:$B$169</c:f>
              <c:numCache>
                <c:formatCode>d\-mmm\-yy</c:formatCode>
                <c:ptCount val="162"/>
                <c:pt idx="0">
                  <c:v>41458</c:v>
                </c:pt>
                <c:pt idx="1">
                  <c:v>41459</c:v>
                </c:pt>
                <c:pt idx="2">
                  <c:v>41460</c:v>
                </c:pt>
                <c:pt idx="3">
                  <c:v>41461</c:v>
                </c:pt>
                <c:pt idx="4">
                  <c:v>41462</c:v>
                </c:pt>
                <c:pt idx="5">
                  <c:v>41463</c:v>
                </c:pt>
                <c:pt idx="6">
                  <c:v>41464</c:v>
                </c:pt>
                <c:pt idx="7">
                  <c:v>41465</c:v>
                </c:pt>
                <c:pt idx="8">
                  <c:v>41466</c:v>
                </c:pt>
                <c:pt idx="9">
                  <c:v>41467</c:v>
                </c:pt>
                <c:pt idx="10">
                  <c:v>41468</c:v>
                </c:pt>
                <c:pt idx="11">
                  <c:v>41469</c:v>
                </c:pt>
                <c:pt idx="12">
                  <c:v>41470</c:v>
                </c:pt>
                <c:pt idx="13">
                  <c:v>41471</c:v>
                </c:pt>
                <c:pt idx="14">
                  <c:v>41472</c:v>
                </c:pt>
                <c:pt idx="15">
                  <c:v>41473</c:v>
                </c:pt>
                <c:pt idx="16">
                  <c:v>41474</c:v>
                </c:pt>
                <c:pt idx="17">
                  <c:v>41475</c:v>
                </c:pt>
                <c:pt idx="18">
                  <c:v>41476</c:v>
                </c:pt>
                <c:pt idx="19">
                  <c:v>41477</c:v>
                </c:pt>
                <c:pt idx="20">
                  <c:v>41478</c:v>
                </c:pt>
                <c:pt idx="21">
                  <c:v>41479</c:v>
                </c:pt>
                <c:pt idx="22">
                  <c:v>41480</c:v>
                </c:pt>
                <c:pt idx="23">
                  <c:v>41481</c:v>
                </c:pt>
                <c:pt idx="24">
                  <c:v>41482</c:v>
                </c:pt>
                <c:pt idx="25">
                  <c:v>41483</c:v>
                </c:pt>
                <c:pt idx="26">
                  <c:v>41484</c:v>
                </c:pt>
                <c:pt idx="27">
                  <c:v>41485</c:v>
                </c:pt>
                <c:pt idx="28">
                  <c:v>41486</c:v>
                </c:pt>
                <c:pt idx="29">
                  <c:v>41487</c:v>
                </c:pt>
                <c:pt idx="30">
                  <c:v>41488</c:v>
                </c:pt>
                <c:pt idx="31">
                  <c:v>41489</c:v>
                </c:pt>
                <c:pt idx="32">
                  <c:v>41490</c:v>
                </c:pt>
                <c:pt idx="33">
                  <c:v>41491</c:v>
                </c:pt>
                <c:pt idx="34">
                  <c:v>41492</c:v>
                </c:pt>
                <c:pt idx="35">
                  <c:v>41493</c:v>
                </c:pt>
                <c:pt idx="36">
                  <c:v>41494</c:v>
                </c:pt>
                <c:pt idx="37">
                  <c:v>41495</c:v>
                </c:pt>
                <c:pt idx="38">
                  <c:v>41496</c:v>
                </c:pt>
                <c:pt idx="39">
                  <c:v>41497</c:v>
                </c:pt>
                <c:pt idx="40">
                  <c:v>41498</c:v>
                </c:pt>
                <c:pt idx="41">
                  <c:v>41499</c:v>
                </c:pt>
                <c:pt idx="42">
                  <c:v>41500</c:v>
                </c:pt>
                <c:pt idx="43">
                  <c:v>41501</c:v>
                </c:pt>
                <c:pt idx="44">
                  <c:v>41502</c:v>
                </c:pt>
                <c:pt idx="45">
                  <c:v>41503</c:v>
                </c:pt>
                <c:pt idx="46">
                  <c:v>41504</c:v>
                </c:pt>
                <c:pt idx="47">
                  <c:v>41505</c:v>
                </c:pt>
                <c:pt idx="48">
                  <c:v>41506</c:v>
                </c:pt>
                <c:pt idx="49">
                  <c:v>41507</c:v>
                </c:pt>
                <c:pt idx="50">
                  <c:v>41508</c:v>
                </c:pt>
                <c:pt idx="51">
                  <c:v>41509</c:v>
                </c:pt>
                <c:pt idx="52">
                  <c:v>41510</c:v>
                </c:pt>
                <c:pt idx="53">
                  <c:v>41511</c:v>
                </c:pt>
                <c:pt idx="54">
                  <c:v>41512</c:v>
                </c:pt>
                <c:pt idx="55">
                  <c:v>41513</c:v>
                </c:pt>
                <c:pt idx="56">
                  <c:v>41514</c:v>
                </c:pt>
                <c:pt idx="57">
                  <c:v>41515</c:v>
                </c:pt>
                <c:pt idx="58">
                  <c:v>41516</c:v>
                </c:pt>
                <c:pt idx="59">
                  <c:v>41517</c:v>
                </c:pt>
                <c:pt idx="60">
                  <c:v>41518</c:v>
                </c:pt>
                <c:pt idx="61">
                  <c:v>41519</c:v>
                </c:pt>
                <c:pt idx="62">
                  <c:v>41520</c:v>
                </c:pt>
                <c:pt idx="63">
                  <c:v>41521</c:v>
                </c:pt>
                <c:pt idx="64">
                  <c:v>41522</c:v>
                </c:pt>
                <c:pt idx="65">
                  <c:v>41523</c:v>
                </c:pt>
                <c:pt idx="66">
                  <c:v>41524</c:v>
                </c:pt>
                <c:pt idx="67">
                  <c:v>41525</c:v>
                </c:pt>
                <c:pt idx="68">
                  <c:v>41526</c:v>
                </c:pt>
                <c:pt idx="69">
                  <c:v>41527</c:v>
                </c:pt>
                <c:pt idx="70">
                  <c:v>41528</c:v>
                </c:pt>
                <c:pt idx="71">
                  <c:v>41529</c:v>
                </c:pt>
                <c:pt idx="72">
                  <c:v>41530</c:v>
                </c:pt>
                <c:pt idx="73">
                  <c:v>41531</c:v>
                </c:pt>
                <c:pt idx="74">
                  <c:v>41532</c:v>
                </c:pt>
                <c:pt idx="75">
                  <c:v>41533</c:v>
                </c:pt>
                <c:pt idx="76">
                  <c:v>41534</c:v>
                </c:pt>
                <c:pt idx="77">
                  <c:v>41535</c:v>
                </c:pt>
                <c:pt idx="78">
                  <c:v>41536</c:v>
                </c:pt>
                <c:pt idx="79">
                  <c:v>41537</c:v>
                </c:pt>
                <c:pt idx="80">
                  <c:v>41538</c:v>
                </c:pt>
                <c:pt idx="81">
                  <c:v>41539</c:v>
                </c:pt>
                <c:pt idx="82">
                  <c:v>41540</c:v>
                </c:pt>
                <c:pt idx="83">
                  <c:v>41541</c:v>
                </c:pt>
                <c:pt idx="84">
                  <c:v>41542</c:v>
                </c:pt>
                <c:pt idx="85">
                  <c:v>41543</c:v>
                </c:pt>
                <c:pt idx="86">
                  <c:v>41544</c:v>
                </c:pt>
                <c:pt idx="87">
                  <c:v>41545</c:v>
                </c:pt>
                <c:pt idx="88">
                  <c:v>41546</c:v>
                </c:pt>
                <c:pt idx="89">
                  <c:v>41547</c:v>
                </c:pt>
                <c:pt idx="90">
                  <c:v>41548</c:v>
                </c:pt>
                <c:pt idx="91">
                  <c:v>41549</c:v>
                </c:pt>
                <c:pt idx="92">
                  <c:v>41550</c:v>
                </c:pt>
                <c:pt idx="93">
                  <c:v>41551</c:v>
                </c:pt>
                <c:pt idx="94">
                  <c:v>41552</c:v>
                </c:pt>
                <c:pt idx="95">
                  <c:v>41553</c:v>
                </c:pt>
                <c:pt idx="96">
                  <c:v>41554</c:v>
                </c:pt>
                <c:pt idx="97">
                  <c:v>41555</c:v>
                </c:pt>
                <c:pt idx="98">
                  <c:v>41556</c:v>
                </c:pt>
                <c:pt idx="99">
                  <c:v>41557</c:v>
                </c:pt>
                <c:pt idx="100">
                  <c:v>41558</c:v>
                </c:pt>
                <c:pt idx="101">
                  <c:v>41559</c:v>
                </c:pt>
                <c:pt idx="102">
                  <c:v>41560</c:v>
                </c:pt>
                <c:pt idx="103">
                  <c:v>41561</c:v>
                </c:pt>
                <c:pt idx="104">
                  <c:v>41562</c:v>
                </c:pt>
                <c:pt idx="105">
                  <c:v>41563</c:v>
                </c:pt>
                <c:pt idx="106">
                  <c:v>41564</c:v>
                </c:pt>
                <c:pt idx="107">
                  <c:v>41565</c:v>
                </c:pt>
                <c:pt idx="108">
                  <c:v>41566</c:v>
                </c:pt>
                <c:pt idx="109">
                  <c:v>41567</c:v>
                </c:pt>
                <c:pt idx="110">
                  <c:v>41568</c:v>
                </c:pt>
                <c:pt idx="111">
                  <c:v>41569</c:v>
                </c:pt>
                <c:pt idx="112">
                  <c:v>41570</c:v>
                </c:pt>
                <c:pt idx="113">
                  <c:v>41571</c:v>
                </c:pt>
                <c:pt idx="114">
                  <c:v>41572</c:v>
                </c:pt>
                <c:pt idx="115">
                  <c:v>41573</c:v>
                </c:pt>
                <c:pt idx="116">
                  <c:v>41574</c:v>
                </c:pt>
                <c:pt idx="117">
                  <c:v>41575</c:v>
                </c:pt>
                <c:pt idx="118">
                  <c:v>41576</c:v>
                </c:pt>
                <c:pt idx="119">
                  <c:v>41577</c:v>
                </c:pt>
                <c:pt idx="120">
                  <c:v>41578</c:v>
                </c:pt>
                <c:pt idx="121">
                  <c:v>41579</c:v>
                </c:pt>
                <c:pt idx="122">
                  <c:v>41580</c:v>
                </c:pt>
                <c:pt idx="123">
                  <c:v>41581</c:v>
                </c:pt>
                <c:pt idx="124">
                  <c:v>41582</c:v>
                </c:pt>
                <c:pt idx="125">
                  <c:v>41583</c:v>
                </c:pt>
                <c:pt idx="126">
                  <c:v>41584</c:v>
                </c:pt>
                <c:pt idx="127">
                  <c:v>41585</c:v>
                </c:pt>
                <c:pt idx="128">
                  <c:v>41586</c:v>
                </c:pt>
                <c:pt idx="129">
                  <c:v>41587</c:v>
                </c:pt>
                <c:pt idx="130">
                  <c:v>41588</c:v>
                </c:pt>
                <c:pt idx="131">
                  <c:v>41589</c:v>
                </c:pt>
                <c:pt idx="132">
                  <c:v>41590</c:v>
                </c:pt>
                <c:pt idx="133">
                  <c:v>41591</c:v>
                </c:pt>
                <c:pt idx="134">
                  <c:v>41592</c:v>
                </c:pt>
                <c:pt idx="135">
                  <c:v>41593</c:v>
                </c:pt>
                <c:pt idx="136">
                  <c:v>41594</c:v>
                </c:pt>
                <c:pt idx="137">
                  <c:v>41595</c:v>
                </c:pt>
                <c:pt idx="138">
                  <c:v>41596</c:v>
                </c:pt>
                <c:pt idx="139">
                  <c:v>41597</c:v>
                </c:pt>
                <c:pt idx="140">
                  <c:v>41598</c:v>
                </c:pt>
                <c:pt idx="141">
                  <c:v>41599</c:v>
                </c:pt>
                <c:pt idx="142">
                  <c:v>41600</c:v>
                </c:pt>
                <c:pt idx="143">
                  <c:v>41601</c:v>
                </c:pt>
                <c:pt idx="144">
                  <c:v>41602</c:v>
                </c:pt>
                <c:pt idx="145">
                  <c:v>41603</c:v>
                </c:pt>
                <c:pt idx="146">
                  <c:v>41604</c:v>
                </c:pt>
                <c:pt idx="147">
                  <c:v>41605</c:v>
                </c:pt>
                <c:pt idx="148">
                  <c:v>41606</c:v>
                </c:pt>
                <c:pt idx="149">
                  <c:v>41607</c:v>
                </c:pt>
                <c:pt idx="150">
                  <c:v>41608</c:v>
                </c:pt>
                <c:pt idx="151">
                  <c:v>41609</c:v>
                </c:pt>
                <c:pt idx="152">
                  <c:v>41610</c:v>
                </c:pt>
                <c:pt idx="153">
                  <c:v>41611</c:v>
                </c:pt>
                <c:pt idx="154">
                  <c:v>41612</c:v>
                </c:pt>
                <c:pt idx="155">
                  <c:v>41613</c:v>
                </c:pt>
                <c:pt idx="156">
                  <c:v>41614</c:v>
                </c:pt>
                <c:pt idx="157">
                  <c:v>41615</c:v>
                </c:pt>
                <c:pt idx="158">
                  <c:v>41616</c:v>
                </c:pt>
                <c:pt idx="159">
                  <c:v>41617</c:v>
                </c:pt>
                <c:pt idx="160">
                  <c:v>41618</c:v>
                </c:pt>
                <c:pt idx="161">
                  <c:v>41619</c:v>
                </c:pt>
              </c:numCache>
            </c:numRef>
          </c:cat>
          <c:val>
            <c:numRef>
              <c:f>Problem1!$F$6:$F$169</c:f>
              <c:numCache>
                <c:formatCode>General</c:formatCode>
                <c:ptCount val="162"/>
                <c:pt idx="0">
                  <c:v>479</c:v>
                </c:pt>
                <c:pt idx="1">
                  <c:v>473</c:v>
                </c:pt>
                <c:pt idx="2">
                  <c:v>528</c:v>
                </c:pt>
                <c:pt idx="3">
                  <c:v>520</c:v>
                </c:pt>
                <c:pt idx="4">
                  <c:v>500</c:v>
                </c:pt>
                <c:pt idx="5">
                  <c:v>534</c:v>
                </c:pt>
                <c:pt idx="6">
                  <c:v>488</c:v>
                </c:pt>
                <c:pt idx="7">
                  <c:v>489</c:v>
                </c:pt>
                <c:pt idx="8">
                  <c:v>490</c:v>
                </c:pt>
                <c:pt idx="9">
                  <c:v>511</c:v>
                </c:pt>
                <c:pt idx="10">
                  <c:v>521</c:v>
                </c:pt>
                <c:pt idx="11">
                  <c:v>513</c:v>
                </c:pt>
                <c:pt idx="12">
                  <c:v>508</c:v>
                </c:pt>
                <c:pt idx="13">
                  <c:v>527</c:v>
                </c:pt>
                <c:pt idx="14">
                  <c:v>565</c:v>
                </c:pt>
                <c:pt idx="15">
                  <c:v>492</c:v>
                </c:pt>
                <c:pt idx="16">
                  <c:v>508</c:v>
                </c:pt>
                <c:pt idx="17">
                  <c:v>490</c:v>
                </c:pt>
                <c:pt idx="18">
                  <c:v>464</c:v>
                </c:pt>
                <c:pt idx="19">
                  <c:v>549</c:v>
                </c:pt>
                <c:pt idx="20">
                  <c:v>489</c:v>
                </c:pt>
                <c:pt idx="21">
                  <c:v>514</c:v>
                </c:pt>
                <c:pt idx="22">
                  <c:v>504</c:v>
                </c:pt>
                <c:pt idx="23">
                  <c:v>515</c:v>
                </c:pt>
                <c:pt idx="24">
                  <c:v>545</c:v>
                </c:pt>
                <c:pt idx="25">
                  <c:v>496</c:v>
                </c:pt>
                <c:pt idx="26">
                  <c:v>492</c:v>
                </c:pt>
                <c:pt idx="27">
                  <c:v>535</c:v>
                </c:pt>
                <c:pt idx="28">
                  <c:v>514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73-42F1-A3B2-A02895F68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523248"/>
        <c:axId val="1722523728"/>
      </c:lineChart>
      <c:dateAx>
        <c:axId val="172252324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523728"/>
        <c:crosses val="autoZero"/>
        <c:auto val="1"/>
        <c:lblOffset val="100"/>
        <c:baseTimeUnit val="days"/>
      </c:dateAx>
      <c:valAx>
        <c:axId val="17225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5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Sales</a:t>
            </a:r>
            <a:r>
              <a:rPr lang="en-IN" baseline="0"/>
              <a:t> in Minimum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 1'!$C$5</c:f>
              <c:strCache>
                <c:ptCount val="1"/>
                <c:pt idx="0">
                  <c:v>Value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'Problem 1'!$B$6:$B$169</c:f>
              <c:numCache>
                <c:formatCode>d\-mmm\-yy</c:formatCode>
                <c:ptCount val="164"/>
                <c:pt idx="0">
                  <c:v>41612</c:v>
                </c:pt>
                <c:pt idx="1">
                  <c:v>41609</c:v>
                </c:pt>
                <c:pt idx="2">
                  <c:v>41617</c:v>
                </c:pt>
                <c:pt idx="3">
                  <c:v>41614</c:v>
                </c:pt>
                <c:pt idx="4">
                  <c:v>41613</c:v>
                </c:pt>
                <c:pt idx="5">
                  <c:v>41615</c:v>
                </c:pt>
                <c:pt idx="6">
                  <c:v>41616</c:v>
                </c:pt>
                <c:pt idx="7">
                  <c:v>41610</c:v>
                </c:pt>
                <c:pt idx="8">
                  <c:v>41619</c:v>
                </c:pt>
                <c:pt idx="9">
                  <c:v>41618</c:v>
                </c:pt>
                <c:pt idx="10">
                  <c:v>41611</c:v>
                </c:pt>
                <c:pt idx="11">
                  <c:v>41476</c:v>
                </c:pt>
                <c:pt idx="12">
                  <c:v>41459</c:v>
                </c:pt>
                <c:pt idx="13">
                  <c:v>41456</c:v>
                </c:pt>
                <c:pt idx="14">
                  <c:v>41458</c:v>
                </c:pt>
                <c:pt idx="15">
                  <c:v>41464</c:v>
                </c:pt>
                <c:pt idx="16">
                  <c:v>41465</c:v>
                </c:pt>
                <c:pt idx="17">
                  <c:v>41478</c:v>
                </c:pt>
                <c:pt idx="18">
                  <c:v>41466</c:v>
                </c:pt>
                <c:pt idx="19">
                  <c:v>41475</c:v>
                </c:pt>
                <c:pt idx="20">
                  <c:v>41473</c:v>
                </c:pt>
                <c:pt idx="21">
                  <c:v>41484</c:v>
                </c:pt>
                <c:pt idx="22">
                  <c:v>41483</c:v>
                </c:pt>
                <c:pt idx="23">
                  <c:v>41462</c:v>
                </c:pt>
                <c:pt idx="24">
                  <c:v>41480</c:v>
                </c:pt>
                <c:pt idx="25">
                  <c:v>41470</c:v>
                </c:pt>
                <c:pt idx="26">
                  <c:v>41474</c:v>
                </c:pt>
                <c:pt idx="27">
                  <c:v>41457</c:v>
                </c:pt>
                <c:pt idx="28">
                  <c:v>41467</c:v>
                </c:pt>
                <c:pt idx="29">
                  <c:v>41469</c:v>
                </c:pt>
                <c:pt idx="30">
                  <c:v>41479</c:v>
                </c:pt>
                <c:pt idx="31">
                  <c:v>41486</c:v>
                </c:pt>
                <c:pt idx="32">
                  <c:v>41481</c:v>
                </c:pt>
                <c:pt idx="33">
                  <c:v>41461</c:v>
                </c:pt>
                <c:pt idx="34">
                  <c:v>41468</c:v>
                </c:pt>
                <c:pt idx="35">
                  <c:v>41471</c:v>
                </c:pt>
                <c:pt idx="36">
                  <c:v>41460</c:v>
                </c:pt>
                <c:pt idx="37">
                  <c:v>41463</c:v>
                </c:pt>
                <c:pt idx="38">
                  <c:v>41485</c:v>
                </c:pt>
                <c:pt idx="39">
                  <c:v>41482</c:v>
                </c:pt>
                <c:pt idx="40">
                  <c:v>41477</c:v>
                </c:pt>
                <c:pt idx="41">
                  <c:v>41472</c:v>
                </c:pt>
                <c:pt idx="42">
                  <c:v>41487</c:v>
                </c:pt>
                <c:pt idx="43">
                  <c:v>41488</c:v>
                </c:pt>
                <c:pt idx="44">
                  <c:v>41489</c:v>
                </c:pt>
                <c:pt idx="45">
                  <c:v>41490</c:v>
                </c:pt>
                <c:pt idx="46">
                  <c:v>41491</c:v>
                </c:pt>
                <c:pt idx="47">
                  <c:v>41492</c:v>
                </c:pt>
                <c:pt idx="48">
                  <c:v>41493</c:v>
                </c:pt>
                <c:pt idx="49">
                  <c:v>41494</c:v>
                </c:pt>
                <c:pt idx="50">
                  <c:v>41495</c:v>
                </c:pt>
                <c:pt idx="51">
                  <c:v>41496</c:v>
                </c:pt>
                <c:pt idx="52">
                  <c:v>41497</c:v>
                </c:pt>
                <c:pt idx="53">
                  <c:v>41498</c:v>
                </c:pt>
                <c:pt idx="54">
                  <c:v>41499</c:v>
                </c:pt>
                <c:pt idx="55">
                  <c:v>41500</c:v>
                </c:pt>
                <c:pt idx="56">
                  <c:v>41501</c:v>
                </c:pt>
                <c:pt idx="57">
                  <c:v>41502</c:v>
                </c:pt>
                <c:pt idx="58">
                  <c:v>41503</c:v>
                </c:pt>
                <c:pt idx="59">
                  <c:v>41504</c:v>
                </c:pt>
                <c:pt idx="60">
                  <c:v>41505</c:v>
                </c:pt>
                <c:pt idx="61">
                  <c:v>41506</c:v>
                </c:pt>
                <c:pt idx="62">
                  <c:v>41507</c:v>
                </c:pt>
                <c:pt idx="63">
                  <c:v>41508</c:v>
                </c:pt>
                <c:pt idx="64">
                  <c:v>41509</c:v>
                </c:pt>
                <c:pt idx="65">
                  <c:v>41510</c:v>
                </c:pt>
                <c:pt idx="66">
                  <c:v>41511</c:v>
                </c:pt>
                <c:pt idx="67">
                  <c:v>41512</c:v>
                </c:pt>
                <c:pt idx="68">
                  <c:v>41513</c:v>
                </c:pt>
                <c:pt idx="69">
                  <c:v>41514</c:v>
                </c:pt>
                <c:pt idx="70">
                  <c:v>41515</c:v>
                </c:pt>
                <c:pt idx="71">
                  <c:v>41516</c:v>
                </c:pt>
                <c:pt idx="72">
                  <c:v>41517</c:v>
                </c:pt>
                <c:pt idx="73">
                  <c:v>41518</c:v>
                </c:pt>
                <c:pt idx="74">
                  <c:v>41519</c:v>
                </c:pt>
                <c:pt idx="75">
                  <c:v>41520</c:v>
                </c:pt>
                <c:pt idx="76">
                  <c:v>41521</c:v>
                </c:pt>
                <c:pt idx="77">
                  <c:v>41522</c:v>
                </c:pt>
                <c:pt idx="78">
                  <c:v>41523</c:v>
                </c:pt>
                <c:pt idx="79">
                  <c:v>41524</c:v>
                </c:pt>
                <c:pt idx="80">
                  <c:v>41525</c:v>
                </c:pt>
                <c:pt idx="81">
                  <c:v>41526</c:v>
                </c:pt>
                <c:pt idx="82">
                  <c:v>41527</c:v>
                </c:pt>
                <c:pt idx="83">
                  <c:v>41528</c:v>
                </c:pt>
                <c:pt idx="84">
                  <c:v>41529</c:v>
                </c:pt>
                <c:pt idx="85">
                  <c:v>41530</c:v>
                </c:pt>
                <c:pt idx="86">
                  <c:v>41531</c:v>
                </c:pt>
                <c:pt idx="87">
                  <c:v>41532</c:v>
                </c:pt>
                <c:pt idx="88">
                  <c:v>41533</c:v>
                </c:pt>
                <c:pt idx="89">
                  <c:v>41534</c:v>
                </c:pt>
                <c:pt idx="90">
                  <c:v>41535</c:v>
                </c:pt>
                <c:pt idx="91">
                  <c:v>41536</c:v>
                </c:pt>
                <c:pt idx="92">
                  <c:v>41537</c:v>
                </c:pt>
                <c:pt idx="93">
                  <c:v>41538</c:v>
                </c:pt>
                <c:pt idx="94">
                  <c:v>41539</c:v>
                </c:pt>
                <c:pt idx="95">
                  <c:v>41540</c:v>
                </c:pt>
                <c:pt idx="96">
                  <c:v>41541</c:v>
                </c:pt>
                <c:pt idx="97">
                  <c:v>41542</c:v>
                </c:pt>
                <c:pt idx="98">
                  <c:v>41543</c:v>
                </c:pt>
                <c:pt idx="99">
                  <c:v>41544</c:v>
                </c:pt>
                <c:pt idx="100">
                  <c:v>41545</c:v>
                </c:pt>
                <c:pt idx="101">
                  <c:v>41546</c:v>
                </c:pt>
                <c:pt idx="102">
                  <c:v>41547</c:v>
                </c:pt>
                <c:pt idx="103">
                  <c:v>41548</c:v>
                </c:pt>
                <c:pt idx="104">
                  <c:v>41549</c:v>
                </c:pt>
                <c:pt idx="105">
                  <c:v>41550</c:v>
                </c:pt>
                <c:pt idx="106">
                  <c:v>41551</c:v>
                </c:pt>
                <c:pt idx="107">
                  <c:v>41552</c:v>
                </c:pt>
                <c:pt idx="108">
                  <c:v>41553</c:v>
                </c:pt>
                <c:pt idx="109">
                  <c:v>41554</c:v>
                </c:pt>
                <c:pt idx="110">
                  <c:v>41555</c:v>
                </c:pt>
                <c:pt idx="111">
                  <c:v>41556</c:v>
                </c:pt>
                <c:pt idx="112">
                  <c:v>41557</c:v>
                </c:pt>
                <c:pt idx="113">
                  <c:v>41558</c:v>
                </c:pt>
                <c:pt idx="114">
                  <c:v>41559</c:v>
                </c:pt>
                <c:pt idx="115">
                  <c:v>41560</c:v>
                </c:pt>
                <c:pt idx="116">
                  <c:v>41561</c:v>
                </c:pt>
                <c:pt idx="117">
                  <c:v>41562</c:v>
                </c:pt>
                <c:pt idx="118">
                  <c:v>41563</c:v>
                </c:pt>
                <c:pt idx="119">
                  <c:v>41564</c:v>
                </c:pt>
                <c:pt idx="120">
                  <c:v>41565</c:v>
                </c:pt>
                <c:pt idx="121">
                  <c:v>41566</c:v>
                </c:pt>
                <c:pt idx="122">
                  <c:v>41567</c:v>
                </c:pt>
                <c:pt idx="123">
                  <c:v>41568</c:v>
                </c:pt>
                <c:pt idx="124">
                  <c:v>41569</c:v>
                </c:pt>
                <c:pt idx="125">
                  <c:v>41570</c:v>
                </c:pt>
                <c:pt idx="126">
                  <c:v>41571</c:v>
                </c:pt>
                <c:pt idx="127">
                  <c:v>41572</c:v>
                </c:pt>
                <c:pt idx="128">
                  <c:v>41573</c:v>
                </c:pt>
                <c:pt idx="129">
                  <c:v>41574</c:v>
                </c:pt>
                <c:pt idx="130">
                  <c:v>41575</c:v>
                </c:pt>
                <c:pt idx="131">
                  <c:v>41576</c:v>
                </c:pt>
                <c:pt idx="132">
                  <c:v>41577</c:v>
                </c:pt>
                <c:pt idx="133">
                  <c:v>41578</c:v>
                </c:pt>
                <c:pt idx="134">
                  <c:v>41579</c:v>
                </c:pt>
                <c:pt idx="135">
                  <c:v>41580</c:v>
                </c:pt>
                <c:pt idx="136">
                  <c:v>41581</c:v>
                </c:pt>
                <c:pt idx="137">
                  <c:v>41582</c:v>
                </c:pt>
                <c:pt idx="138">
                  <c:v>41583</c:v>
                </c:pt>
                <c:pt idx="139">
                  <c:v>41584</c:v>
                </c:pt>
                <c:pt idx="140">
                  <c:v>41585</c:v>
                </c:pt>
                <c:pt idx="141">
                  <c:v>41586</c:v>
                </c:pt>
                <c:pt idx="142">
                  <c:v>41587</c:v>
                </c:pt>
                <c:pt idx="143">
                  <c:v>41588</c:v>
                </c:pt>
                <c:pt idx="144">
                  <c:v>41589</c:v>
                </c:pt>
                <c:pt idx="145">
                  <c:v>41590</c:v>
                </c:pt>
                <c:pt idx="146">
                  <c:v>41591</c:v>
                </c:pt>
                <c:pt idx="147">
                  <c:v>41592</c:v>
                </c:pt>
                <c:pt idx="148">
                  <c:v>41593</c:v>
                </c:pt>
                <c:pt idx="149">
                  <c:v>41594</c:v>
                </c:pt>
                <c:pt idx="150">
                  <c:v>41595</c:v>
                </c:pt>
                <c:pt idx="151">
                  <c:v>41596</c:v>
                </c:pt>
                <c:pt idx="152">
                  <c:v>41597</c:v>
                </c:pt>
                <c:pt idx="153">
                  <c:v>41598</c:v>
                </c:pt>
                <c:pt idx="154">
                  <c:v>41599</c:v>
                </c:pt>
                <c:pt idx="155">
                  <c:v>41600</c:v>
                </c:pt>
                <c:pt idx="156">
                  <c:v>41601</c:v>
                </c:pt>
                <c:pt idx="157">
                  <c:v>41602</c:v>
                </c:pt>
                <c:pt idx="158">
                  <c:v>41603</c:v>
                </c:pt>
                <c:pt idx="159">
                  <c:v>41604</c:v>
                </c:pt>
                <c:pt idx="160">
                  <c:v>41605</c:v>
                </c:pt>
                <c:pt idx="161">
                  <c:v>41606</c:v>
                </c:pt>
                <c:pt idx="162">
                  <c:v>41607</c:v>
                </c:pt>
                <c:pt idx="163">
                  <c:v>41608</c:v>
                </c:pt>
              </c:numCache>
            </c:numRef>
          </c:cat>
          <c:val>
            <c:numRef>
              <c:f>'Problem 1'!$C$6:$C$169</c:f>
              <c:numCache>
                <c:formatCode>_("$"* #,##0_);_("$"* \(#,##0\);_("$"* "-"??_);_(@_)</c:formatCode>
                <c:ptCount val="164"/>
                <c:pt idx="0">
                  <c:v>473</c:v>
                </c:pt>
                <c:pt idx="1">
                  <c:v>481</c:v>
                </c:pt>
                <c:pt idx="2">
                  <c:v>481</c:v>
                </c:pt>
                <c:pt idx="3">
                  <c:v>489</c:v>
                </c:pt>
                <c:pt idx="4">
                  <c:v>493</c:v>
                </c:pt>
                <c:pt idx="5">
                  <c:v>497</c:v>
                </c:pt>
                <c:pt idx="6">
                  <c:v>507</c:v>
                </c:pt>
                <c:pt idx="7">
                  <c:v>508</c:v>
                </c:pt>
                <c:pt idx="8">
                  <c:v>521</c:v>
                </c:pt>
                <c:pt idx="9">
                  <c:v>542</c:v>
                </c:pt>
                <c:pt idx="10">
                  <c:v>551</c:v>
                </c:pt>
                <c:pt idx="11">
                  <c:v>464</c:v>
                </c:pt>
                <c:pt idx="12">
                  <c:v>473</c:v>
                </c:pt>
                <c:pt idx="13">
                  <c:v>475</c:v>
                </c:pt>
                <c:pt idx="14">
                  <c:v>479</c:v>
                </c:pt>
                <c:pt idx="15">
                  <c:v>488</c:v>
                </c:pt>
                <c:pt idx="16">
                  <c:v>489</c:v>
                </c:pt>
                <c:pt idx="17">
                  <c:v>489</c:v>
                </c:pt>
                <c:pt idx="18">
                  <c:v>490</c:v>
                </c:pt>
                <c:pt idx="19">
                  <c:v>490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500</c:v>
                </c:pt>
                <c:pt idx="24">
                  <c:v>504</c:v>
                </c:pt>
                <c:pt idx="25">
                  <c:v>508</c:v>
                </c:pt>
                <c:pt idx="26">
                  <c:v>508</c:v>
                </c:pt>
                <c:pt idx="27">
                  <c:v>509</c:v>
                </c:pt>
                <c:pt idx="28">
                  <c:v>511</c:v>
                </c:pt>
                <c:pt idx="29">
                  <c:v>513</c:v>
                </c:pt>
                <c:pt idx="30">
                  <c:v>514</c:v>
                </c:pt>
                <c:pt idx="31">
                  <c:v>514</c:v>
                </c:pt>
                <c:pt idx="32">
                  <c:v>515</c:v>
                </c:pt>
                <c:pt idx="33">
                  <c:v>520</c:v>
                </c:pt>
                <c:pt idx="34">
                  <c:v>521</c:v>
                </c:pt>
                <c:pt idx="35">
                  <c:v>527</c:v>
                </c:pt>
                <c:pt idx="36">
                  <c:v>528</c:v>
                </c:pt>
                <c:pt idx="37">
                  <c:v>534</c:v>
                </c:pt>
                <c:pt idx="38">
                  <c:v>535</c:v>
                </c:pt>
                <c:pt idx="39">
                  <c:v>545</c:v>
                </c:pt>
                <c:pt idx="40">
                  <c:v>549</c:v>
                </c:pt>
                <c:pt idx="41">
                  <c:v>565</c:v>
                </c:pt>
                <c:pt idx="42">
                  <c:v>527</c:v>
                </c:pt>
                <c:pt idx="43">
                  <c:v>481</c:v>
                </c:pt>
                <c:pt idx="44">
                  <c:v>499</c:v>
                </c:pt>
                <c:pt idx="45">
                  <c:v>487</c:v>
                </c:pt>
                <c:pt idx="46">
                  <c:v>528</c:v>
                </c:pt>
                <c:pt idx="47">
                  <c:v>479</c:v>
                </c:pt>
                <c:pt idx="48">
                  <c:v>486</c:v>
                </c:pt>
                <c:pt idx="49">
                  <c:v>476</c:v>
                </c:pt>
                <c:pt idx="50">
                  <c:v>519</c:v>
                </c:pt>
                <c:pt idx="51">
                  <c:v>526</c:v>
                </c:pt>
                <c:pt idx="52">
                  <c:v>487</c:v>
                </c:pt>
                <c:pt idx="53">
                  <c:v>510</c:v>
                </c:pt>
                <c:pt idx="54">
                  <c:v>485</c:v>
                </c:pt>
                <c:pt idx="55">
                  <c:v>436</c:v>
                </c:pt>
                <c:pt idx="56">
                  <c:v>485</c:v>
                </c:pt>
                <c:pt idx="57">
                  <c:v>521</c:v>
                </c:pt>
                <c:pt idx="58">
                  <c:v>488</c:v>
                </c:pt>
                <c:pt idx="59">
                  <c:v>482</c:v>
                </c:pt>
                <c:pt idx="60">
                  <c:v>478</c:v>
                </c:pt>
                <c:pt idx="61">
                  <c:v>528</c:v>
                </c:pt>
                <c:pt idx="62">
                  <c:v>477</c:v>
                </c:pt>
                <c:pt idx="63">
                  <c:v>501</c:v>
                </c:pt>
                <c:pt idx="64">
                  <c:v>511</c:v>
                </c:pt>
                <c:pt idx="65">
                  <c:v>495</c:v>
                </c:pt>
                <c:pt idx="66">
                  <c:v>476</c:v>
                </c:pt>
                <c:pt idx="67">
                  <c:v>519</c:v>
                </c:pt>
                <c:pt idx="68">
                  <c:v>475</c:v>
                </c:pt>
                <c:pt idx="69">
                  <c:v>475</c:v>
                </c:pt>
                <c:pt idx="70">
                  <c:v>499</c:v>
                </c:pt>
                <c:pt idx="71">
                  <c:v>512</c:v>
                </c:pt>
                <c:pt idx="72">
                  <c:v>440</c:v>
                </c:pt>
                <c:pt idx="73">
                  <c:v>531</c:v>
                </c:pt>
                <c:pt idx="74">
                  <c:v>493</c:v>
                </c:pt>
                <c:pt idx="75">
                  <c:v>508</c:v>
                </c:pt>
                <c:pt idx="76">
                  <c:v>474</c:v>
                </c:pt>
                <c:pt idx="77">
                  <c:v>523</c:v>
                </c:pt>
                <c:pt idx="78">
                  <c:v>528</c:v>
                </c:pt>
                <c:pt idx="79">
                  <c:v>549</c:v>
                </c:pt>
                <c:pt idx="80">
                  <c:v>510</c:v>
                </c:pt>
                <c:pt idx="81">
                  <c:v>545</c:v>
                </c:pt>
                <c:pt idx="82">
                  <c:v>544</c:v>
                </c:pt>
                <c:pt idx="83">
                  <c:v>512</c:v>
                </c:pt>
                <c:pt idx="84">
                  <c:v>488</c:v>
                </c:pt>
                <c:pt idx="85">
                  <c:v>537</c:v>
                </c:pt>
                <c:pt idx="86">
                  <c:v>527</c:v>
                </c:pt>
                <c:pt idx="87">
                  <c:v>487</c:v>
                </c:pt>
                <c:pt idx="88">
                  <c:v>462</c:v>
                </c:pt>
                <c:pt idx="89">
                  <c:v>471</c:v>
                </c:pt>
                <c:pt idx="90">
                  <c:v>490</c:v>
                </c:pt>
                <c:pt idx="91">
                  <c:v>518</c:v>
                </c:pt>
                <c:pt idx="92">
                  <c:v>478</c:v>
                </c:pt>
                <c:pt idx="93">
                  <c:v>457</c:v>
                </c:pt>
                <c:pt idx="94">
                  <c:v>502</c:v>
                </c:pt>
                <c:pt idx="95">
                  <c:v>532</c:v>
                </c:pt>
                <c:pt idx="96">
                  <c:v>512</c:v>
                </c:pt>
                <c:pt idx="97">
                  <c:v>523</c:v>
                </c:pt>
                <c:pt idx="98">
                  <c:v>537</c:v>
                </c:pt>
                <c:pt idx="99">
                  <c:v>503</c:v>
                </c:pt>
                <c:pt idx="100">
                  <c:v>487</c:v>
                </c:pt>
                <c:pt idx="101">
                  <c:v>530</c:v>
                </c:pt>
                <c:pt idx="102">
                  <c:v>523</c:v>
                </c:pt>
                <c:pt idx="103">
                  <c:v>483</c:v>
                </c:pt>
                <c:pt idx="104">
                  <c:v>499</c:v>
                </c:pt>
                <c:pt idx="105">
                  <c:v>463</c:v>
                </c:pt>
                <c:pt idx="106">
                  <c:v>522</c:v>
                </c:pt>
                <c:pt idx="107">
                  <c:v>457</c:v>
                </c:pt>
                <c:pt idx="108">
                  <c:v>505</c:v>
                </c:pt>
                <c:pt idx="109">
                  <c:v>484</c:v>
                </c:pt>
                <c:pt idx="110">
                  <c:v>520</c:v>
                </c:pt>
                <c:pt idx="111">
                  <c:v>503</c:v>
                </c:pt>
                <c:pt idx="112">
                  <c:v>484</c:v>
                </c:pt>
                <c:pt idx="113">
                  <c:v>522</c:v>
                </c:pt>
                <c:pt idx="114">
                  <c:v>536</c:v>
                </c:pt>
                <c:pt idx="115">
                  <c:v>471</c:v>
                </c:pt>
                <c:pt idx="116">
                  <c:v>477</c:v>
                </c:pt>
                <c:pt idx="117">
                  <c:v>478</c:v>
                </c:pt>
                <c:pt idx="118">
                  <c:v>492</c:v>
                </c:pt>
                <c:pt idx="119">
                  <c:v>473</c:v>
                </c:pt>
                <c:pt idx="120">
                  <c:v>518</c:v>
                </c:pt>
                <c:pt idx="121">
                  <c:v>485</c:v>
                </c:pt>
                <c:pt idx="122">
                  <c:v>502</c:v>
                </c:pt>
                <c:pt idx="123">
                  <c:v>448</c:v>
                </c:pt>
                <c:pt idx="124">
                  <c:v>504</c:v>
                </c:pt>
                <c:pt idx="125">
                  <c:v>492</c:v>
                </c:pt>
                <c:pt idx="126">
                  <c:v>503</c:v>
                </c:pt>
                <c:pt idx="127">
                  <c:v>490</c:v>
                </c:pt>
                <c:pt idx="128">
                  <c:v>489</c:v>
                </c:pt>
                <c:pt idx="129">
                  <c:v>485</c:v>
                </c:pt>
                <c:pt idx="130">
                  <c:v>503</c:v>
                </c:pt>
                <c:pt idx="131">
                  <c:v>513</c:v>
                </c:pt>
                <c:pt idx="132">
                  <c:v>502</c:v>
                </c:pt>
                <c:pt idx="133">
                  <c:v>512</c:v>
                </c:pt>
                <c:pt idx="134">
                  <c:v>534</c:v>
                </c:pt>
                <c:pt idx="135">
                  <c:v>480</c:v>
                </c:pt>
                <c:pt idx="136">
                  <c:v>441</c:v>
                </c:pt>
                <c:pt idx="137">
                  <c:v>511</c:v>
                </c:pt>
                <c:pt idx="138">
                  <c:v>494</c:v>
                </c:pt>
                <c:pt idx="139">
                  <c:v>494</c:v>
                </c:pt>
                <c:pt idx="140">
                  <c:v>520</c:v>
                </c:pt>
                <c:pt idx="141">
                  <c:v>587</c:v>
                </c:pt>
                <c:pt idx="142">
                  <c:v>503</c:v>
                </c:pt>
                <c:pt idx="143">
                  <c:v>505</c:v>
                </c:pt>
                <c:pt idx="144">
                  <c:v>540</c:v>
                </c:pt>
                <c:pt idx="145">
                  <c:v>458</c:v>
                </c:pt>
                <c:pt idx="146">
                  <c:v>548</c:v>
                </c:pt>
                <c:pt idx="147">
                  <c:v>535</c:v>
                </c:pt>
                <c:pt idx="148">
                  <c:v>477</c:v>
                </c:pt>
                <c:pt idx="149">
                  <c:v>551</c:v>
                </c:pt>
                <c:pt idx="150">
                  <c:v>516</c:v>
                </c:pt>
                <c:pt idx="151">
                  <c:v>503</c:v>
                </c:pt>
                <c:pt idx="152">
                  <c:v>467</c:v>
                </c:pt>
                <c:pt idx="153">
                  <c:v>491</c:v>
                </c:pt>
                <c:pt idx="154">
                  <c:v>478</c:v>
                </c:pt>
                <c:pt idx="155">
                  <c:v>481</c:v>
                </c:pt>
                <c:pt idx="156">
                  <c:v>505</c:v>
                </c:pt>
                <c:pt idx="157">
                  <c:v>485</c:v>
                </c:pt>
                <c:pt idx="158">
                  <c:v>483</c:v>
                </c:pt>
                <c:pt idx="159">
                  <c:v>529</c:v>
                </c:pt>
                <c:pt idx="160">
                  <c:v>506</c:v>
                </c:pt>
                <c:pt idx="161">
                  <c:v>478</c:v>
                </c:pt>
                <c:pt idx="162">
                  <c:v>503</c:v>
                </c:pt>
                <c:pt idx="163">
                  <c:v>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A-4361-BD4A-95CB584F6732}"/>
            </c:ext>
          </c:extLst>
        </c:ser>
        <c:ser>
          <c:idx val="1"/>
          <c:order val="1"/>
          <c:tx>
            <c:strRef>
              <c:f>'Problem 1'!$G$5</c:f>
              <c:strCache>
                <c:ptCount val="1"/>
                <c:pt idx="0">
                  <c:v>Values Min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'Problem 1'!$B$6:$B$169</c:f>
              <c:numCache>
                <c:formatCode>d\-mmm\-yy</c:formatCode>
                <c:ptCount val="164"/>
                <c:pt idx="0">
                  <c:v>41612</c:v>
                </c:pt>
                <c:pt idx="1">
                  <c:v>41609</c:v>
                </c:pt>
                <c:pt idx="2">
                  <c:v>41617</c:v>
                </c:pt>
                <c:pt idx="3">
                  <c:v>41614</c:v>
                </c:pt>
                <c:pt idx="4">
                  <c:v>41613</c:v>
                </c:pt>
                <c:pt idx="5">
                  <c:v>41615</c:v>
                </c:pt>
                <c:pt idx="6">
                  <c:v>41616</c:v>
                </c:pt>
                <c:pt idx="7">
                  <c:v>41610</c:v>
                </c:pt>
                <c:pt idx="8">
                  <c:v>41619</c:v>
                </c:pt>
                <c:pt idx="9">
                  <c:v>41618</c:v>
                </c:pt>
                <c:pt idx="10">
                  <c:v>41611</c:v>
                </c:pt>
                <c:pt idx="11">
                  <c:v>41476</c:v>
                </c:pt>
                <c:pt idx="12">
                  <c:v>41459</c:v>
                </c:pt>
                <c:pt idx="13">
                  <c:v>41456</c:v>
                </c:pt>
                <c:pt idx="14">
                  <c:v>41458</c:v>
                </c:pt>
                <c:pt idx="15">
                  <c:v>41464</c:v>
                </c:pt>
                <c:pt idx="16">
                  <c:v>41465</c:v>
                </c:pt>
                <c:pt idx="17">
                  <c:v>41478</c:v>
                </c:pt>
                <c:pt idx="18">
                  <c:v>41466</c:v>
                </c:pt>
                <c:pt idx="19">
                  <c:v>41475</c:v>
                </c:pt>
                <c:pt idx="20">
                  <c:v>41473</c:v>
                </c:pt>
                <c:pt idx="21">
                  <c:v>41484</c:v>
                </c:pt>
                <c:pt idx="22">
                  <c:v>41483</c:v>
                </c:pt>
                <c:pt idx="23">
                  <c:v>41462</c:v>
                </c:pt>
                <c:pt idx="24">
                  <c:v>41480</c:v>
                </c:pt>
                <c:pt idx="25">
                  <c:v>41470</c:v>
                </c:pt>
                <c:pt idx="26">
                  <c:v>41474</c:v>
                </c:pt>
                <c:pt idx="27">
                  <c:v>41457</c:v>
                </c:pt>
                <c:pt idx="28">
                  <c:v>41467</c:v>
                </c:pt>
                <c:pt idx="29">
                  <c:v>41469</c:v>
                </c:pt>
                <c:pt idx="30">
                  <c:v>41479</c:v>
                </c:pt>
                <c:pt idx="31">
                  <c:v>41486</c:v>
                </c:pt>
                <c:pt idx="32">
                  <c:v>41481</c:v>
                </c:pt>
                <c:pt idx="33">
                  <c:v>41461</c:v>
                </c:pt>
                <c:pt idx="34">
                  <c:v>41468</c:v>
                </c:pt>
                <c:pt idx="35">
                  <c:v>41471</c:v>
                </c:pt>
                <c:pt idx="36">
                  <c:v>41460</c:v>
                </c:pt>
                <c:pt idx="37">
                  <c:v>41463</c:v>
                </c:pt>
                <c:pt idx="38">
                  <c:v>41485</c:v>
                </c:pt>
                <c:pt idx="39">
                  <c:v>41482</c:v>
                </c:pt>
                <c:pt idx="40">
                  <c:v>41477</c:v>
                </c:pt>
                <c:pt idx="41">
                  <c:v>41472</c:v>
                </c:pt>
                <c:pt idx="42">
                  <c:v>41487</c:v>
                </c:pt>
                <c:pt idx="43">
                  <c:v>41488</c:v>
                </c:pt>
                <c:pt idx="44">
                  <c:v>41489</c:v>
                </c:pt>
                <c:pt idx="45">
                  <c:v>41490</c:v>
                </c:pt>
                <c:pt idx="46">
                  <c:v>41491</c:v>
                </c:pt>
                <c:pt idx="47">
                  <c:v>41492</c:v>
                </c:pt>
                <c:pt idx="48">
                  <c:v>41493</c:v>
                </c:pt>
                <c:pt idx="49">
                  <c:v>41494</c:v>
                </c:pt>
                <c:pt idx="50">
                  <c:v>41495</c:v>
                </c:pt>
                <c:pt idx="51">
                  <c:v>41496</c:v>
                </c:pt>
                <c:pt idx="52">
                  <c:v>41497</c:v>
                </c:pt>
                <c:pt idx="53">
                  <c:v>41498</c:v>
                </c:pt>
                <c:pt idx="54">
                  <c:v>41499</c:v>
                </c:pt>
                <c:pt idx="55">
                  <c:v>41500</c:v>
                </c:pt>
                <c:pt idx="56">
                  <c:v>41501</c:v>
                </c:pt>
                <c:pt idx="57">
                  <c:v>41502</c:v>
                </c:pt>
                <c:pt idx="58">
                  <c:v>41503</c:v>
                </c:pt>
                <c:pt idx="59">
                  <c:v>41504</c:v>
                </c:pt>
                <c:pt idx="60">
                  <c:v>41505</c:v>
                </c:pt>
                <c:pt idx="61">
                  <c:v>41506</c:v>
                </c:pt>
                <c:pt idx="62">
                  <c:v>41507</c:v>
                </c:pt>
                <c:pt idx="63">
                  <c:v>41508</c:v>
                </c:pt>
                <c:pt idx="64">
                  <c:v>41509</c:v>
                </c:pt>
                <c:pt idx="65">
                  <c:v>41510</c:v>
                </c:pt>
                <c:pt idx="66">
                  <c:v>41511</c:v>
                </c:pt>
                <c:pt idx="67">
                  <c:v>41512</c:v>
                </c:pt>
                <c:pt idx="68">
                  <c:v>41513</c:v>
                </c:pt>
                <c:pt idx="69">
                  <c:v>41514</c:v>
                </c:pt>
                <c:pt idx="70">
                  <c:v>41515</c:v>
                </c:pt>
                <c:pt idx="71">
                  <c:v>41516</c:v>
                </c:pt>
                <c:pt idx="72">
                  <c:v>41517</c:v>
                </c:pt>
                <c:pt idx="73">
                  <c:v>41518</c:v>
                </c:pt>
                <c:pt idx="74">
                  <c:v>41519</c:v>
                </c:pt>
                <c:pt idx="75">
                  <c:v>41520</c:v>
                </c:pt>
                <c:pt idx="76">
                  <c:v>41521</c:v>
                </c:pt>
                <c:pt idx="77">
                  <c:v>41522</c:v>
                </c:pt>
                <c:pt idx="78">
                  <c:v>41523</c:v>
                </c:pt>
                <c:pt idx="79">
                  <c:v>41524</c:v>
                </c:pt>
                <c:pt idx="80">
                  <c:v>41525</c:v>
                </c:pt>
                <c:pt idx="81">
                  <c:v>41526</c:v>
                </c:pt>
                <c:pt idx="82">
                  <c:v>41527</c:v>
                </c:pt>
                <c:pt idx="83">
                  <c:v>41528</c:v>
                </c:pt>
                <c:pt idx="84">
                  <c:v>41529</c:v>
                </c:pt>
                <c:pt idx="85">
                  <c:v>41530</c:v>
                </c:pt>
                <c:pt idx="86">
                  <c:v>41531</c:v>
                </c:pt>
                <c:pt idx="87">
                  <c:v>41532</c:v>
                </c:pt>
                <c:pt idx="88">
                  <c:v>41533</c:v>
                </c:pt>
                <c:pt idx="89">
                  <c:v>41534</c:v>
                </c:pt>
                <c:pt idx="90">
                  <c:v>41535</c:v>
                </c:pt>
                <c:pt idx="91">
                  <c:v>41536</c:v>
                </c:pt>
                <c:pt idx="92">
                  <c:v>41537</c:v>
                </c:pt>
                <c:pt idx="93">
                  <c:v>41538</c:v>
                </c:pt>
                <c:pt idx="94">
                  <c:v>41539</c:v>
                </c:pt>
                <c:pt idx="95">
                  <c:v>41540</c:v>
                </c:pt>
                <c:pt idx="96">
                  <c:v>41541</c:v>
                </c:pt>
                <c:pt idx="97">
                  <c:v>41542</c:v>
                </c:pt>
                <c:pt idx="98">
                  <c:v>41543</c:v>
                </c:pt>
                <c:pt idx="99">
                  <c:v>41544</c:v>
                </c:pt>
                <c:pt idx="100">
                  <c:v>41545</c:v>
                </c:pt>
                <c:pt idx="101">
                  <c:v>41546</c:v>
                </c:pt>
                <c:pt idx="102">
                  <c:v>41547</c:v>
                </c:pt>
                <c:pt idx="103">
                  <c:v>41548</c:v>
                </c:pt>
                <c:pt idx="104">
                  <c:v>41549</c:v>
                </c:pt>
                <c:pt idx="105">
                  <c:v>41550</c:v>
                </c:pt>
                <c:pt idx="106">
                  <c:v>41551</c:v>
                </c:pt>
                <c:pt idx="107">
                  <c:v>41552</c:v>
                </c:pt>
                <c:pt idx="108">
                  <c:v>41553</c:v>
                </c:pt>
                <c:pt idx="109">
                  <c:v>41554</c:v>
                </c:pt>
                <c:pt idx="110">
                  <c:v>41555</c:v>
                </c:pt>
                <c:pt idx="111">
                  <c:v>41556</c:v>
                </c:pt>
                <c:pt idx="112">
                  <c:v>41557</c:v>
                </c:pt>
                <c:pt idx="113">
                  <c:v>41558</c:v>
                </c:pt>
                <c:pt idx="114">
                  <c:v>41559</c:v>
                </c:pt>
                <c:pt idx="115">
                  <c:v>41560</c:v>
                </c:pt>
                <c:pt idx="116">
                  <c:v>41561</c:v>
                </c:pt>
                <c:pt idx="117">
                  <c:v>41562</c:v>
                </c:pt>
                <c:pt idx="118">
                  <c:v>41563</c:v>
                </c:pt>
                <c:pt idx="119">
                  <c:v>41564</c:v>
                </c:pt>
                <c:pt idx="120">
                  <c:v>41565</c:v>
                </c:pt>
                <c:pt idx="121">
                  <c:v>41566</c:v>
                </c:pt>
                <c:pt idx="122">
                  <c:v>41567</c:v>
                </c:pt>
                <c:pt idx="123">
                  <c:v>41568</c:v>
                </c:pt>
                <c:pt idx="124">
                  <c:v>41569</c:v>
                </c:pt>
                <c:pt idx="125">
                  <c:v>41570</c:v>
                </c:pt>
                <c:pt idx="126">
                  <c:v>41571</c:v>
                </c:pt>
                <c:pt idx="127">
                  <c:v>41572</c:v>
                </c:pt>
                <c:pt idx="128">
                  <c:v>41573</c:v>
                </c:pt>
                <c:pt idx="129">
                  <c:v>41574</c:v>
                </c:pt>
                <c:pt idx="130">
                  <c:v>41575</c:v>
                </c:pt>
                <c:pt idx="131">
                  <c:v>41576</c:v>
                </c:pt>
                <c:pt idx="132">
                  <c:v>41577</c:v>
                </c:pt>
                <c:pt idx="133">
                  <c:v>41578</c:v>
                </c:pt>
                <c:pt idx="134">
                  <c:v>41579</c:v>
                </c:pt>
                <c:pt idx="135">
                  <c:v>41580</c:v>
                </c:pt>
                <c:pt idx="136">
                  <c:v>41581</c:v>
                </c:pt>
                <c:pt idx="137">
                  <c:v>41582</c:v>
                </c:pt>
                <c:pt idx="138">
                  <c:v>41583</c:v>
                </c:pt>
                <c:pt idx="139">
                  <c:v>41584</c:v>
                </c:pt>
                <c:pt idx="140">
                  <c:v>41585</c:v>
                </c:pt>
                <c:pt idx="141">
                  <c:v>41586</c:v>
                </c:pt>
                <c:pt idx="142">
                  <c:v>41587</c:v>
                </c:pt>
                <c:pt idx="143">
                  <c:v>41588</c:v>
                </c:pt>
                <c:pt idx="144">
                  <c:v>41589</c:v>
                </c:pt>
                <c:pt idx="145">
                  <c:v>41590</c:v>
                </c:pt>
                <c:pt idx="146">
                  <c:v>41591</c:v>
                </c:pt>
                <c:pt idx="147">
                  <c:v>41592</c:v>
                </c:pt>
                <c:pt idx="148">
                  <c:v>41593</c:v>
                </c:pt>
                <c:pt idx="149">
                  <c:v>41594</c:v>
                </c:pt>
                <c:pt idx="150">
                  <c:v>41595</c:v>
                </c:pt>
                <c:pt idx="151">
                  <c:v>41596</c:v>
                </c:pt>
                <c:pt idx="152">
                  <c:v>41597</c:v>
                </c:pt>
                <c:pt idx="153">
                  <c:v>41598</c:v>
                </c:pt>
                <c:pt idx="154">
                  <c:v>41599</c:v>
                </c:pt>
                <c:pt idx="155">
                  <c:v>41600</c:v>
                </c:pt>
                <c:pt idx="156">
                  <c:v>41601</c:v>
                </c:pt>
                <c:pt idx="157">
                  <c:v>41602</c:v>
                </c:pt>
                <c:pt idx="158">
                  <c:v>41603</c:v>
                </c:pt>
                <c:pt idx="159">
                  <c:v>41604</c:v>
                </c:pt>
                <c:pt idx="160">
                  <c:v>41605</c:v>
                </c:pt>
                <c:pt idx="161">
                  <c:v>41606</c:v>
                </c:pt>
                <c:pt idx="162">
                  <c:v>41607</c:v>
                </c:pt>
                <c:pt idx="163">
                  <c:v>41608</c:v>
                </c:pt>
              </c:numCache>
            </c:numRef>
          </c:cat>
          <c:val>
            <c:numRef>
              <c:f>'Problem 1'!$G$6:$G$169</c:f>
              <c:numCache>
                <c:formatCode>General</c:formatCode>
                <c:ptCount val="164"/>
                <c:pt idx="0">
                  <c:v>473</c:v>
                </c:pt>
                <c:pt idx="1">
                  <c:v>481</c:v>
                </c:pt>
                <c:pt idx="2">
                  <c:v>481</c:v>
                </c:pt>
                <c:pt idx="3">
                  <c:v>489</c:v>
                </c:pt>
                <c:pt idx="4">
                  <c:v>493</c:v>
                </c:pt>
                <c:pt idx="5">
                  <c:v>497</c:v>
                </c:pt>
                <c:pt idx="6">
                  <c:v>507</c:v>
                </c:pt>
                <c:pt idx="7">
                  <c:v>508</c:v>
                </c:pt>
                <c:pt idx="8">
                  <c:v>521</c:v>
                </c:pt>
                <c:pt idx="9">
                  <c:v>542</c:v>
                </c:pt>
                <c:pt idx="10">
                  <c:v>551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A-4361-BD4A-95CB584F6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427727"/>
        <c:axId val="458435663"/>
      </c:lineChart>
      <c:dateAx>
        <c:axId val="455427727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35663"/>
        <c:crosses val="autoZero"/>
        <c:auto val="1"/>
        <c:lblOffset val="100"/>
        <c:baseTimeUnit val="days"/>
      </c:dateAx>
      <c:valAx>
        <c:axId val="45843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42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Problem1!$C$5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Problem1!$B$5:$B$169</c:f>
              <c:strCache>
                <c:ptCount val="163"/>
                <c:pt idx="0">
                  <c:v>Date</c:v>
                </c:pt>
                <c:pt idx="1">
                  <c:v>3-Jul-13</c:v>
                </c:pt>
                <c:pt idx="2">
                  <c:v>4-Jul-13</c:v>
                </c:pt>
                <c:pt idx="3">
                  <c:v>5-Jul-13</c:v>
                </c:pt>
                <c:pt idx="4">
                  <c:v>6-Jul-13</c:v>
                </c:pt>
                <c:pt idx="5">
                  <c:v>7-Jul-13</c:v>
                </c:pt>
                <c:pt idx="6">
                  <c:v>8-Jul-13</c:v>
                </c:pt>
                <c:pt idx="7">
                  <c:v>9-Jul-13</c:v>
                </c:pt>
                <c:pt idx="8">
                  <c:v>10-Jul-13</c:v>
                </c:pt>
                <c:pt idx="9">
                  <c:v>11-Jul-13</c:v>
                </c:pt>
                <c:pt idx="10">
                  <c:v>12-Jul-13</c:v>
                </c:pt>
                <c:pt idx="11">
                  <c:v>13-Jul-13</c:v>
                </c:pt>
                <c:pt idx="12">
                  <c:v>14-Jul-13</c:v>
                </c:pt>
                <c:pt idx="13">
                  <c:v>15-Jul-13</c:v>
                </c:pt>
                <c:pt idx="14">
                  <c:v>16-Jul-13</c:v>
                </c:pt>
                <c:pt idx="15">
                  <c:v>17-Jul-13</c:v>
                </c:pt>
                <c:pt idx="16">
                  <c:v>18-Jul-13</c:v>
                </c:pt>
                <c:pt idx="17">
                  <c:v>19-Jul-13</c:v>
                </c:pt>
                <c:pt idx="18">
                  <c:v>20-Jul-13</c:v>
                </c:pt>
                <c:pt idx="19">
                  <c:v>21-Jul-13</c:v>
                </c:pt>
                <c:pt idx="20">
                  <c:v>22-Jul-13</c:v>
                </c:pt>
                <c:pt idx="21">
                  <c:v>23-Jul-13</c:v>
                </c:pt>
                <c:pt idx="22">
                  <c:v>24-Jul-13</c:v>
                </c:pt>
                <c:pt idx="23">
                  <c:v>25-Jul-13</c:v>
                </c:pt>
                <c:pt idx="24">
                  <c:v>26-Jul-13</c:v>
                </c:pt>
                <c:pt idx="25">
                  <c:v>27-Jul-13</c:v>
                </c:pt>
                <c:pt idx="26">
                  <c:v>28-Jul-13</c:v>
                </c:pt>
                <c:pt idx="27">
                  <c:v>29-Jul-13</c:v>
                </c:pt>
                <c:pt idx="28">
                  <c:v>30-Jul-13</c:v>
                </c:pt>
                <c:pt idx="29">
                  <c:v>31-Jul-13</c:v>
                </c:pt>
                <c:pt idx="30">
                  <c:v>1-Aug-13</c:v>
                </c:pt>
                <c:pt idx="31">
                  <c:v>2-Aug-13</c:v>
                </c:pt>
                <c:pt idx="32">
                  <c:v>3-Aug-13</c:v>
                </c:pt>
                <c:pt idx="33">
                  <c:v>4-Aug-13</c:v>
                </c:pt>
                <c:pt idx="34">
                  <c:v>5-Aug-13</c:v>
                </c:pt>
                <c:pt idx="35">
                  <c:v>6-Aug-13</c:v>
                </c:pt>
                <c:pt idx="36">
                  <c:v>7-Aug-13</c:v>
                </c:pt>
                <c:pt idx="37">
                  <c:v>8-Aug-13</c:v>
                </c:pt>
                <c:pt idx="38">
                  <c:v>9-Aug-13</c:v>
                </c:pt>
                <c:pt idx="39">
                  <c:v>10-Aug-13</c:v>
                </c:pt>
                <c:pt idx="40">
                  <c:v>11-Aug-13</c:v>
                </c:pt>
                <c:pt idx="41">
                  <c:v>12-Aug-13</c:v>
                </c:pt>
                <c:pt idx="42">
                  <c:v>13-Aug-13</c:v>
                </c:pt>
                <c:pt idx="43">
                  <c:v>14-Aug-13</c:v>
                </c:pt>
                <c:pt idx="44">
                  <c:v>15-Aug-13</c:v>
                </c:pt>
                <c:pt idx="45">
                  <c:v>16-Aug-13</c:v>
                </c:pt>
                <c:pt idx="46">
                  <c:v>17-Aug-13</c:v>
                </c:pt>
                <c:pt idx="47">
                  <c:v>18-Aug-13</c:v>
                </c:pt>
                <c:pt idx="48">
                  <c:v>19-Aug-13</c:v>
                </c:pt>
                <c:pt idx="49">
                  <c:v>20-Aug-13</c:v>
                </c:pt>
                <c:pt idx="50">
                  <c:v>21-Aug-13</c:v>
                </c:pt>
                <c:pt idx="51">
                  <c:v>22-Aug-13</c:v>
                </c:pt>
                <c:pt idx="52">
                  <c:v>23-Aug-13</c:v>
                </c:pt>
                <c:pt idx="53">
                  <c:v>24-Aug-13</c:v>
                </c:pt>
                <c:pt idx="54">
                  <c:v>25-Aug-13</c:v>
                </c:pt>
                <c:pt idx="55">
                  <c:v>26-Aug-13</c:v>
                </c:pt>
                <c:pt idx="56">
                  <c:v>27-Aug-13</c:v>
                </c:pt>
                <c:pt idx="57">
                  <c:v>28-Aug-13</c:v>
                </c:pt>
                <c:pt idx="58">
                  <c:v>29-Aug-13</c:v>
                </c:pt>
                <c:pt idx="59">
                  <c:v>30-Aug-13</c:v>
                </c:pt>
                <c:pt idx="60">
                  <c:v>31-Aug-13</c:v>
                </c:pt>
                <c:pt idx="61">
                  <c:v>1-Sep-13</c:v>
                </c:pt>
                <c:pt idx="62">
                  <c:v>2-Sep-13</c:v>
                </c:pt>
                <c:pt idx="63">
                  <c:v>3-Sep-13</c:v>
                </c:pt>
                <c:pt idx="64">
                  <c:v>4-Sep-13</c:v>
                </c:pt>
                <c:pt idx="65">
                  <c:v>5-Sep-13</c:v>
                </c:pt>
                <c:pt idx="66">
                  <c:v>6-Sep-13</c:v>
                </c:pt>
                <c:pt idx="67">
                  <c:v>7-Sep-13</c:v>
                </c:pt>
                <c:pt idx="68">
                  <c:v>8-Sep-13</c:v>
                </c:pt>
                <c:pt idx="69">
                  <c:v>9-Sep-13</c:v>
                </c:pt>
                <c:pt idx="70">
                  <c:v>10-Sep-13</c:v>
                </c:pt>
                <c:pt idx="71">
                  <c:v>11-Sep-13</c:v>
                </c:pt>
                <c:pt idx="72">
                  <c:v>12-Sep-13</c:v>
                </c:pt>
                <c:pt idx="73">
                  <c:v>13-Sep-13</c:v>
                </c:pt>
                <c:pt idx="74">
                  <c:v>14-Sep-13</c:v>
                </c:pt>
                <c:pt idx="75">
                  <c:v>15-Sep-13</c:v>
                </c:pt>
                <c:pt idx="76">
                  <c:v>16-Sep-13</c:v>
                </c:pt>
                <c:pt idx="77">
                  <c:v>17-Sep-13</c:v>
                </c:pt>
                <c:pt idx="78">
                  <c:v>18-Sep-13</c:v>
                </c:pt>
                <c:pt idx="79">
                  <c:v>19-Sep-13</c:v>
                </c:pt>
                <c:pt idx="80">
                  <c:v>20-Sep-13</c:v>
                </c:pt>
                <c:pt idx="81">
                  <c:v>21-Sep-13</c:v>
                </c:pt>
                <c:pt idx="82">
                  <c:v>22-Sep-13</c:v>
                </c:pt>
                <c:pt idx="83">
                  <c:v>23-Sep-13</c:v>
                </c:pt>
                <c:pt idx="84">
                  <c:v>24-Sep-13</c:v>
                </c:pt>
                <c:pt idx="85">
                  <c:v>25-Sep-13</c:v>
                </c:pt>
                <c:pt idx="86">
                  <c:v>26-Sep-13</c:v>
                </c:pt>
                <c:pt idx="87">
                  <c:v>27-Sep-13</c:v>
                </c:pt>
                <c:pt idx="88">
                  <c:v>28-Sep-13</c:v>
                </c:pt>
                <c:pt idx="89">
                  <c:v>29-Sep-13</c:v>
                </c:pt>
                <c:pt idx="90">
                  <c:v>30-Sep-13</c:v>
                </c:pt>
                <c:pt idx="91">
                  <c:v>1-Oct-13</c:v>
                </c:pt>
                <c:pt idx="92">
                  <c:v>2-Oct-13</c:v>
                </c:pt>
                <c:pt idx="93">
                  <c:v>3-Oct-13</c:v>
                </c:pt>
                <c:pt idx="94">
                  <c:v>4-Oct-13</c:v>
                </c:pt>
                <c:pt idx="95">
                  <c:v>5-Oct-13</c:v>
                </c:pt>
                <c:pt idx="96">
                  <c:v>6-Oct-13</c:v>
                </c:pt>
                <c:pt idx="97">
                  <c:v>7-Oct-13</c:v>
                </c:pt>
                <c:pt idx="98">
                  <c:v>8-Oct-13</c:v>
                </c:pt>
                <c:pt idx="99">
                  <c:v>9-Oct-13</c:v>
                </c:pt>
                <c:pt idx="100">
                  <c:v>10-Oct-13</c:v>
                </c:pt>
                <c:pt idx="101">
                  <c:v>11-Oct-13</c:v>
                </c:pt>
                <c:pt idx="102">
                  <c:v>12-Oct-13</c:v>
                </c:pt>
                <c:pt idx="103">
                  <c:v>13-Oct-13</c:v>
                </c:pt>
                <c:pt idx="104">
                  <c:v>14-Oct-13</c:v>
                </c:pt>
                <c:pt idx="105">
                  <c:v>15-Oct-13</c:v>
                </c:pt>
                <c:pt idx="106">
                  <c:v>16-Oct-13</c:v>
                </c:pt>
                <c:pt idx="107">
                  <c:v>17-Oct-13</c:v>
                </c:pt>
                <c:pt idx="108">
                  <c:v>18-Oct-13</c:v>
                </c:pt>
                <c:pt idx="109">
                  <c:v>19-Oct-13</c:v>
                </c:pt>
                <c:pt idx="110">
                  <c:v>20-Oct-13</c:v>
                </c:pt>
                <c:pt idx="111">
                  <c:v>21-Oct-13</c:v>
                </c:pt>
                <c:pt idx="112">
                  <c:v>22-Oct-13</c:v>
                </c:pt>
                <c:pt idx="113">
                  <c:v>23-Oct-13</c:v>
                </c:pt>
                <c:pt idx="114">
                  <c:v>24-Oct-13</c:v>
                </c:pt>
                <c:pt idx="115">
                  <c:v>25-Oct-13</c:v>
                </c:pt>
                <c:pt idx="116">
                  <c:v>26-Oct-13</c:v>
                </c:pt>
                <c:pt idx="117">
                  <c:v>27-Oct-13</c:v>
                </c:pt>
                <c:pt idx="118">
                  <c:v>28-Oct-13</c:v>
                </c:pt>
                <c:pt idx="119">
                  <c:v>29-Oct-13</c:v>
                </c:pt>
                <c:pt idx="120">
                  <c:v>30-Oct-13</c:v>
                </c:pt>
                <c:pt idx="121">
                  <c:v>31-Oct-13</c:v>
                </c:pt>
                <c:pt idx="122">
                  <c:v>1-Nov-13</c:v>
                </c:pt>
                <c:pt idx="123">
                  <c:v>2-Nov-13</c:v>
                </c:pt>
                <c:pt idx="124">
                  <c:v>3-Nov-13</c:v>
                </c:pt>
                <c:pt idx="125">
                  <c:v>4-Nov-13</c:v>
                </c:pt>
                <c:pt idx="126">
                  <c:v>5-Nov-13</c:v>
                </c:pt>
                <c:pt idx="127">
                  <c:v>6-Nov-13</c:v>
                </c:pt>
                <c:pt idx="128">
                  <c:v>7-Nov-13</c:v>
                </c:pt>
                <c:pt idx="129">
                  <c:v>8-Nov-13</c:v>
                </c:pt>
                <c:pt idx="130">
                  <c:v>9-Nov-13</c:v>
                </c:pt>
                <c:pt idx="131">
                  <c:v>10-Nov-13</c:v>
                </c:pt>
                <c:pt idx="132">
                  <c:v>11-Nov-13</c:v>
                </c:pt>
                <c:pt idx="133">
                  <c:v>12-Nov-13</c:v>
                </c:pt>
                <c:pt idx="134">
                  <c:v>13-Nov-13</c:v>
                </c:pt>
                <c:pt idx="135">
                  <c:v>14-Nov-13</c:v>
                </c:pt>
                <c:pt idx="136">
                  <c:v>15-Nov-13</c:v>
                </c:pt>
                <c:pt idx="137">
                  <c:v>16-Nov-13</c:v>
                </c:pt>
                <c:pt idx="138">
                  <c:v>17-Nov-13</c:v>
                </c:pt>
                <c:pt idx="139">
                  <c:v>18-Nov-13</c:v>
                </c:pt>
                <c:pt idx="140">
                  <c:v>19-Nov-13</c:v>
                </c:pt>
                <c:pt idx="141">
                  <c:v>20-Nov-13</c:v>
                </c:pt>
                <c:pt idx="142">
                  <c:v>21-Nov-13</c:v>
                </c:pt>
                <c:pt idx="143">
                  <c:v>22-Nov-13</c:v>
                </c:pt>
                <c:pt idx="144">
                  <c:v>23-Nov-13</c:v>
                </c:pt>
                <c:pt idx="145">
                  <c:v>24-Nov-13</c:v>
                </c:pt>
                <c:pt idx="146">
                  <c:v>25-Nov-13</c:v>
                </c:pt>
                <c:pt idx="147">
                  <c:v>26-Nov-13</c:v>
                </c:pt>
                <c:pt idx="148">
                  <c:v>27-Nov-13</c:v>
                </c:pt>
                <c:pt idx="149">
                  <c:v>28-Nov-13</c:v>
                </c:pt>
                <c:pt idx="150">
                  <c:v>29-Nov-13</c:v>
                </c:pt>
                <c:pt idx="151">
                  <c:v>30-Nov-13</c:v>
                </c:pt>
                <c:pt idx="152">
                  <c:v>1-Dec-13</c:v>
                </c:pt>
                <c:pt idx="153">
                  <c:v>2-Dec-13</c:v>
                </c:pt>
                <c:pt idx="154">
                  <c:v>3-Dec-13</c:v>
                </c:pt>
                <c:pt idx="155">
                  <c:v>4-Dec-13</c:v>
                </c:pt>
                <c:pt idx="156">
                  <c:v>5-Dec-13</c:v>
                </c:pt>
                <c:pt idx="157">
                  <c:v>6-Dec-13</c:v>
                </c:pt>
                <c:pt idx="158">
                  <c:v>7-Dec-13</c:v>
                </c:pt>
                <c:pt idx="159">
                  <c:v>8-Dec-13</c:v>
                </c:pt>
                <c:pt idx="160">
                  <c:v>9-Dec-13</c:v>
                </c:pt>
                <c:pt idx="161">
                  <c:v>10-Dec-13</c:v>
                </c:pt>
                <c:pt idx="162">
                  <c:v>11-Dec-13</c:v>
                </c:pt>
              </c:strCache>
            </c:strRef>
          </c:cat>
          <c:val>
            <c:numRef>
              <c:f>Problem1!$C$6:$C$169</c:f>
              <c:numCache>
                <c:formatCode>_("$"* #,##0_);_("$"* \(#,##0\);_("$"* "-"??_);_(@_)</c:formatCode>
                <c:ptCount val="162"/>
                <c:pt idx="0">
                  <c:v>479</c:v>
                </c:pt>
                <c:pt idx="1">
                  <c:v>473</c:v>
                </c:pt>
                <c:pt idx="2">
                  <c:v>528</c:v>
                </c:pt>
                <c:pt idx="3">
                  <c:v>520</c:v>
                </c:pt>
                <c:pt idx="4">
                  <c:v>500</c:v>
                </c:pt>
                <c:pt idx="5">
                  <c:v>534</c:v>
                </c:pt>
                <c:pt idx="6">
                  <c:v>488</c:v>
                </c:pt>
                <c:pt idx="7">
                  <c:v>489</c:v>
                </c:pt>
                <c:pt idx="8">
                  <c:v>490</c:v>
                </c:pt>
                <c:pt idx="9">
                  <c:v>511</c:v>
                </c:pt>
                <c:pt idx="10">
                  <c:v>521</c:v>
                </c:pt>
                <c:pt idx="11">
                  <c:v>513</c:v>
                </c:pt>
                <c:pt idx="12">
                  <c:v>508</c:v>
                </c:pt>
                <c:pt idx="13">
                  <c:v>527</c:v>
                </c:pt>
                <c:pt idx="14">
                  <c:v>565</c:v>
                </c:pt>
                <c:pt idx="15">
                  <c:v>492</c:v>
                </c:pt>
                <c:pt idx="16">
                  <c:v>508</c:v>
                </c:pt>
                <c:pt idx="17">
                  <c:v>490</c:v>
                </c:pt>
                <c:pt idx="18">
                  <c:v>464</c:v>
                </c:pt>
                <c:pt idx="19">
                  <c:v>549</c:v>
                </c:pt>
                <c:pt idx="20">
                  <c:v>489</c:v>
                </c:pt>
                <c:pt idx="21">
                  <c:v>514</c:v>
                </c:pt>
                <c:pt idx="22">
                  <c:v>504</c:v>
                </c:pt>
                <c:pt idx="23">
                  <c:v>515</c:v>
                </c:pt>
                <c:pt idx="24">
                  <c:v>545</c:v>
                </c:pt>
                <c:pt idx="25">
                  <c:v>496</c:v>
                </c:pt>
                <c:pt idx="26">
                  <c:v>492</c:v>
                </c:pt>
                <c:pt idx="27">
                  <c:v>535</c:v>
                </c:pt>
                <c:pt idx="28">
                  <c:v>514</c:v>
                </c:pt>
                <c:pt idx="29">
                  <c:v>527</c:v>
                </c:pt>
                <c:pt idx="30">
                  <c:v>481</c:v>
                </c:pt>
                <c:pt idx="31">
                  <c:v>499</c:v>
                </c:pt>
                <c:pt idx="32">
                  <c:v>487</c:v>
                </c:pt>
                <c:pt idx="33">
                  <c:v>528</c:v>
                </c:pt>
                <c:pt idx="34">
                  <c:v>479</c:v>
                </c:pt>
                <c:pt idx="35">
                  <c:v>486</c:v>
                </c:pt>
                <c:pt idx="36">
                  <c:v>476</c:v>
                </c:pt>
                <c:pt idx="37">
                  <c:v>519</c:v>
                </c:pt>
                <c:pt idx="38">
                  <c:v>526</c:v>
                </c:pt>
                <c:pt idx="39">
                  <c:v>487</c:v>
                </c:pt>
                <c:pt idx="40">
                  <c:v>510</c:v>
                </c:pt>
                <c:pt idx="41">
                  <c:v>485</c:v>
                </c:pt>
                <c:pt idx="42">
                  <c:v>436</c:v>
                </c:pt>
                <c:pt idx="43">
                  <c:v>485</c:v>
                </c:pt>
                <c:pt idx="44">
                  <c:v>521</c:v>
                </c:pt>
                <c:pt idx="45">
                  <c:v>488</c:v>
                </c:pt>
                <c:pt idx="46">
                  <c:v>482</c:v>
                </c:pt>
                <c:pt idx="47">
                  <c:v>478</c:v>
                </c:pt>
                <c:pt idx="48">
                  <c:v>528</c:v>
                </c:pt>
                <c:pt idx="49">
                  <c:v>477</c:v>
                </c:pt>
                <c:pt idx="50">
                  <c:v>501</c:v>
                </c:pt>
                <c:pt idx="51">
                  <c:v>511</c:v>
                </c:pt>
                <c:pt idx="52">
                  <c:v>495</c:v>
                </c:pt>
                <c:pt idx="53">
                  <c:v>476</c:v>
                </c:pt>
                <c:pt idx="54">
                  <c:v>519</c:v>
                </c:pt>
                <c:pt idx="55">
                  <c:v>475</c:v>
                </c:pt>
                <c:pt idx="56">
                  <c:v>475</c:v>
                </c:pt>
                <c:pt idx="57">
                  <c:v>499</c:v>
                </c:pt>
                <c:pt idx="58">
                  <c:v>512</c:v>
                </c:pt>
                <c:pt idx="59">
                  <c:v>440</c:v>
                </c:pt>
                <c:pt idx="60">
                  <c:v>531</c:v>
                </c:pt>
                <c:pt idx="61">
                  <c:v>493</c:v>
                </c:pt>
                <c:pt idx="62">
                  <c:v>508</c:v>
                </c:pt>
                <c:pt idx="63">
                  <c:v>474</c:v>
                </c:pt>
                <c:pt idx="64">
                  <c:v>523</c:v>
                </c:pt>
                <c:pt idx="65">
                  <c:v>528</c:v>
                </c:pt>
                <c:pt idx="66">
                  <c:v>549</c:v>
                </c:pt>
                <c:pt idx="67">
                  <c:v>510</c:v>
                </c:pt>
                <c:pt idx="68">
                  <c:v>545</c:v>
                </c:pt>
                <c:pt idx="69">
                  <c:v>544</c:v>
                </c:pt>
                <c:pt idx="70">
                  <c:v>512</c:v>
                </c:pt>
                <c:pt idx="71">
                  <c:v>488</c:v>
                </c:pt>
                <c:pt idx="72">
                  <c:v>537</c:v>
                </c:pt>
                <c:pt idx="73">
                  <c:v>527</c:v>
                </c:pt>
                <c:pt idx="74">
                  <c:v>487</c:v>
                </c:pt>
                <c:pt idx="75">
                  <c:v>462</c:v>
                </c:pt>
                <c:pt idx="76">
                  <c:v>471</c:v>
                </c:pt>
                <c:pt idx="77">
                  <c:v>490</c:v>
                </c:pt>
                <c:pt idx="78">
                  <c:v>518</c:v>
                </c:pt>
                <c:pt idx="79">
                  <c:v>478</c:v>
                </c:pt>
                <c:pt idx="80">
                  <c:v>457</c:v>
                </c:pt>
                <c:pt idx="81">
                  <c:v>502</c:v>
                </c:pt>
                <c:pt idx="82">
                  <c:v>532</c:v>
                </c:pt>
                <c:pt idx="83">
                  <c:v>512</c:v>
                </c:pt>
                <c:pt idx="84">
                  <c:v>523</c:v>
                </c:pt>
                <c:pt idx="85">
                  <c:v>537</c:v>
                </c:pt>
                <c:pt idx="86">
                  <c:v>503</c:v>
                </c:pt>
                <c:pt idx="87">
                  <c:v>487</c:v>
                </c:pt>
                <c:pt idx="88">
                  <c:v>530</c:v>
                </c:pt>
                <c:pt idx="89">
                  <c:v>523</c:v>
                </c:pt>
                <c:pt idx="90">
                  <c:v>483</c:v>
                </c:pt>
                <c:pt idx="91">
                  <c:v>499</c:v>
                </c:pt>
                <c:pt idx="92">
                  <c:v>463</c:v>
                </c:pt>
                <c:pt idx="93">
                  <c:v>522</c:v>
                </c:pt>
                <c:pt idx="94">
                  <c:v>457</c:v>
                </c:pt>
                <c:pt idx="95">
                  <c:v>505</c:v>
                </c:pt>
                <c:pt idx="96">
                  <c:v>484</c:v>
                </c:pt>
                <c:pt idx="97">
                  <c:v>520</c:v>
                </c:pt>
                <c:pt idx="98">
                  <c:v>503</c:v>
                </c:pt>
                <c:pt idx="99">
                  <c:v>484</c:v>
                </c:pt>
                <c:pt idx="100">
                  <c:v>522</c:v>
                </c:pt>
                <c:pt idx="101">
                  <c:v>536</c:v>
                </c:pt>
                <c:pt idx="102">
                  <c:v>471</c:v>
                </c:pt>
                <c:pt idx="103">
                  <c:v>477</c:v>
                </c:pt>
                <c:pt idx="104">
                  <c:v>478</c:v>
                </c:pt>
                <c:pt idx="105">
                  <c:v>492</c:v>
                </c:pt>
                <c:pt idx="106">
                  <c:v>473</c:v>
                </c:pt>
                <c:pt idx="107">
                  <c:v>518</c:v>
                </c:pt>
                <c:pt idx="108">
                  <c:v>485</c:v>
                </c:pt>
                <c:pt idx="109">
                  <c:v>502</c:v>
                </c:pt>
                <c:pt idx="110">
                  <c:v>448</c:v>
                </c:pt>
                <c:pt idx="111">
                  <c:v>504</c:v>
                </c:pt>
                <c:pt idx="112">
                  <c:v>492</c:v>
                </c:pt>
                <c:pt idx="113">
                  <c:v>503</c:v>
                </c:pt>
                <c:pt idx="114">
                  <c:v>490</c:v>
                </c:pt>
                <c:pt idx="115">
                  <c:v>489</c:v>
                </c:pt>
                <c:pt idx="116">
                  <c:v>485</c:v>
                </c:pt>
                <c:pt idx="117">
                  <c:v>503</c:v>
                </c:pt>
                <c:pt idx="118">
                  <c:v>513</c:v>
                </c:pt>
                <c:pt idx="119">
                  <c:v>502</c:v>
                </c:pt>
                <c:pt idx="120">
                  <c:v>512</c:v>
                </c:pt>
                <c:pt idx="121">
                  <c:v>534</c:v>
                </c:pt>
                <c:pt idx="122">
                  <c:v>480</c:v>
                </c:pt>
                <c:pt idx="123">
                  <c:v>441</c:v>
                </c:pt>
                <c:pt idx="124">
                  <c:v>511</c:v>
                </c:pt>
                <c:pt idx="125">
                  <c:v>494</c:v>
                </c:pt>
                <c:pt idx="126">
                  <c:v>494</c:v>
                </c:pt>
                <c:pt idx="127">
                  <c:v>520</c:v>
                </c:pt>
                <c:pt idx="128">
                  <c:v>587</c:v>
                </c:pt>
                <c:pt idx="129">
                  <c:v>503</c:v>
                </c:pt>
                <c:pt idx="130">
                  <c:v>505</c:v>
                </c:pt>
                <c:pt idx="131">
                  <c:v>540</c:v>
                </c:pt>
                <c:pt idx="132">
                  <c:v>458</c:v>
                </c:pt>
                <c:pt idx="133">
                  <c:v>548</c:v>
                </c:pt>
                <c:pt idx="134">
                  <c:v>535</c:v>
                </c:pt>
                <c:pt idx="135">
                  <c:v>477</c:v>
                </c:pt>
                <c:pt idx="136">
                  <c:v>551</c:v>
                </c:pt>
                <c:pt idx="137">
                  <c:v>516</c:v>
                </c:pt>
                <c:pt idx="138">
                  <c:v>503</c:v>
                </c:pt>
                <c:pt idx="139">
                  <c:v>467</c:v>
                </c:pt>
                <c:pt idx="140">
                  <c:v>491</c:v>
                </c:pt>
                <c:pt idx="141">
                  <c:v>478</c:v>
                </c:pt>
                <c:pt idx="142">
                  <c:v>481</c:v>
                </c:pt>
                <c:pt idx="143">
                  <c:v>505</c:v>
                </c:pt>
                <c:pt idx="144">
                  <c:v>485</c:v>
                </c:pt>
                <c:pt idx="145">
                  <c:v>483</c:v>
                </c:pt>
                <c:pt idx="146">
                  <c:v>529</c:v>
                </c:pt>
                <c:pt idx="147">
                  <c:v>506</c:v>
                </c:pt>
                <c:pt idx="148">
                  <c:v>478</c:v>
                </c:pt>
                <c:pt idx="149">
                  <c:v>503</c:v>
                </c:pt>
                <c:pt idx="150">
                  <c:v>521</c:v>
                </c:pt>
                <c:pt idx="151">
                  <c:v>481</c:v>
                </c:pt>
                <c:pt idx="152">
                  <c:v>508</c:v>
                </c:pt>
                <c:pt idx="153">
                  <c:v>551</c:v>
                </c:pt>
                <c:pt idx="154">
                  <c:v>473</c:v>
                </c:pt>
                <c:pt idx="155">
                  <c:v>493</c:v>
                </c:pt>
                <c:pt idx="156">
                  <c:v>489</c:v>
                </c:pt>
                <c:pt idx="157">
                  <c:v>497</c:v>
                </c:pt>
                <c:pt idx="158">
                  <c:v>507</c:v>
                </c:pt>
                <c:pt idx="159">
                  <c:v>481</c:v>
                </c:pt>
                <c:pt idx="160">
                  <c:v>542</c:v>
                </c:pt>
                <c:pt idx="161">
                  <c:v>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E-46E1-88A4-C0675B395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50927"/>
        <c:axId val="314964367"/>
      </c:lineChart>
      <c:catAx>
        <c:axId val="314950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64367"/>
        <c:crosses val="autoZero"/>
        <c:auto val="1"/>
        <c:lblAlgn val="ctr"/>
        <c:lblOffset val="100"/>
        <c:noMultiLvlLbl val="1"/>
      </c:catAx>
      <c:valAx>
        <c:axId val="31496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5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Highes</a:t>
            </a:r>
            <a:r>
              <a:rPr lang="en-IN" baseline="0"/>
              <a:t>t Sales Dynamic chart</a:t>
            </a:r>
          </a:p>
          <a:p>
            <a:pPr>
              <a:defRPr/>
            </a:pPr>
            <a:endParaRPr lang="en-IN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631698149556915E-2"/>
          <c:y val="0.17239536813925113"/>
          <c:w val="0.8792725346210466"/>
          <c:h val="0.62667272416967734"/>
        </c:manualLayout>
      </c:layout>
      <c:lineChart>
        <c:grouping val="standard"/>
        <c:varyColors val="0"/>
        <c:ser>
          <c:idx val="0"/>
          <c:order val="0"/>
          <c:tx>
            <c:strRef>
              <c:f>Problem1!$C$5</c:f>
              <c:strCache>
                <c:ptCount val="1"/>
                <c:pt idx="0">
                  <c:v>Value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Problem1!$B$6:$B$169</c:f>
              <c:numCache>
                <c:formatCode>d\-mmm\-yy</c:formatCode>
                <c:ptCount val="162"/>
                <c:pt idx="0">
                  <c:v>41458</c:v>
                </c:pt>
                <c:pt idx="1">
                  <c:v>41459</c:v>
                </c:pt>
                <c:pt idx="2">
                  <c:v>41460</c:v>
                </c:pt>
                <c:pt idx="3">
                  <c:v>41461</c:v>
                </c:pt>
                <c:pt idx="4">
                  <c:v>41462</c:v>
                </c:pt>
                <c:pt idx="5">
                  <c:v>41463</c:v>
                </c:pt>
                <c:pt idx="6">
                  <c:v>41464</c:v>
                </c:pt>
                <c:pt idx="7">
                  <c:v>41465</c:v>
                </c:pt>
                <c:pt idx="8">
                  <c:v>41466</c:v>
                </c:pt>
                <c:pt idx="9">
                  <c:v>41467</c:v>
                </c:pt>
                <c:pt idx="10">
                  <c:v>41468</c:v>
                </c:pt>
                <c:pt idx="11">
                  <c:v>41469</c:v>
                </c:pt>
                <c:pt idx="12">
                  <c:v>41470</c:v>
                </c:pt>
                <c:pt idx="13">
                  <c:v>41471</c:v>
                </c:pt>
                <c:pt idx="14">
                  <c:v>41472</c:v>
                </c:pt>
                <c:pt idx="15">
                  <c:v>41473</c:v>
                </c:pt>
                <c:pt idx="16">
                  <c:v>41474</c:v>
                </c:pt>
                <c:pt idx="17">
                  <c:v>41475</c:v>
                </c:pt>
                <c:pt idx="18">
                  <c:v>41476</c:v>
                </c:pt>
                <c:pt idx="19">
                  <c:v>41477</c:v>
                </c:pt>
                <c:pt idx="20">
                  <c:v>41478</c:v>
                </c:pt>
                <c:pt idx="21">
                  <c:v>41479</c:v>
                </c:pt>
                <c:pt idx="22">
                  <c:v>41480</c:v>
                </c:pt>
                <c:pt idx="23">
                  <c:v>41481</c:v>
                </c:pt>
                <c:pt idx="24">
                  <c:v>41482</c:v>
                </c:pt>
                <c:pt idx="25">
                  <c:v>41483</c:v>
                </c:pt>
                <c:pt idx="26">
                  <c:v>41484</c:v>
                </c:pt>
                <c:pt idx="27">
                  <c:v>41485</c:v>
                </c:pt>
                <c:pt idx="28">
                  <c:v>41486</c:v>
                </c:pt>
                <c:pt idx="29">
                  <c:v>41487</c:v>
                </c:pt>
                <c:pt idx="30">
                  <c:v>41488</c:v>
                </c:pt>
                <c:pt idx="31">
                  <c:v>41489</c:v>
                </c:pt>
                <c:pt idx="32">
                  <c:v>41490</c:v>
                </c:pt>
                <c:pt idx="33">
                  <c:v>41491</c:v>
                </c:pt>
                <c:pt idx="34">
                  <c:v>41492</c:v>
                </c:pt>
                <c:pt idx="35">
                  <c:v>41493</c:v>
                </c:pt>
                <c:pt idx="36">
                  <c:v>41494</c:v>
                </c:pt>
                <c:pt idx="37">
                  <c:v>41495</c:v>
                </c:pt>
                <c:pt idx="38">
                  <c:v>41496</c:v>
                </c:pt>
                <c:pt idx="39">
                  <c:v>41497</c:v>
                </c:pt>
                <c:pt idx="40">
                  <c:v>41498</c:v>
                </c:pt>
                <c:pt idx="41">
                  <c:v>41499</c:v>
                </c:pt>
                <c:pt idx="42">
                  <c:v>41500</c:v>
                </c:pt>
                <c:pt idx="43">
                  <c:v>41501</c:v>
                </c:pt>
                <c:pt idx="44">
                  <c:v>41502</c:v>
                </c:pt>
                <c:pt idx="45">
                  <c:v>41503</c:v>
                </c:pt>
                <c:pt idx="46">
                  <c:v>41504</c:v>
                </c:pt>
                <c:pt idx="47">
                  <c:v>41505</c:v>
                </c:pt>
                <c:pt idx="48">
                  <c:v>41506</c:v>
                </c:pt>
                <c:pt idx="49">
                  <c:v>41507</c:v>
                </c:pt>
                <c:pt idx="50">
                  <c:v>41508</c:v>
                </c:pt>
                <c:pt idx="51">
                  <c:v>41509</c:v>
                </c:pt>
                <c:pt idx="52">
                  <c:v>41510</c:v>
                </c:pt>
                <c:pt idx="53">
                  <c:v>41511</c:v>
                </c:pt>
                <c:pt idx="54">
                  <c:v>41512</c:v>
                </c:pt>
                <c:pt idx="55">
                  <c:v>41513</c:v>
                </c:pt>
                <c:pt idx="56">
                  <c:v>41514</c:v>
                </c:pt>
                <c:pt idx="57">
                  <c:v>41515</c:v>
                </c:pt>
                <c:pt idx="58">
                  <c:v>41516</c:v>
                </c:pt>
                <c:pt idx="59">
                  <c:v>41517</c:v>
                </c:pt>
                <c:pt idx="60">
                  <c:v>41518</c:v>
                </c:pt>
                <c:pt idx="61">
                  <c:v>41519</c:v>
                </c:pt>
                <c:pt idx="62">
                  <c:v>41520</c:v>
                </c:pt>
                <c:pt idx="63">
                  <c:v>41521</c:v>
                </c:pt>
                <c:pt idx="64">
                  <c:v>41522</c:v>
                </c:pt>
                <c:pt idx="65">
                  <c:v>41523</c:v>
                </c:pt>
                <c:pt idx="66">
                  <c:v>41524</c:v>
                </c:pt>
                <c:pt idx="67">
                  <c:v>41525</c:v>
                </c:pt>
                <c:pt idx="68">
                  <c:v>41526</c:v>
                </c:pt>
                <c:pt idx="69">
                  <c:v>41527</c:v>
                </c:pt>
                <c:pt idx="70">
                  <c:v>41528</c:v>
                </c:pt>
                <c:pt idx="71">
                  <c:v>41529</c:v>
                </c:pt>
                <c:pt idx="72">
                  <c:v>41530</c:v>
                </c:pt>
                <c:pt idx="73">
                  <c:v>41531</c:v>
                </c:pt>
                <c:pt idx="74">
                  <c:v>41532</c:v>
                </c:pt>
                <c:pt idx="75">
                  <c:v>41533</c:v>
                </c:pt>
                <c:pt idx="76">
                  <c:v>41534</c:v>
                </c:pt>
                <c:pt idx="77">
                  <c:v>41535</c:v>
                </c:pt>
                <c:pt idx="78">
                  <c:v>41536</c:v>
                </c:pt>
                <c:pt idx="79">
                  <c:v>41537</c:v>
                </c:pt>
                <c:pt idx="80">
                  <c:v>41538</c:v>
                </c:pt>
                <c:pt idx="81">
                  <c:v>41539</c:v>
                </c:pt>
                <c:pt idx="82">
                  <c:v>41540</c:v>
                </c:pt>
                <c:pt idx="83">
                  <c:v>41541</c:v>
                </c:pt>
                <c:pt idx="84">
                  <c:v>41542</c:v>
                </c:pt>
                <c:pt idx="85">
                  <c:v>41543</c:v>
                </c:pt>
                <c:pt idx="86">
                  <c:v>41544</c:v>
                </c:pt>
                <c:pt idx="87">
                  <c:v>41545</c:v>
                </c:pt>
                <c:pt idx="88">
                  <c:v>41546</c:v>
                </c:pt>
                <c:pt idx="89">
                  <c:v>41547</c:v>
                </c:pt>
                <c:pt idx="90">
                  <c:v>41548</c:v>
                </c:pt>
                <c:pt idx="91">
                  <c:v>41549</c:v>
                </c:pt>
                <c:pt idx="92">
                  <c:v>41550</c:v>
                </c:pt>
                <c:pt idx="93">
                  <c:v>41551</c:v>
                </c:pt>
                <c:pt idx="94">
                  <c:v>41552</c:v>
                </c:pt>
                <c:pt idx="95">
                  <c:v>41553</c:v>
                </c:pt>
                <c:pt idx="96">
                  <c:v>41554</c:v>
                </c:pt>
                <c:pt idx="97">
                  <c:v>41555</c:v>
                </c:pt>
                <c:pt idx="98">
                  <c:v>41556</c:v>
                </c:pt>
                <c:pt idx="99">
                  <c:v>41557</c:v>
                </c:pt>
                <c:pt idx="100">
                  <c:v>41558</c:v>
                </c:pt>
                <c:pt idx="101">
                  <c:v>41559</c:v>
                </c:pt>
                <c:pt idx="102">
                  <c:v>41560</c:v>
                </c:pt>
                <c:pt idx="103">
                  <c:v>41561</c:v>
                </c:pt>
                <c:pt idx="104">
                  <c:v>41562</c:v>
                </c:pt>
                <c:pt idx="105">
                  <c:v>41563</c:v>
                </c:pt>
                <c:pt idx="106">
                  <c:v>41564</c:v>
                </c:pt>
                <c:pt idx="107">
                  <c:v>41565</c:v>
                </c:pt>
                <c:pt idx="108">
                  <c:v>41566</c:v>
                </c:pt>
                <c:pt idx="109">
                  <c:v>41567</c:v>
                </c:pt>
                <c:pt idx="110">
                  <c:v>41568</c:v>
                </c:pt>
                <c:pt idx="111">
                  <c:v>41569</c:v>
                </c:pt>
                <c:pt idx="112">
                  <c:v>41570</c:v>
                </c:pt>
                <c:pt idx="113">
                  <c:v>41571</c:v>
                </c:pt>
                <c:pt idx="114">
                  <c:v>41572</c:v>
                </c:pt>
                <c:pt idx="115">
                  <c:v>41573</c:v>
                </c:pt>
                <c:pt idx="116">
                  <c:v>41574</c:v>
                </c:pt>
                <c:pt idx="117">
                  <c:v>41575</c:v>
                </c:pt>
                <c:pt idx="118">
                  <c:v>41576</c:v>
                </c:pt>
                <c:pt idx="119">
                  <c:v>41577</c:v>
                </c:pt>
                <c:pt idx="120">
                  <c:v>41578</c:v>
                </c:pt>
                <c:pt idx="121">
                  <c:v>41579</c:v>
                </c:pt>
                <c:pt idx="122">
                  <c:v>41580</c:v>
                </c:pt>
                <c:pt idx="123">
                  <c:v>41581</c:v>
                </c:pt>
                <c:pt idx="124">
                  <c:v>41582</c:v>
                </c:pt>
                <c:pt idx="125">
                  <c:v>41583</c:v>
                </c:pt>
                <c:pt idx="126">
                  <c:v>41584</c:v>
                </c:pt>
                <c:pt idx="127">
                  <c:v>41585</c:v>
                </c:pt>
                <c:pt idx="128">
                  <c:v>41586</c:v>
                </c:pt>
                <c:pt idx="129">
                  <c:v>41587</c:v>
                </c:pt>
                <c:pt idx="130">
                  <c:v>41588</c:v>
                </c:pt>
                <c:pt idx="131">
                  <c:v>41589</c:v>
                </c:pt>
                <c:pt idx="132">
                  <c:v>41590</c:v>
                </c:pt>
                <c:pt idx="133">
                  <c:v>41591</c:v>
                </c:pt>
                <c:pt idx="134">
                  <c:v>41592</c:v>
                </c:pt>
                <c:pt idx="135">
                  <c:v>41593</c:v>
                </c:pt>
                <c:pt idx="136">
                  <c:v>41594</c:v>
                </c:pt>
                <c:pt idx="137">
                  <c:v>41595</c:v>
                </c:pt>
                <c:pt idx="138">
                  <c:v>41596</c:v>
                </c:pt>
                <c:pt idx="139">
                  <c:v>41597</c:v>
                </c:pt>
                <c:pt idx="140">
                  <c:v>41598</c:v>
                </c:pt>
                <c:pt idx="141">
                  <c:v>41599</c:v>
                </c:pt>
                <c:pt idx="142">
                  <c:v>41600</c:v>
                </c:pt>
                <c:pt idx="143">
                  <c:v>41601</c:v>
                </c:pt>
                <c:pt idx="144">
                  <c:v>41602</c:v>
                </c:pt>
                <c:pt idx="145">
                  <c:v>41603</c:v>
                </c:pt>
                <c:pt idx="146">
                  <c:v>41604</c:v>
                </c:pt>
                <c:pt idx="147">
                  <c:v>41605</c:v>
                </c:pt>
                <c:pt idx="148">
                  <c:v>41606</c:v>
                </c:pt>
                <c:pt idx="149">
                  <c:v>41607</c:v>
                </c:pt>
                <c:pt idx="150">
                  <c:v>41608</c:v>
                </c:pt>
                <c:pt idx="151">
                  <c:v>41609</c:v>
                </c:pt>
                <c:pt idx="152">
                  <c:v>41610</c:v>
                </c:pt>
                <c:pt idx="153">
                  <c:v>41611</c:v>
                </c:pt>
                <c:pt idx="154">
                  <c:v>41612</c:v>
                </c:pt>
                <c:pt idx="155">
                  <c:v>41613</c:v>
                </c:pt>
                <c:pt idx="156">
                  <c:v>41614</c:v>
                </c:pt>
                <c:pt idx="157">
                  <c:v>41615</c:v>
                </c:pt>
                <c:pt idx="158">
                  <c:v>41616</c:v>
                </c:pt>
                <c:pt idx="159">
                  <c:v>41617</c:v>
                </c:pt>
                <c:pt idx="160">
                  <c:v>41618</c:v>
                </c:pt>
                <c:pt idx="161">
                  <c:v>41619</c:v>
                </c:pt>
              </c:numCache>
            </c:numRef>
          </c:cat>
          <c:val>
            <c:numRef>
              <c:f>Problem1!$C$6:$C$169</c:f>
              <c:numCache>
                <c:formatCode>_("$"* #,##0_);_("$"* \(#,##0\);_("$"* "-"??_);_(@_)</c:formatCode>
                <c:ptCount val="162"/>
                <c:pt idx="0">
                  <c:v>479</c:v>
                </c:pt>
                <c:pt idx="1">
                  <c:v>473</c:v>
                </c:pt>
                <c:pt idx="2">
                  <c:v>528</c:v>
                </c:pt>
                <c:pt idx="3">
                  <c:v>520</c:v>
                </c:pt>
                <c:pt idx="4">
                  <c:v>500</c:v>
                </c:pt>
                <c:pt idx="5">
                  <c:v>534</c:v>
                </c:pt>
                <c:pt idx="6">
                  <c:v>488</c:v>
                </c:pt>
                <c:pt idx="7">
                  <c:v>489</c:v>
                </c:pt>
                <c:pt idx="8">
                  <c:v>490</c:v>
                </c:pt>
                <c:pt idx="9">
                  <c:v>511</c:v>
                </c:pt>
                <c:pt idx="10">
                  <c:v>521</c:v>
                </c:pt>
                <c:pt idx="11">
                  <c:v>513</c:v>
                </c:pt>
                <c:pt idx="12">
                  <c:v>508</c:v>
                </c:pt>
                <c:pt idx="13">
                  <c:v>527</c:v>
                </c:pt>
                <c:pt idx="14">
                  <c:v>565</c:v>
                </c:pt>
                <c:pt idx="15">
                  <c:v>492</c:v>
                </c:pt>
                <c:pt idx="16">
                  <c:v>508</c:v>
                </c:pt>
                <c:pt idx="17">
                  <c:v>490</c:v>
                </c:pt>
                <c:pt idx="18">
                  <c:v>464</c:v>
                </c:pt>
                <c:pt idx="19">
                  <c:v>549</c:v>
                </c:pt>
                <c:pt idx="20">
                  <c:v>489</c:v>
                </c:pt>
                <c:pt idx="21">
                  <c:v>514</c:v>
                </c:pt>
                <c:pt idx="22">
                  <c:v>504</c:v>
                </c:pt>
                <c:pt idx="23">
                  <c:v>515</c:v>
                </c:pt>
                <c:pt idx="24">
                  <c:v>545</c:v>
                </c:pt>
                <c:pt idx="25">
                  <c:v>496</c:v>
                </c:pt>
                <c:pt idx="26">
                  <c:v>492</c:v>
                </c:pt>
                <c:pt idx="27">
                  <c:v>535</c:v>
                </c:pt>
                <c:pt idx="28">
                  <c:v>514</c:v>
                </c:pt>
                <c:pt idx="29">
                  <c:v>527</c:v>
                </c:pt>
                <c:pt idx="30">
                  <c:v>481</c:v>
                </c:pt>
                <c:pt idx="31">
                  <c:v>499</c:v>
                </c:pt>
                <c:pt idx="32">
                  <c:v>487</c:v>
                </c:pt>
                <c:pt idx="33">
                  <c:v>528</c:v>
                </c:pt>
                <c:pt idx="34">
                  <c:v>479</c:v>
                </c:pt>
                <c:pt idx="35">
                  <c:v>486</c:v>
                </c:pt>
                <c:pt idx="36">
                  <c:v>476</c:v>
                </c:pt>
                <c:pt idx="37">
                  <c:v>519</c:v>
                </c:pt>
                <c:pt idx="38">
                  <c:v>526</c:v>
                </c:pt>
                <c:pt idx="39">
                  <c:v>487</c:v>
                </c:pt>
                <c:pt idx="40">
                  <c:v>510</c:v>
                </c:pt>
                <c:pt idx="41">
                  <c:v>485</c:v>
                </c:pt>
                <c:pt idx="42">
                  <c:v>436</c:v>
                </c:pt>
                <c:pt idx="43">
                  <c:v>485</c:v>
                </c:pt>
                <c:pt idx="44">
                  <c:v>521</c:v>
                </c:pt>
                <c:pt idx="45">
                  <c:v>488</c:v>
                </c:pt>
                <c:pt idx="46">
                  <c:v>482</c:v>
                </c:pt>
                <c:pt idx="47">
                  <c:v>478</c:v>
                </c:pt>
                <c:pt idx="48">
                  <c:v>528</c:v>
                </c:pt>
                <c:pt idx="49">
                  <c:v>477</c:v>
                </c:pt>
                <c:pt idx="50">
                  <c:v>501</c:v>
                </c:pt>
                <c:pt idx="51">
                  <c:v>511</c:v>
                </c:pt>
                <c:pt idx="52">
                  <c:v>495</c:v>
                </c:pt>
                <c:pt idx="53">
                  <c:v>476</c:v>
                </c:pt>
                <c:pt idx="54">
                  <c:v>519</c:v>
                </c:pt>
                <c:pt idx="55">
                  <c:v>475</c:v>
                </c:pt>
                <c:pt idx="56">
                  <c:v>475</c:v>
                </c:pt>
                <c:pt idx="57">
                  <c:v>499</c:v>
                </c:pt>
                <c:pt idx="58">
                  <c:v>512</c:v>
                </c:pt>
                <c:pt idx="59">
                  <c:v>440</c:v>
                </c:pt>
                <c:pt idx="60">
                  <c:v>531</c:v>
                </c:pt>
                <c:pt idx="61">
                  <c:v>493</c:v>
                </c:pt>
                <c:pt idx="62">
                  <c:v>508</c:v>
                </c:pt>
                <c:pt idx="63">
                  <c:v>474</c:v>
                </c:pt>
                <c:pt idx="64">
                  <c:v>523</c:v>
                </c:pt>
                <c:pt idx="65">
                  <c:v>528</c:v>
                </c:pt>
                <c:pt idx="66">
                  <c:v>549</c:v>
                </c:pt>
                <c:pt idx="67">
                  <c:v>510</c:v>
                </c:pt>
                <c:pt idx="68">
                  <c:v>545</c:v>
                </c:pt>
                <c:pt idx="69">
                  <c:v>544</c:v>
                </c:pt>
                <c:pt idx="70">
                  <c:v>512</c:v>
                </c:pt>
                <c:pt idx="71">
                  <c:v>488</c:v>
                </c:pt>
                <c:pt idx="72">
                  <c:v>537</c:v>
                </c:pt>
                <c:pt idx="73">
                  <c:v>527</c:v>
                </c:pt>
                <c:pt idx="74">
                  <c:v>487</c:v>
                </c:pt>
                <c:pt idx="75">
                  <c:v>462</c:v>
                </c:pt>
                <c:pt idx="76">
                  <c:v>471</c:v>
                </c:pt>
                <c:pt idx="77">
                  <c:v>490</c:v>
                </c:pt>
                <c:pt idx="78">
                  <c:v>518</c:v>
                </c:pt>
                <c:pt idx="79">
                  <c:v>478</c:v>
                </c:pt>
                <c:pt idx="80">
                  <c:v>457</c:v>
                </c:pt>
                <c:pt idx="81">
                  <c:v>502</c:v>
                </c:pt>
                <c:pt idx="82">
                  <c:v>532</c:v>
                </c:pt>
                <c:pt idx="83">
                  <c:v>512</c:v>
                </c:pt>
                <c:pt idx="84">
                  <c:v>523</c:v>
                </c:pt>
                <c:pt idx="85">
                  <c:v>537</c:v>
                </c:pt>
                <c:pt idx="86">
                  <c:v>503</c:v>
                </c:pt>
                <c:pt idx="87">
                  <c:v>487</c:v>
                </c:pt>
                <c:pt idx="88">
                  <c:v>530</c:v>
                </c:pt>
                <c:pt idx="89">
                  <c:v>523</c:v>
                </c:pt>
                <c:pt idx="90">
                  <c:v>483</c:v>
                </c:pt>
                <c:pt idx="91">
                  <c:v>499</c:v>
                </c:pt>
                <c:pt idx="92">
                  <c:v>463</c:v>
                </c:pt>
                <c:pt idx="93">
                  <c:v>522</c:v>
                </c:pt>
                <c:pt idx="94">
                  <c:v>457</c:v>
                </c:pt>
                <c:pt idx="95">
                  <c:v>505</c:v>
                </c:pt>
                <c:pt idx="96">
                  <c:v>484</c:v>
                </c:pt>
                <c:pt idx="97">
                  <c:v>520</c:v>
                </c:pt>
                <c:pt idx="98">
                  <c:v>503</c:v>
                </c:pt>
                <c:pt idx="99">
                  <c:v>484</c:v>
                </c:pt>
                <c:pt idx="100">
                  <c:v>522</c:v>
                </c:pt>
                <c:pt idx="101">
                  <c:v>536</c:v>
                </c:pt>
                <c:pt idx="102">
                  <c:v>471</c:v>
                </c:pt>
                <c:pt idx="103">
                  <c:v>477</c:v>
                </c:pt>
                <c:pt idx="104">
                  <c:v>478</c:v>
                </c:pt>
                <c:pt idx="105">
                  <c:v>492</c:v>
                </c:pt>
                <c:pt idx="106">
                  <c:v>473</c:v>
                </c:pt>
                <c:pt idx="107">
                  <c:v>518</c:v>
                </c:pt>
                <c:pt idx="108">
                  <c:v>485</c:v>
                </c:pt>
                <c:pt idx="109">
                  <c:v>502</c:v>
                </c:pt>
                <c:pt idx="110">
                  <c:v>448</c:v>
                </c:pt>
                <c:pt idx="111">
                  <c:v>504</c:v>
                </c:pt>
                <c:pt idx="112">
                  <c:v>492</c:v>
                </c:pt>
                <c:pt idx="113">
                  <c:v>503</c:v>
                </c:pt>
                <c:pt idx="114">
                  <c:v>490</c:v>
                </c:pt>
                <c:pt idx="115">
                  <c:v>489</c:v>
                </c:pt>
                <c:pt idx="116">
                  <c:v>485</c:v>
                </c:pt>
                <c:pt idx="117">
                  <c:v>503</c:v>
                </c:pt>
                <c:pt idx="118">
                  <c:v>513</c:v>
                </c:pt>
                <c:pt idx="119">
                  <c:v>502</c:v>
                </c:pt>
                <c:pt idx="120">
                  <c:v>512</c:v>
                </c:pt>
                <c:pt idx="121">
                  <c:v>534</c:v>
                </c:pt>
                <c:pt idx="122">
                  <c:v>480</c:v>
                </c:pt>
                <c:pt idx="123">
                  <c:v>441</c:v>
                </c:pt>
                <c:pt idx="124">
                  <c:v>511</c:v>
                </c:pt>
                <c:pt idx="125">
                  <c:v>494</c:v>
                </c:pt>
                <c:pt idx="126">
                  <c:v>494</c:v>
                </c:pt>
                <c:pt idx="127">
                  <c:v>520</c:v>
                </c:pt>
                <c:pt idx="128">
                  <c:v>587</c:v>
                </c:pt>
                <c:pt idx="129">
                  <c:v>503</c:v>
                </c:pt>
                <c:pt idx="130">
                  <c:v>505</c:v>
                </c:pt>
                <c:pt idx="131">
                  <c:v>540</c:v>
                </c:pt>
                <c:pt idx="132">
                  <c:v>458</c:v>
                </c:pt>
                <c:pt idx="133">
                  <c:v>548</c:v>
                </c:pt>
                <c:pt idx="134">
                  <c:v>535</c:v>
                </c:pt>
                <c:pt idx="135">
                  <c:v>477</c:v>
                </c:pt>
                <c:pt idx="136">
                  <c:v>551</c:v>
                </c:pt>
                <c:pt idx="137">
                  <c:v>516</c:v>
                </c:pt>
                <c:pt idx="138">
                  <c:v>503</c:v>
                </c:pt>
                <c:pt idx="139">
                  <c:v>467</c:v>
                </c:pt>
                <c:pt idx="140">
                  <c:v>491</c:v>
                </c:pt>
                <c:pt idx="141">
                  <c:v>478</c:v>
                </c:pt>
                <c:pt idx="142">
                  <c:v>481</c:v>
                </c:pt>
                <c:pt idx="143">
                  <c:v>505</c:v>
                </c:pt>
                <c:pt idx="144">
                  <c:v>485</c:v>
                </c:pt>
                <c:pt idx="145">
                  <c:v>483</c:v>
                </c:pt>
                <c:pt idx="146">
                  <c:v>529</c:v>
                </c:pt>
                <c:pt idx="147">
                  <c:v>506</c:v>
                </c:pt>
                <c:pt idx="148">
                  <c:v>478</c:v>
                </c:pt>
                <c:pt idx="149">
                  <c:v>503</c:v>
                </c:pt>
                <c:pt idx="150">
                  <c:v>521</c:v>
                </c:pt>
                <c:pt idx="151">
                  <c:v>481</c:v>
                </c:pt>
                <c:pt idx="152">
                  <c:v>508</c:v>
                </c:pt>
                <c:pt idx="153">
                  <c:v>551</c:v>
                </c:pt>
                <c:pt idx="154">
                  <c:v>473</c:v>
                </c:pt>
                <c:pt idx="155">
                  <c:v>493</c:v>
                </c:pt>
                <c:pt idx="156">
                  <c:v>489</c:v>
                </c:pt>
                <c:pt idx="157">
                  <c:v>497</c:v>
                </c:pt>
                <c:pt idx="158">
                  <c:v>507</c:v>
                </c:pt>
                <c:pt idx="159">
                  <c:v>481</c:v>
                </c:pt>
                <c:pt idx="160">
                  <c:v>542</c:v>
                </c:pt>
                <c:pt idx="161">
                  <c:v>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4-4C46-9B43-6744DCADEE61}"/>
            </c:ext>
          </c:extLst>
        </c:ser>
        <c:ser>
          <c:idx val="1"/>
          <c:order val="1"/>
          <c:tx>
            <c:strRef>
              <c:f>Problem1!$F$5</c:f>
              <c:strCache>
                <c:ptCount val="1"/>
                <c:pt idx="0">
                  <c:v>Values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Problem1!$B$6:$B$169</c:f>
              <c:numCache>
                <c:formatCode>d\-mmm\-yy</c:formatCode>
                <c:ptCount val="162"/>
                <c:pt idx="0">
                  <c:v>41458</c:v>
                </c:pt>
                <c:pt idx="1">
                  <c:v>41459</c:v>
                </c:pt>
                <c:pt idx="2">
                  <c:v>41460</c:v>
                </c:pt>
                <c:pt idx="3">
                  <c:v>41461</c:v>
                </c:pt>
                <c:pt idx="4">
                  <c:v>41462</c:v>
                </c:pt>
                <c:pt idx="5">
                  <c:v>41463</c:v>
                </c:pt>
                <c:pt idx="6">
                  <c:v>41464</c:v>
                </c:pt>
                <c:pt idx="7">
                  <c:v>41465</c:v>
                </c:pt>
                <c:pt idx="8">
                  <c:v>41466</c:v>
                </c:pt>
                <c:pt idx="9">
                  <c:v>41467</c:v>
                </c:pt>
                <c:pt idx="10">
                  <c:v>41468</c:v>
                </c:pt>
                <c:pt idx="11">
                  <c:v>41469</c:v>
                </c:pt>
                <c:pt idx="12">
                  <c:v>41470</c:v>
                </c:pt>
                <c:pt idx="13">
                  <c:v>41471</c:v>
                </c:pt>
                <c:pt idx="14">
                  <c:v>41472</c:v>
                </c:pt>
                <c:pt idx="15">
                  <c:v>41473</c:v>
                </c:pt>
                <c:pt idx="16">
                  <c:v>41474</c:v>
                </c:pt>
                <c:pt idx="17">
                  <c:v>41475</c:v>
                </c:pt>
                <c:pt idx="18">
                  <c:v>41476</c:v>
                </c:pt>
                <c:pt idx="19">
                  <c:v>41477</c:v>
                </c:pt>
                <c:pt idx="20">
                  <c:v>41478</c:v>
                </c:pt>
                <c:pt idx="21">
                  <c:v>41479</c:v>
                </c:pt>
                <c:pt idx="22">
                  <c:v>41480</c:v>
                </c:pt>
                <c:pt idx="23">
                  <c:v>41481</c:v>
                </c:pt>
                <c:pt idx="24">
                  <c:v>41482</c:v>
                </c:pt>
                <c:pt idx="25">
                  <c:v>41483</c:v>
                </c:pt>
                <c:pt idx="26">
                  <c:v>41484</c:v>
                </c:pt>
                <c:pt idx="27">
                  <c:v>41485</c:v>
                </c:pt>
                <c:pt idx="28">
                  <c:v>41486</c:v>
                </c:pt>
                <c:pt idx="29">
                  <c:v>41487</c:v>
                </c:pt>
                <c:pt idx="30">
                  <c:v>41488</c:v>
                </c:pt>
                <c:pt idx="31">
                  <c:v>41489</c:v>
                </c:pt>
                <c:pt idx="32">
                  <c:v>41490</c:v>
                </c:pt>
                <c:pt idx="33">
                  <c:v>41491</c:v>
                </c:pt>
                <c:pt idx="34">
                  <c:v>41492</c:v>
                </c:pt>
                <c:pt idx="35">
                  <c:v>41493</c:v>
                </c:pt>
                <c:pt idx="36">
                  <c:v>41494</c:v>
                </c:pt>
                <c:pt idx="37">
                  <c:v>41495</c:v>
                </c:pt>
                <c:pt idx="38">
                  <c:v>41496</c:v>
                </c:pt>
                <c:pt idx="39">
                  <c:v>41497</c:v>
                </c:pt>
                <c:pt idx="40">
                  <c:v>41498</c:v>
                </c:pt>
                <c:pt idx="41">
                  <c:v>41499</c:v>
                </c:pt>
                <c:pt idx="42">
                  <c:v>41500</c:v>
                </c:pt>
                <c:pt idx="43">
                  <c:v>41501</c:v>
                </c:pt>
                <c:pt idx="44">
                  <c:v>41502</c:v>
                </c:pt>
                <c:pt idx="45">
                  <c:v>41503</c:v>
                </c:pt>
                <c:pt idx="46">
                  <c:v>41504</c:v>
                </c:pt>
                <c:pt idx="47">
                  <c:v>41505</c:v>
                </c:pt>
                <c:pt idx="48">
                  <c:v>41506</c:v>
                </c:pt>
                <c:pt idx="49">
                  <c:v>41507</c:v>
                </c:pt>
                <c:pt idx="50">
                  <c:v>41508</c:v>
                </c:pt>
                <c:pt idx="51">
                  <c:v>41509</c:v>
                </c:pt>
                <c:pt idx="52">
                  <c:v>41510</c:v>
                </c:pt>
                <c:pt idx="53">
                  <c:v>41511</c:v>
                </c:pt>
                <c:pt idx="54">
                  <c:v>41512</c:v>
                </c:pt>
                <c:pt idx="55">
                  <c:v>41513</c:v>
                </c:pt>
                <c:pt idx="56">
                  <c:v>41514</c:v>
                </c:pt>
                <c:pt idx="57">
                  <c:v>41515</c:v>
                </c:pt>
                <c:pt idx="58">
                  <c:v>41516</c:v>
                </c:pt>
                <c:pt idx="59">
                  <c:v>41517</c:v>
                </c:pt>
                <c:pt idx="60">
                  <c:v>41518</c:v>
                </c:pt>
                <c:pt idx="61">
                  <c:v>41519</c:v>
                </c:pt>
                <c:pt idx="62">
                  <c:v>41520</c:v>
                </c:pt>
                <c:pt idx="63">
                  <c:v>41521</c:v>
                </c:pt>
                <c:pt idx="64">
                  <c:v>41522</c:v>
                </c:pt>
                <c:pt idx="65">
                  <c:v>41523</c:v>
                </c:pt>
                <c:pt idx="66">
                  <c:v>41524</c:v>
                </c:pt>
                <c:pt idx="67">
                  <c:v>41525</c:v>
                </c:pt>
                <c:pt idx="68">
                  <c:v>41526</c:v>
                </c:pt>
                <c:pt idx="69">
                  <c:v>41527</c:v>
                </c:pt>
                <c:pt idx="70">
                  <c:v>41528</c:v>
                </c:pt>
                <c:pt idx="71">
                  <c:v>41529</c:v>
                </c:pt>
                <c:pt idx="72">
                  <c:v>41530</c:v>
                </c:pt>
                <c:pt idx="73">
                  <c:v>41531</c:v>
                </c:pt>
                <c:pt idx="74">
                  <c:v>41532</c:v>
                </c:pt>
                <c:pt idx="75">
                  <c:v>41533</c:v>
                </c:pt>
                <c:pt idx="76">
                  <c:v>41534</c:v>
                </c:pt>
                <c:pt idx="77">
                  <c:v>41535</c:v>
                </c:pt>
                <c:pt idx="78">
                  <c:v>41536</c:v>
                </c:pt>
                <c:pt idx="79">
                  <c:v>41537</c:v>
                </c:pt>
                <c:pt idx="80">
                  <c:v>41538</c:v>
                </c:pt>
                <c:pt idx="81">
                  <c:v>41539</c:v>
                </c:pt>
                <c:pt idx="82">
                  <c:v>41540</c:v>
                </c:pt>
                <c:pt idx="83">
                  <c:v>41541</c:v>
                </c:pt>
                <c:pt idx="84">
                  <c:v>41542</c:v>
                </c:pt>
                <c:pt idx="85">
                  <c:v>41543</c:v>
                </c:pt>
                <c:pt idx="86">
                  <c:v>41544</c:v>
                </c:pt>
                <c:pt idx="87">
                  <c:v>41545</c:v>
                </c:pt>
                <c:pt idx="88">
                  <c:v>41546</c:v>
                </c:pt>
                <c:pt idx="89">
                  <c:v>41547</c:v>
                </c:pt>
                <c:pt idx="90">
                  <c:v>41548</c:v>
                </c:pt>
                <c:pt idx="91">
                  <c:v>41549</c:v>
                </c:pt>
                <c:pt idx="92">
                  <c:v>41550</c:v>
                </c:pt>
                <c:pt idx="93">
                  <c:v>41551</c:v>
                </c:pt>
                <c:pt idx="94">
                  <c:v>41552</c:v>
                </c:pt>
                <c:pt idx="95">
                  <c:v>41553</c:v>
                </c:pt>
                <c:pt idx="96">
                  <c:v>41554</c:v>
                </c:pt>
                <c:pt idx="97">
                  <c:v>41555</c:v>
                </c:pt>
                <c:pt idx="98">
                  <c:v>41556</c:v>
                </c:pt>
                <c:pt idx="99">
                  <c:v>41557</c:v>
                </c:pt>
                <c:pt idx="100">
                  <c:v>41558</c:v>
                </c:pt>
                <c:pt idx="101">
                  <c:v>41559</c:v>
                </c:pt>
                <c:pt idx="102">
                  <c:v>41560</c:v>
                </c:pt>
                <c:pt idx="103">
                  <c:v>41561</c:v>
                </c:pt>
                <c:pt idx="104">
                  <c:v>41562</c:v>
                </c:pt>
                <c:pt idx="105">
                  <c:v>41563</c:v>
                </c:pt>
                <c:pt idx="106">
                  <c:v>41564</c:v>
                </c:pt>
                <c:pt idx="107">
                  <c:v>41565</c:v>
                </c:pt>
                <c:pt idx="108">
                  <c:v>41566</c:v>
                </c:pt>
                <c:pt idx="109">
                  <c:v>41567</c:v>
                </c:pt>
                <c:pt idx="110">
                  <c:v>41568</c:v>
                </c:pt>
                <c:pt idx="111">
                  <c:v>41569</c:v>
                </c:pt>
                <c:pt idx="112">
                  <c:v>41570</c:v>
                </c:pt>
                <c:pt idx="113">
                  <c:v>41571</c:v>
                </c:pt>
                <c:pt idx="114">
                  <c:v>41572</c:v>
                </c:pt>
                <c:pt idx="115">
                  <c:v>41573</c:v>
                </c:pt>
                <c:pt idx="116">
                  <c:v>41574</c:v>
                </c:pt>
                <c:pt idx="117">
                  <c:v>41575</c:v>
                </c:pt>
                <c:pt idx="118">
                  <c:v>41576</c:v>
                </c:pt>
                <c:pt idx="119">
                  <c:v>41577</c:v>
                </c:pt>
                <c:pt idx="120">
                  <c:v>41578</c:v>
                </c:pt>
                <c:pt idx="121">
                  <c:v>41579</c:v>
                </c:pt>
                <c:pt idx="122">
                  <c:v>41580</c:v>
                </c:pt>
                <c:pt idx="123">
                  <c:v>41581</c:v>
                </c:pt>
                <c:pt idx="124">
                  <c:v>41582</c:v>
                </c:pt>
                <c:pt idx="125">
                  <c:v>41583</c:v>
                </c:pt>
                <c:pt idx="126">
                  <c:v>41584</c:v>
                </c:pt>
                <c:pt idx="127">
                  <c:v>41585</c:v>
                </c:pt>
                <c:pt idx="128">
                  <c:v>41586</c:v>
                </c:pt>
                <c:pt idx="129">
                  <c:v>41587</c:v>
                </c:pt>
                <c:pt idx="130">
                  <c:v>41588</c:v>
                </c:pt>
                <c:pt idx="131">
                  <c:v>41589</c:v>
                </c:pt>
                <c:pt idx="132">
                  <c:v>41590</c:v>
                </c:pt>
                <c:pt idx="133">
                  <c:v>41591</c:v>
                </c:pt>
                <c:pt idx="134">
                  <c:v>41592</c:v>
                </c:pt>
                <c:pt idx="135">
                  <c:v>41593</c:v>
                </c:pt>
                <c:pt idx="136">
                  <c:v>41594</c:v>
                </c:pt>
                <c:pt idx="137">
                  <c:v>41595</c:v>
                </c:pt>
                <c:pt idx="138">
                  <c:v>41596</c:v>
                </c:pt>
                <c:pt idx="139">
                  <c:v>41597</c:v>
                </c:pt>
                <c:pt idx="140">
                  <c:v>41598</c:v>
                </c:pt>
                <c:pt idx="141">
                  <c:v>41599</c:v>
                </c:pt>
                <c:pt idx="142">
                  <c:v>41600</c:v>
                </c:pt>
                <c:pt idx="143">
                  <c:v>41601</c:v>
                </c:pt>
                <c:pt idx="144">
                  <c:v>41602</c:v>
                </c:pt>
                <c:pt idx="145">
                  <c:v>41603</c:v>
                </c:pt>
                <c:pt idx="146">
                  <c:v>41604</c:v>
                </c:pt>
                <c:pt idx="147">
                  <c:v>41605</c:v>
                </c:pt>
                <c:pt idx="148">
                  <c:v>41606</c:v>
                </c:pt>
                <c:pt idx="149">
                  <c:v>41607</c:v>
                </c:pt>
                <c:pt idx="150">
                  <c:v>41608</c:v>
                </c:pt>
                <c:pt idx="151">
                  <c:v>41609</c:v>
                </c:pt>
                <c:pt idx="152">
                  <c:v>41610</c:v>
                </c:pt>
                <c:pt idx="153">
                  <c:v>41611</c:v>
                </c:pt>
                <c:pt idx="154">
                  <c:v>41612</c:v>
                </c:pt>
                <c:pt idx="155">
                  <c:v>41613</c:v>
                </c:pt>
                <c:pt idx="156">
                  <c:v>41614</c:v>
                </c:pt>
                <c:pt idx="157">
                  <c:v>41615</c:v>
                </c:pt>
                <c:pt idx="158">
                  <c:v>41616</c:v>
                </c:pt>
                <c:pt idx="159">
                  <c:v>41617</c:v>
                </c:pt>
                <c:pt idx="160">
                  <c:v>41618</c:v>
                </c:pt>
                <c:pt idx="161">
                  <c:v>41619</c:v>
                </c:pt>
              </c:numCache>
            </c:numRef>
          </c:cat>
          <c:val>
            <c:numRef>
              <c:f>Problem1!$F$6:$F$169</c:f>
              <c:numCache>
                <c:formatCode>General</c:formatCode>
                <c:ptCount val="162"/>
                <c:pt idx="0">
                  <c:v>479</c:v>
                </c:pt>
                <c:pt idx="1">
                  <c:v>473</c:v>
                </c:pt>
                <c:pt idx="2">
                  <c:v>528</c:v>
                </c:pt>
                <c:pt idx="3">
                  <c:v>520</c:v>
                </c:pt>
                <c:pt idx="4">
                  <c:v>500</c:v>
                </c:pt>
                <c:pt idx="5">
                  <c:v>534</c:v>
                </c:pt>
                <c:pt idx="6">
                  <c:v>488</c:v>
                </c:pt>
                <c:pt idx="7">
                  <c:v>489</c:v>
                </c:pt>
                <c:pt idx="8">
                  <c:v>490</c:v>
                </c:pt>
                <c:pt idx="9">
                  <c:v>511</c:v>
                </c:pt>
                <c:pt idx="10">
                  <c:v>521</c:v>
                </c:pt>
                <c:pt idx="11">
                  <c:v>513</c:v>
                </c:pt>
                <c:pt idx="12">
                  <c:v>508</c:v>
                </c:pt>
                <c:pt idx="13">
                  <c:v>527</c:v>
                </c:pt>
                <c:pt idx="14">
                  <c:v>565</c:v>
                </c:pt>
                <c:pt idx="15">
                  <c:v>492</c:v>
                </c:pt>
                <c:pt idx="16">
                  <c:v>508</c:v>
                </c:pt>
                <c:pt idx="17">
                  <c:v>490</c:v>
                </c:pt>
                <c:pt idx="18">
                  <c:v>464</c:v>
                </c:pt>
                <c:pt idx="19">
                  <c:v>549</c:v>
                </c:pt>
                <c:pt idx="20">
                  <c:v>489</c:v>
                </c:pt>
                <c:pt idx="21">
                  <c:v>514</c:v>
                </c:pt>
                <c:pt idx="22">
                  <c:v>504</c:v>
                </c:pt>
                <c:pt idx="23">
                  <c:v>515</c:v>
                </c:pt>
                <c:pt idx="24">
                  <c:v>545</c:v>
                </c:pt>
                <c:pt idx="25">
                  <c:v>496</c:v>
                </c:pt>
                <c:pt idx="26">
                  <c:v>492</c:v>
                </c:pt>
                <c:pt idx="27">
                  <c:v>535</c:v>
                </c:pt>
                <c:pt idx="28">
                  <c:v>514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E4-4C46-9B43-6744DCADE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523248"/>
        <c:axId val="1722523728"/>
      </c:lineChart>
      <c:dateAx>
        <c:axId val="172252324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523728"/>
        <c:crosses val="autoZero"/>
        <c:auto val="1"/>
        <c:lblOffset val="100"/>
        <c:baseTimeUnit val="days"/>
      </c:dateAx>
      <c:valAx>
        <c:axId val="17225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523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'Charting Practice_1'!$C$4</c:f>
              <c:strCache>
                <c:ptCount val="1"/>
                <c:pt idx="0">
                  <c:v>Sales (m$)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'Charting Practice_1'!$B$5:$B$10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'Charting Practice_1'!$C$15:$C$20</c:f>
              <c:numCache>
                <c:formatCode>General</c:formatCode>
                <c:ptCount val="6"/>
                <c:pt idx="0">
                  <c:v>1000</c:v>
                </c:pt>
                <c:pt idx="1">
                  <c:v>1200</c:v>
                </c:pt>
                <c:pt idx="2">
                  <c:v>1600</c:v>
                </c:pt>
                <c:pt idx="3">
                  <c:v>1400</c:v>
                </c:pt>
                <c:pt idx="4">
                  <c:v>1800</c:v>
                </c:pt>
                <c:pt idx="5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E-4648-8D22-C4FC5B3CB8B4}"/>
            </c:ext>
          </c:extLst>
        </c:ser>
        <c:ser>
          <c:idx val="1"/>
          <c:order val="1"/>
          <c:tx>
            <c:strRef>
              <c:f>'Charting Practice_1'!$D$4</c:f>
              <c:strCache>
                <c:ptCount val="1"/>
                <c:pt idx="0">
                  <c:v>Costs (m$)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'Charting Practice_1'!$B$5:$B$10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'Charting Practice_1'!$D$15:$D$20</c:f>
              <c:numCache>
                <c:formatCode>General</c:formatCode>
                <c:ptCount val="6"/>
                <c:pt idx="0">
                  <c:v>800</c:v>
                </c:pt>
                <c:pt idx="1">
                  <c:v>950</c:v>
                </c:pt>
                <c:pt idx="2">
                  <c:v>1480</c:v>
                </c:pt>
                <c:pt idx="3">
                  <c:v>1200</c:v>
                </c:pt>
                <c:pt idx="4">
                  <c:v>1400</c:v>
                </c:pt>
                <c:pt idx="5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E-4648-8D22-C4FC5B3CB8B4}"/>
            </c:ext>
          </c:extLst>
        </c:ser>
        <c:ser>
          <c:idx val="2"/>
          <c:order val="2"/>
          <c:tx>
            <c:strRef>
              <c:f>'Charting Practice_1'!$E$4</c:f>
              <c:strCache>
                <c:ptCount val="1"/>
                <c:pt idx="0">
                  <c:v>Profits (m$)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'Charting Practice_1'!$B$5:$B$10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'Charting Practice_1'!$E$15:$E$20</c:f>
              <c:numCache>
                <c:formatCode>General</c:formatCode>
                <c:ptCount val="6"/>
                <c:pt idx="0">
                  <c:v>200</c:v>
                </c:pt>
                <c:pt idx="1">
                  <c:v>250</c:v>
                </c:pt>
                <c:pt idx="2">
                  <c:v>120</c:v>
                </c:pt>
                <c:pt idx="3">
                  <c:v>200</c:v>
                </c:pt>
                <c:pt idx="4">
                  <c:v>400</c:v>
                </c:pt>
                <c:pt idx="5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E-4648-8D22-C4FC5B3CB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339023"/>
        <c:axId val="91155487"/>
      </c:barChart>
      <c:catAx>
        <c:axId val="100833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55487"/>
        <c:crosses val="autoZero"/>
        <c:auto val="1"/>
        <c:lblAlgn val="ctr"/>
        <c:lblOffset val="100"/>
        <c:noMultiLvlLbl val="0"/>
      </c:catAx>
      <c:valAx>
        <c:axId val="9115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3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and Cost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'Charting Practice 1,'!$C$4</c:f>
              <c:strCache>
                <c:ptCount val="1"/>
                <c:pt idx="0">
                  <c:v>Sales (m$)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'Charting Practice 1,'!$B$5:$B$10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'Charting Practice 1,'!$C$5:$C$10</c:f>
              <c:numCache>
                <c:formatCode>_("$"* #,##0_);_("$"* \(#,##0\);_("$"* "-"??_);_(@_)</c:formatCode>
                <c:ptCount val="6"/>
                <c:pt idx="0">
                  <c:v>1000</c:v>
                </c:pt>
                <c:pt idx="1">
                  <c:v>1200</c:v>
                </c:pt>
                <c:pt idx="2">
                  <c:v>1600</c:v>
                </c:pt>
                <c:pt idx="3">
                  <c:v>1400</c:v>
                </c:pt>
                <c:pt idx="4">
                  <c:v>1800</c:v>
                </c:pt>
                <c:pt idx="5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F-49F2-AABD-8FCB69B5615F}"/>
            </c:ext>
          </c:extLst>
        </c:ser>
        <c:ser>
          <c:idx val="1"/>
          <c:order val="1"/>
          <c:tx>
            <c:strRef>
              <c:f>'Charting Practice 1,'!$D$4</c:f>
              <c:strCache>
                <c:ptCount val="1"/>
                <c:pt idx="0">
                  <c:v>Costs (m$)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'Charting Practice 1,'!$B$5:$B$10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'Charting Practice 1,'!$D$5:$D$10</c:f>
              <c:numCache>
                <c:formatCode>_("$"* #,##0_);_("$"* \(#,##0\);_("$"* "-"??_);_(@_)</c:formatCode>
                <c:ptCount val="6"/>
                <c:pt idx="0">
                  <c:v>800</c:v>
                </c:pt>
                <c:pt idx="1">
                  <c:v>950</c:v>
                </c:pt>
                <c:pt idx="2">
                  <c:v>1480</c:v>
                </c:pt>
                <c:pt idx="3">
                  <c:v>1200</c:v>
                </c:pt>
                <c:pt idx="4">
                  <c:v>1400</c:v>
                </c:pt>
                <c:pt idx="5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CF-49F2-AABD-8FCB69B56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672208"/>
        <c:axId val="485948816"/>
      </c:barChart>
      <c:catAx>
        <c:axId val="38767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48816"/>
        <c:crosses val="autoZero"/>
        <c:auto val="1"/>
        <c:lblAlgn val="ctr"/>
        <c:lblOffset val="100"/>
        <c:noMultiLvlLbl val="0"/>
      </c:catAx>
      <c:valAx>
        <c:axId val="48594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and profits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'Charting Practice 1,'!$C$4</c:f>
              <c:strCache>
                <c:ptCount val="1"/>
                <c:pt idx="0">
                  <c:v>Sales (m$)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'Charting Practice 1,'!$B$5:$B$10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'Charting Practice 1,'!$C$5:$C$10</c:f>
              <c:numCache>
                <c:formatCode>_("$"* #,##0_);_("$"* \(#,##0\);_("$"* "-"??_);_(@_)</c:formatCode>
                <c:ptCount val="6"/>
                <c:pt idx="0">
                  <c:v>1000</c:v>
                </c:pt>
                <c:pt idx="1">
                  <c:v>1200</c:v>
                </c:pt>
                <c:pt idx="2">
                  <c:v>1600</c:v>
                </c:pt>
                <c:pt idx="3">
                  <c:v>1400</c:v>
                </c:pt>
                <c:pt idx="4">
                  <c:v>1800</c:v>
                </c:pt>
                <c:pt idx="5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7-4935-B15C-79ECA5907CBF}"/>
            </c:ext>
          </c:extLst>
        </c:ser>
        <c:ser>
          <c:idx val="1"/>
          <c:order val="1"/>
          <c:tx>
            <c:strRef>
              <c:f>'Charting Practice 1,'!$E$4</c:f>
              <c:strCache>
                <c:ptCount val="1"/>
                <c:pt idx="0">
                  <c:v>Profits (m$)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'Charting Practice 1,'!$B$5:$B$10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'Charting Practice 1,'!$E$5:$E$10</c:f>
              <c:numCache>
                <c:formatCode>_("$"* #,##0_);_("$"* \(#,##0\);_("$"* "-"??_);_(@_)</c:formatCode>
                <c:ptCount val="6"/>
                <c:pt idx="0">
                  <c:v>200</c:v>
                </c:pt>
                <c:pt idx="1">
                  <c:v>250</c:v>
                </c:pt>
                <c:pt idx="2">
                  <c:v>120</c:v>
                </c:pt>
                <c:pt idx="3">
                  <c:v>200</c:v>
                </c:pt>
                <c:pt idx="4">
                  <c:v>400</c:v>
                </c:pt>
                <c:pt idx="5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7-4935-B15C-79ECA5907C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10881616"/>
        <c:axId val="180955280"/>
        <c:axId val="0"/>
      </c:bar3DChart>
      <c:catAx>
        <c:axId val="61088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5280"/>
        <c:crosses val="autoZero"/>
        <c:auto val="1"/>
        <c:lblAlgn val="ctr"/>
        <c:lblOffset val="100"/>
        <c:noMultiLvlLbl val="0"/>
      </c:catAx>
      <c:valAx>
        <c:axId val="180955280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61088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333333333333333E-2"/>
          <c:y val="0.20050925925925925"/>
          <c:w val="0.93888888888888888"/>
          <c:h val="0.71523950131233593"/>
        </c:manualLayout>
      </c:layout>
      <c:lineChart>
        <c:grouping val="stacked"/>
        <c:varyColors val="0"/>
        <c:ser>
          <c:idx val="0"/>
          <c:order val="0"/>
          <c:tx>
            <c:strRef>
              <c:f>'Charting Practice 1,'!$F$4</c:f>
              <c:strCache>
                <c:ptCount val="1"/>
                <c:pt idx="0">
                  <c:v>Number of Customers (millions)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'Charting Practice 1,'!$B$5:$B$10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'Charting Practice 1,'!$F$5:$F$10</c:f>
              <c:numCache>
                <c:formatCode>_(* #,##0_);_(* \(#,##0\);_(* "-"??_);_(@_)</c:formatCode>
                <c:ptCount val="6"/>
                <c:pt idx="0">
                  <c:v>230</c:v>
                </c:pt>
                <c:pt idx="1">
                  <c:v>130</c:v>
                </c:pt>
                <c:pt idx="2">
                  <c:v>180</c:v>
                </c:pt>
                <c:pt idx="3">
                  <c:v>120</c:v>
                </c:pt>
                <c:pt idx="4">
                  <c:v>230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41-413C-A30E-E6E907CB7C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87682288"/>
        <c:axId val="1482685792"/>
      </c:lineChart>
      <c:catAx>
        <c:axId val="38768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685792"/>
        <c:crosses val="autoZero"/>
        <c:auto val="1"/>
        <c:lblAlgn val="ctr"/>
        <c:lblOffset val="100"/>
        <c:noMultiLvlLbl val="0"/>
      </c:catAx>
      <c:valAx>
        <c:axId val="1482685792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8768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'Charting Practice 1,'!$G$4</c:f>
              <c:strCache>
                <c:ptCount val="1"/>
                <c:pt idx="0">
                  <c:v>% Market share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AEF-424E-8613-A692993223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AEF-424E-8613-A692993223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AEF-424E-8613-A692993223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AEF-424E-8613-A692993223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AEF-424E-8613-A692993223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AEF-424E-8613-A6929932230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'Charting Practice 1,'!$B$5:$B$10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'Charting Practice 1,'!$G$5:$G$10</c:f>
              <c:numCache>
                <c:formatCode>0%</c:formatCode>
                <c:ptCount val="6"/>
                <c:pt idx="0">
                  <c:v>0.30000000000000004</c:v>
                </c:pt>
                <c:pt idx="1">
                  <c:v>0.25</c:v>
                </c:pt>
                <c:pt idx="2">
                  <c:v>0.4</c:v>
                </c:pt>
                <c:pt idx="3">
                  <c:v>0.4</c:v>
                </c:pt>
                <c:pt idx="4">
                  <c:v>0.30000000000000004</c:v>
                </c:pt>
                <c:pt idx="5">
                  <c:v>0.30000000000000004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3-4F60-BE13-D0E2337149F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and Cost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'Charting Practice 1,'!$C$4</c:f>
              <c:strCache>
                <c:ptCount val="1"/>
                <c:pt idx="0">
                  <c:v>Sales (m$)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'Charting Practice 1,'!$B$5:$B$10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'Charting Practice 1,'!$C$5:$C$10</c:f>
              <c:numCache>
                <c:formatCode>_("$"* #,##0_);_("$"* \(#,##0\);_("$"* "-"??_);_(@_)</c:formatCode>
                <c:ptCount val="6"/>
                <c:pt idx="0">
                  <c:v>1000</c:v>
                </c:pt>
                <c:pt idx="1">
                  <c:v>1200</c:v>
                </c:pt>
                <c:pt idx="2">
                  <c:v>1600</c:v>
                </c:pt>
                <c:pt idx="3">
                  <c:v>1400</c:v>
                </c:pt>
                <c:pt idx="4">
                  <c:v>1800</c:v>
                </c:pt>
                <c:pt idx="5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8-439A-89CB-3A6370B15901}"/>
            </c:ext>
          </c:extLst>
        </c:ser>
        <c:ser>
          <c:idx val="1"/>
          <c:order val="1"/>
          <c:tx>
            <c:strRef>
              <c:f>'Charting Practice 1,'!$D$4</c:f>
              <c:strCache>
                <c:ptCount val="1"/>
                <c:pt idx="0">
                  <c:v>Costs (m$)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'Charting Practice 1,'!$B$5:$B$10</c:f>
              <c:numCache>
                <c:formatCode>General</c:formatCode>
                <c:ptCount val="6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</c:numCache>
            </c:numRef>
          </c:cat>
          <c:val>
            <c:numRef>
              <c:f>'Charting Practice 1,'!$D$5:$D$10</c:f>
              <c:numCache>
                <c:formatCode>_("$"* #,##0_);_("$"* \(#,##0\);_("$"* "-"??_);_(@_)</c:formatCode>
                <c:ptCount val="6"/>
                <c:pt idx="0">
                  <c:v>800</c:v>
                </c:pt>
                <c:pt idx="1">
                  <c:v>950</c:v>
                </c:pt>
                <c:pt idx="2">
                  <c:v>1480</c:v>
                </c:pt>
                <c:pt idx="3">
                  <c:v>1200</c:v>
                </c:pt>
                <c:pt idx="4">
                  <c:v>1400</c:v>
                </c:pt>
                <c:pt idx="5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68-439A-89CB-3A6370B15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672208"/>
        <c:axId val="485948816"/>
      </c:barChart>
      <c:catAx>
        <c:axId val="38767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48816"/>
        <c:crosses val="autoZero"/>
        <c:auto val="1"/>
        <c:lblAlgn val="ctr"/>
        <c:lblOffset val="100"/>
        <c:noMultiLvlLbl val="0"/>
      </c:catAx>
      <c:valAx>
        <c:axId val="48594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67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'Charting Practice 2'!$D$4</c:f>
              <c:strCache>
                <c:ptCount val="1"/>
                <c:pt idx="0">
                  <c:v>Prod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'Charting Practice 2'!$D$5:$D$18</c:f>
              <c:numCache>
                <c:formatCode>General</c:formatCode>
                <c:ptCount val="14"/>
                <c:pt idx="0">
                  <c:v>181</c:v>
                </c:pt>
                <c:pt idx="1">
                  <c:v>255</c:v>
                </c:pt>
                <c:pt idx="2">
                  <c:v>331</c:v>
                </c:pt>
                <c:pt idx="3">
                  <c:v>342</c:v>
                </c:pt>
                <c:pt idx="4">
                  <c:v>352</c:v>
                </c:pt>
                <c:pt idx="5">
                  <c:v>400</c:v>
                </c:pt>
                <c:pt idx="6">
                  <c:v>463</c:v>
                </c:pt>
                <c:pt idx="7">
                  <c:v>484</c:v>
                </c:pt>
                <c:pt idx="8">
                  <c:v>530</c:v>
                </c:pt>
                <c:pt idx="9">
                  <c:v>574</c:v>
                </c:pt>
                <c:pt idx="10">
                  <c:v>591</c:v>
                </c:pt>
                <c:pt idx="11">
                  <c:v>605</c:v>
                </c:pt>
                <c:pt idx="12">
                  <c:v>617</c:v>
                </c:pt>
                <c:pt idx="13">
                  <c:v>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B0-419E-A8B4-68A2CC15D95A}"/>
            </c:ext>
          </c:extLst>
        </c:ser>
        <c:ser>
          <c:idx val="1"/>
          <c:order val="1"/>
          <c:tx>
            <c:strRef>
              <c:f>'Charting Practice 2'!$E$4</c:f>
              <c:strCache>
                <c:ptCount val="1"/>
                <c:pt idx="0">
                  <c:v>Prod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'Charting Practice 2'!$E$5:$E$18</c:f>
              <c:numCache>
                <c:formatCode>General</c:formatCode>
                <c:ptCount val="14"/>
                <c:pt idx="0">
                  <c:v>173</c:v>
                </c:pt>
                <c:pt idx="1">
                  <c:v>189</c:v>
                </c:pt>
                <c:pt idx="2">
                  <c:v>271</c:v>
                </c:pt>
                <c:pt idx="3">
                  <c:v>343</c:v>
                </c:pt>
                <c:pt idx="4">
                  <c:v>377</c:v>
                </c:pt>
                <c:pt idx="5">
                  <c:v>419</c:v>
                </c:pt>
                <c:pt idx="6">
                  <c:v>479</c:v>
                </c:pt>
                <c:pt idx="7">
                  <c:v>560</c:v>
                </c:pt>
                <c:pt idx="8">
                  <c:v>592</c:v>
                </c:pt>
                <c:pt idx="9">
                  <c:v>644</c:v>
                </c:pt>
                <c:pt idx="10">
                  <c:v>737</c:v>
                </c:pt>
                <c:pt idx="11">
                  <c:v>766</c:v>
                </c:pt>
                <c:pt idx="12">
                  <c:v>846</c:v>
                </c:pt>
                <c:pt idx="13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B0-419E-A8B4-68A2CC15D95A}"/>
            </c:ext>
          </c:extLst>
        </c:ser>
        <c:ser>
          <c:idx val="2"/>
          <c:order val="2"/>
          <c:tx>
            <c:strRef>
              <c:f>'Charting Practice 2'!$F$4</c:f>
              <c:strCache>
                <c:ptCount val="1"/>
                <c:pt idx="0">
                  <c:v>Prod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'Charting Practice 2'!$F$5:$F$18</c:f>
              <c:numCache>
                <c:formatCode>General</c:formatCode>
                <c:ptCount val="14"/>
                <c:pt idx="0">
                  <c:v>357</c:v>
                </c:pt>
                <c:pt idx="1">
                  <c:v>452</c:v>
                </c:pt>
                <c:pt idx="2">
                  <c:v>471</c:v>
                </c:pt>
                <c:pt idx="3">
                  <c:v>527</c:v>
                </c:pt>
                <c:pt idx="4">
                  <c:v>570</c:v>
                </c:pt>
                <c:pt idx="5">
                  <c:v>575</c:v>
                </c:pt>
                <c:pt idx="6">
                  <c:v>659</c:v>
                </c:pt>
                <c:pt idx="7">
                  <c:v>732</c:v>
                </c:pt>
                <c:pt idx="8">
                  <c:v>806</c:v>
                </c:pt>
                <c:pt idx="9">
                  <c:v>845</c:v>
                </c:pt>
                <c:pt idx="10">
                  <c:v>850</c:v>
                </c:pt>
                <c:pt idx="11">
                  <c:v>903</c:v>
                </c:pt>
                <c:pt idx="12">
                  <c:v>929</c:v>
                </c:pt>
                <c:pt idx="13">
                  <c:v>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B0-419E-A8B4-68A2CC15D95A}"/>
            </c:ext>
          </c:extLst>
        </c:ser>
        <c:ser>
          <c:idx val="3"/>
          <c:order val="3"/>
          <c:tx>
            <c:strRef>
              <c:f>'Charting Practice 2'!$G$4</c:f>
              <c:strCache>
                <c:ptCount val="1"/>
                <c:pt idx="0">
                  <c:v>Prod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'Charting Practice 2'!$G$5:$G$18</c:f>
              <c:numCache>
                <c:formatCode>General</c:formatCode>
                <c:ptCount val="14"/>
                <c:pt idx="0">
                  <c:v>378</c:v>
                </c:pt>
                <c:pt idx="1">
                  <c:v>446</c:v>
                </c:pt>
                <c:pt idx="2">
                  <c:v>496</c:v>
                </c:pt>
                <c:pt idx="3">
                  <c:v>562</c:v>
                </c:pt>
                <c:pt idx="4">
                  <c:v>648</c:v>
                </c:pt>
                <c:pt idx="5">
                  <c:v>707</c:v>
                </c:pt>
                <c:pt idx="6">
                  <c:v>748</c:v>
                </c:pt>
                <c:pt idx="7">
                  <c:v>763</c:v>
                </c:pt>
                <c:pt idx="8">
                  <c:v>774</c:v>
                </c:pt>
                <c:pt idx="9">
                  <c:v>779</c:v>
                </c:pt>
                <c:pt idx="10">
                  <c:v>790</c:v>
                </c:pt>
                <c:pt idx="11">
                  <c:v>798</c:v>
                </c:pt>
                <c:pt idx="12">
                  <c:v>865</c:v>
                </c:pt>
                <c:pt idx="13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B0-419E-A8B4-68A2CC15D95A}"/>
            </c:ext>
          </c:extLst>
        </c:ser>
        <c:ser>
          <c:idx val="4"/>
          <c:order val="4"/>
          <c:tx>
            <c:strRef>
              <c:f>'Charting Practice 2'!$H$4</c:f>
              <c:strCache>
                <c:ptCount val="1"/>
                <c:pt idx="0">
                  <c:v>Prod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'Charting Practice 2'!$H$5:$H$18</c:f>
              <c:numCache>
                <c:formatCode>General</c:formatCode>
                <c:ptCount val="14"/>
                <c:pt idx="0">
                  <c:v>484</c:v>
                </c:pt>
                <c:pt idx="1">
                  <c:v>502</c:v>
                </c:pt>
                <c:pt idx="2">
                  <c:v>521</c:v>
                </c:pt>
                <c:pt idx="3">
                  <c:v>597</c:v>
                </c:pt>
                <c:pt idx="4">
                  <c:v>642</c:v>
                </c:pt>
                <c:pt idx="5">
                  <c:v>665</c:v>
                </c:pt>
                <c:pt idx="6">
                  <c:v>666</c:v>
                </c:pt>
                <c:pt idx="7">
                  <c:v>725</c:v>
                </c:pt>
                <c:pt idx="8">
                  <c:v>788</c:v>
                </c:pt>
                <c:pt idx="9">
                  <c:v>861</c:v>
                </c:pt>
                <c:pt idx="10">
                  <c:v>881</c:v>
                </c:pt>
                <c:pt idx="11">
                  <c:v>897</c:v>
                </c:pt>
                <c:pt idx="12">
                  <c:v>968</c:v>
                </c:pt>
                <c:pt idx="13">
                  <c:v>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B0-419E-A8B4-68A2CC15D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365904"/>
        <c:axId val="76365424"/>
      </c:barChart>
      <c:catAx>
        <c:axId val="7636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5424"/>
        <c:crosses val="autoZero"/>
        <c:auto val="1"/>
        <c:lblAlgn val="ctr"/>
        <c:lblOffset val="100"/>
        <c:noMultiLvlLbl val="0"/>
      </c:catAx>
      <c:valAx>
        <c:axId val="763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655319362389109E-2"/>
          <c:y val="2.84508660264400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3649319141076278"/>
          <c:y val="7.4706898382590106E-2"/>
          <c:w val="0.43918901190311349"/>
          <c:h val="0.70126324888998026"/>
        </c:manualLayout>
      </c:layout>
      <c:doughnutChart>
        <c:varyColors val="1"/>
        <c:ser>
          <c:idx val="0"/>
          <c:order val="0"/>
          <c:tx>
            <c:strRef>
              <c:f>'Charting Practice 2'!$B$21</c:f>
              <c:strCache>
                <c:ptCount val="1"/>
                <c:pt idx="0">
                  <c:v>2002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F7F9-4E5A-A507-B3DD50C49C6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F7F9-4E5A-A507-B3DD50C49C6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F7F9-4E5A-A507-B3DD50C49C6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F7F9-4E5A-A507-B3DD50C49C6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F7F9-4E5A-A507-B3DD50C49C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'Charting Practice 2'!$C$20:$G$20</c:f>
              <c:strCache>
                <c:ptCount val="5"/>
                <c:pt idx="0">
                  <c:v>Prod 1</c:v>
                </c:pt>
                <c:pt idx="1">
                  <c:v>Prod 2</c:v>
                </c:pt>
                <c:pt idx="2">
                  <c:v>Prod 3</c:v>
                </c:pt>
                <c:pt idx="3">
                  <c:v>Prod 4</c:v>
                </c:pt>
                <c:pt idx="4">
                  <c:v>Prod 5</c:v>
                </c:pt>
              </c:strCache>
            </c:strRef>
          </c:cat>
          <c:val>
            <c:numRef>
              <c:f>'Charting Practice 2'!$C$21:$G$21</c:f>
              <c:numCache>
                <c:formatCode>General</c:formatCode>
                <c:ptCount val="5"/>
                <c:pt idx="0">
                  <c:v>484</c:v>
                </c:pt>
                <c:pt idx="1">
                  <c:v>560</c:v>
                </c:pt>
                <c:pt idx="2">
                  <c:v>732</c:v>
                </c:pt>
                <c:pt idx="3">
                  <c:v>763</c:v>
                </c:pt>
                <c:pt idx="4">
                  <c:v>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4-46B3-A182-58EDDFAD3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'Charting Practice 2'!$C$4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'Charting Practice 2'!$B$5:$B$18</c:f>
              <c:numCache>
                <c:formatCode>General</c:formatCode>
                <c:ptCount val="1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</c:numCache>
            </c:numRef>
          </c:cat>
          <c:val>
            <c:numRef>
              <c:f>'Charting Practice 2'!$C$5:$C$18</c:f>
              <c:numCache>
                <c:formatCode>General</c:formatCode>
                <c:ptCount val="14"/>
                <c:pt idx="0">
                  <c:v>1573</c:v>
                </c:pt>
                <c:pt idx="1">
                  <c:v>1844</c:v>
                </c:pt>
                <c:pt idx="2">
                  <c:v>2090</c:v>
                </c:pt>
                <c:pt idx="3">
                  <c:v>2371</c:v>
                </c:pt>
                <c:pt idx="4">
                  <c:v>2589</c:v>
                </c:pt>
                <c:pt idx="5">
                  <c:v>2766</c:v>
                </c:pt>
                <c:pt idx="6">
                  <c:v>3015</c:v>
                </c:pt>
                <c:pt idx="7">
                  <c:v>3264</c:v>
                </c:pt>
                <c:pt idx="8">
                  <c:v>3490</c:v>
                </c:pt>
                <c:pt idx="9">
                  <c:v>3703</c:v>
                </c:pt>
                <c:pt idx="10">
                  <c:v>3849</c:v>
                </c:pt>
                <c:pt idx="11">
                  <c:v>3969</c:v>
                </c:pt>
                <c:pt idx="12">
                  <c:v>4225</c:v>
                </c:pt>
                <c:pt idx="13">
                  <c:v>4515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4-42FB-AAAD-2298433106EB}"/>
            </c:ext>
          </c:extLst>
        </c:ser>
        <c:ser>
          <c:idx val="1"/>
          <c:order val="1"/>
          <c:tx>
            <c:strRef>
              <c:f>'Charting Practice 2'!$I$4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'Charting Practice 2'!$B$5:$B$18</c:f>
              <c:numCache>
                <c:formatCode>General</c:formatCode>
                <c:ptCount val="1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</c:numCache>
            </c:numRef>
          </c:cat>
          <c:val>
            <c:numRef>
              <c:f>'Charting Practice 2'!$I$5:$I$18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3264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34-42FB-AAAD-22984331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5935472"/>
        <c:axId val="884355504"/>
      </c:barChart>
      <c:catAx>
        <c:axId val="98593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355504"/>
        <c:crosses val="autoZero"/>
        <c:auto val="1"/>
        <c:lblAlgn val="ctr"/>
        <c:lblOffset val="100"/>
        <c:noMultiLvlLbl val="0"/>
      </c:catAx>
      <c:valAx>
        <c:axId val="8843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9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'Charting Practice 2'!$D$4</c:f>
              <c:strCache>
                <c:ptCount val="1"/>
                <c:pt idx="0">
                  <c:v>Prod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'Charting Practice 2'!$D$5:$D$18</c:f>
              <c:numCache>
                <c:formatCode>General</c:formatCode>
                <c:ptCount val="14"/>
                <c:pt idx="0">
                  <c:v>181</c:v>
                </c:pt>
                <c:pt idx="1">
                  <c:v>255</c:v>
                </c:pt>
                <c:pt idx="2">
                  <c:v>331</c:v>
                </c:pt>
                <c:pt idx="3">
                  <c:v>342</c:v>
                </c:pt>
                <c:pt idx="4">
                  <c:v>352</c:v>
                </c:pt>
                <c:pt idx="5">
                  <c:v>400</c:v>
                </c:pt>
                <c:pt idx="6">
                  <c:v>463</c:v>
                </c:pt>
                <c:pt idx="7">
                  <c:v>484</c:v>
                </c:pt>
                <c:pt idx="8">
                  <c:v>530</c:v>
                </c:pt>
                <c:pt idx="9">
                  <c:v>574</c:v>
                </c:pt>
                <c:pt idx="10">
                  <c:v>591</c:v>
                </c:pt>
                <c:pt idx="11">
                  <c:v>605</c:v>
                </c:pt>
                <c:pt idx="12">
                  <c:v>617</c:v>
                </c:pt>
                <c:pt idx="13">
                  <c:v>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9-4D6E-B9B5-E8B2C3178CCB}"/>
            </c:ext>
          </c:extLst>
        </c:ser>
        <c:ser>
          <c:idx val="1"/>
          <c:order val="1"/>
          <c:tx>
            <c:strRef>
              <c:f>'Charting Practice 2'!$E$4</c:f>
              <c:strCache>
                <c:ptCount val="1"/>
                <c:pt idx="0">
                  <c:v>Prod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'Charting Practice 2'!$E$5:$E$18</c:f>
              <c:numCache>
                <c:formatCode>General</c:formatCode>
                <c:ptCount val="14"/>
                <c:pt idx="0">
                  <c:v>173</c:v>
                </c:pt>
                <c:pt idx="1">
                  <c:v>189</c:v>
                </c:pt>
                <c:pt idx="2">
                  <c:v>271</c:v>
                </c:pt>
                <c:pt idx="3">
                  <c:v>343</c:v>
                </c:pt>
                <c:pt idx="4">
                  <c:v>377</c:v>
                </c:pt>
                <c:pt idx="5">
                  <c:v>419</c:v>
                </c:pt>
                <c:pt idx="6">
                  <c:v>479</c:v>
                </c:pt>
                <c:pt idx="7">
                  <c:v>560</c:v>
                </c:pt>
                <c:pt idx="8">
                  <c:v>592</c:v>
                </c:pt>
                <c:pt idx="9">
                  <c:v>644</c:v>
                </c:pt>
                <c:pt idx="10">
                  <c:v>737</c:v>
                </c:pt>
                <c:pt idx="11">
                  <c:v>766</c:v>
                </c:pt>
                <c:pt idx="12">
                  <c:v>846</c:v>
                </c:pt>
                <c:pt idx="13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9-4D6E-B9B5-E8B2C3178CCB}"/>
            </c:ext>
          </c:extLst>
        </c:ser>
        <c:ser>
          <c:idx val="2"/>
          <c:order val="2"/>
          <c:tx>
            <c:strRef>
              <c:f>'Charting Practice 2'!$F$4</c:f>
              <c:strCache>
                <c:ptCount val="1"/>
                <c:pt idx="0">
                  <c:v>Prod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'Charting Practice 2'!$F$5:$F$18</c:f>
              <c:numCache>
                <c:formatCode>General</c:formatCode>
                <c:ptCount val="14"/>
                <c:pt idx="0">
                  <c:v>357</c:v>
                </c:pt>
                <c:pt idx="1">
                  <c:v>452</c:v>
                </c:pt>
                <c:pt idx="2">
                  <c:v>471</c:v>
                </c:pt>
                <c:pt idx="3">
                  <c:v>527</c:v>
                </c:pt>
                <c:pt idx="4">
                  <c:v>570</c:v>
                </c:pt>
                <c:pt idx="5">
                  <c:v>575</c:v>
                </c:pt>
                <c:pt idx="6">
                  <c:v>659</c:v>
                </c:pt>
                <c:pt idx="7">
                  <c:v>732</c:v>
                </c:pt>
                <c:pt idx="8">
                  <c:v>806</c:v>
                </c:pt>
                <c:pt idx="9">
                  <c:v>845</c:v>
                </c:pt>
                <c:pt idx="10">
                  <c:v>850</c:v>
                </c:pt>
                <c:pt idx="11">
                  <c:v>903</c:v>
                </c:pt>
                <c:pt idx="12">
                  <c:v>929</c:v>
                </c:pt>
                <c:pt idx="13">
                  <c:v>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29-4D6E-B9B5-E8B2C3178CCB}"/>
            </c:ext>
          </c:extLst>
        </c:ser>
        <c:ser>
          <c:idx val="3"/>
          <c:order val="3"/>
          <c:tx>
            <c:strRef>
              <c:f>'Charting Practice 2'!$G$4</c:f>
              <c:strCache>
                <c:ptCount val="1"/>
                <c:pt idx="0">
                  <c:v>Prod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'Charting Practice 2'!$G$5:$G$18</c:f>
              <c:numCache>
                <c:formatCode>General</c:formatCode>
                <c:ptCount val="14"/>
                <c:pt idx="0">
                  <c:v>378</c:v>
                </c:pt>
                <c:pt idx="1">
                  <c:v>446</c:v>
                </c:pt>
                <c:pt idx="2">
                  <c:v>496</c:v>
                </c:pt>
                <c:pt idx="3">
                  <c:v>562</c:v>
                </c:pt>
                <c:pt idx="4">
                  <c:v>648</c:v>
                </c:pt>
                <c:pt idx="5">
                  <c:v>707</c:v>
                </c:pt>
                <c:pt idx="6">
                  <c:v>748</c:v>
                </c:pt>
                <c:pt idx="7">
                  <c:v>763</c:v>
                </c:pt>
                <c:pt idx="8">
                  <c:v>774</c:v>
                </c:pt>
                <c:pt idx="9">
                  <c:v>779</c:v>
                </c:pt>
                <c:pt idx="10">
                  <c:v>790</c:v>
                </c:pt>
                <c:pt idx="11">
                  <c:v>798</c:v>
                </c:pt>
                <c:pt idx="12">
                  <c:v>865</c:v>
                </c:pt>
                <c:pt idx="13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29-4D6E-B9B5-E8B2C3178CCB}"/>
            </c:ext>
          </c:extLst>
        </c:ser>
        <c:ser>
          <c:idx val="4"/>
          <c:order val="4"/>
          <c:tx>
            <c:strRef>
              <c:f>'Charting Practice 2'!$H$4</c:f>
              <c:strCache>
                <c:ptCount val="1"/>
                <c:pt idx="0">
                  <c:v>Prod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'Charting Practice 2'!$H$5:$H$18</c:f>
              <c:numCache>
                <c:formatCode>General</c:formatCode>
                <c:ptCount val="14"/>
                <c:pt idx="0">
                  <c:v>484</c:v>
                </c:pt>
                <c:pt idx="1">
                  <c:v>502</c:v>
                </c:pt>
                <c:pt idx="2">
                  <c:v>521</c:v>
                </c:pt>
                <c:pt idx="3">
                  <c:v>597</c:v>
                </c:pt>
                <c:pt idx="4">
                  <c:v>642</c:v>
                </c:pt>
                <c:pt idx="5">
                  <c:v>665</c:v>
                </c:pt>
                <c:pt idx="6">
                  <c:v>666</c:v>
                </c:pt>
                <c:pt idx="7">
                  <c:v>725</c:v>
                </c:pt>
                <c:pt idx="8">
                  <c:v>788</c:v>
                </c:pt>
                <c:pt idx="9">
                  <c:v>861</c:v>
                </c:pt>
                <c:pt idx="10">
                  <c:v>881</c:v>
                </c:pt>
                <c:pt idx="11">
                  <c:v>897</c:v>
                </c:pt>
                <c:pt idx="12">
                  <c:v>968</c:v>
                </c:pt>
                <c:pt idx="13">
                  <c:v>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29-4D6E-B9B5-E8B2C3178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365904"/>
        <c:axId val="76365424"/>
      </c:barChart>
      <c:catAx>
        <c:axId val="7636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5424"/>
        <c:crosses val="autoZero"/>
        <c:auto val="1"/>
        <c:lblAlgn val="ctr"/>
        <c:lblOffset val="100"/>
        <c:noMultiLvlLbl val="0"/>
      </c:catAx>
      <c:valAx>
        <c:axId val="763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8655319362389109E-2"/>
          <c:y val="2.84508660264400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3649319141076278"/>
          <c:y val="7.4706898382590106E-2"/>
          <c:w val="0.43918901190311349"/>
          <c:h val="0.70126324888998026"/>
        </c:manualLayout>
      </c:layout>
      <c:doughnutChart>
        <c:varyColors val="1"/>
        <c:ser>
          <c:idx val="0"/>
          <c:order val="0"/>
          <c:tx>
            <c:strRef>
              <c:f>'Charting Practice 2'!$B$21</c:f>
              <c:strCache>
                <c:ptCount val="1"/>
                <c:pt idx="0">
                  <c:v>2002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6E82-40E5-97DF-F11A48CB1F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6E82-40E5-97DF-F11A48CB1FE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6E82-40E5-97DF-F11A48CB1F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6E82-40E5-97DF-F11A48CB1FE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6E82-40E5-97DF-F11A48CB1F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'Charting Practice 2'!$C$20:$G$20</c:f>
              <c:strCache>
                <c:ptCount val="5"/>
                <c:pt idx="0">
                  <c:v>Prod 1</c:v>
                </c:pt>
                <c:pt idx="1">
                  <c:v>Prod 2</c:v>
                </c:pt>
                <c:pt idx="2">
                  <c:v>Prod 3</c:v>
                </c:pt>
                <c:pt idx="3">
                  <c:v>Prod 4</c:v>
                </c:pt>
                <c:pt idx="4">
                  <c:v>Prod 5</c:v>
                </c:pt>
              </c:strCache>
            </c:strRef>
          </c:cat>
          <c:val>
            <c:numRef>
              <c:f>'Charting Practice 2'!$C$21:$G$21</c:f>
              <c:numCache>
                <c:formatCode>General</c:formatCode>
                <c:ptCount val="5"/>
                <c:pt idx="0">
                  <c:v>484</c:v>
                </c:pt>
                <c:pt idx="1">
                  <c:v>560</c:v>
                </c:pt>
                <c:pt idx="2">
                  <c:v>732</c:v>
                </c:pt>
                <c:pt idx="3">
                  <c:v>763</c:v>
                </c:pt>
                <c:pt idx="4">
                  <c:v>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82-40E5-97DF-F11A48CB1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'Charting Practice 2'!$C$4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'Charting Practice 2'!$B$5:$B$18</c:f>
              <c:numCache>
                <c:formatCode>General</c:formatCode>
                <c:ptCount val="1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</c:numCache>
            </c:numRef>
          </c:cat>
          <c:val>
            <c:numRef>
              <c:f>'Charting Practice 2'!$C$5:$C$18</c:f>
              <c:numCache>
                <c:formatCode>General</c:formatCode>
                <c:ptCount val="14"/>
                <c:pt idx="0">
                  <c:v>1573</c:v>
                </c:pt>
                <c:pt idx="1">
                  <c:v>1844</c:v>
                </c:pt>
                <c:pt idx="2">
                  <c:v>2090</c:v>
                </c:pt>
                <c:pt idx="3">
                  <c:v>2371</c:v>
                </c:pt>
                <c:pt idx="4">
                  <c:v>2589</c:v>
                </c:pt>
                <c:pt idx="5">
                  <c:v>2766</c:v>
                </c:pt>
                <c:pt idx="6">
                  <c:v>3015</c:v>
                </c:pt>
                <c:pt idx="7">
                  <c:v>3264</c:v>
                </c:pt>
                <c:pt idx="8">
                  <c:v>3490</c:v>
                </c:pt>
                <c:pt idx="9">
                  <c:v>3703</c:v>
                </c:pt>
                <c:pt idx="10">
                  <c:v>3849</c:v>
                </c:pt>
                <c:pt idx="11">
                  <c:v>3969</c:v>
                </c:pt>
                <c:pt idx="12">
                  <c:v>4225</c:v>
                </c:pt>
                <c:pt idx="13">
                  <c:v>4515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1-4062-8C19-558FF3D001BE}"/>
            </c:ext>
          </c:extLst>
        </c:ser>
        <c:ser>
          <c:idx val="1"/>
          <c:order val="1"/>
          <c:tx>
            <c:strRef>
              <c:f>'Charting Practice 2'!$I$4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'Charting Practice 2'!$B$5:$B$18</c:f>
              <c:numCache>
                <c:formatCode>General</c:formatCode>
                <c:ptCount val="1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</c:numCache>
            </c:numRef>
          </c:cat>
          <c:val>
            <c:numRef>
              <c:f>'Charting Practice 2'!$I$5:$I$18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3264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B1-4062-8C19-558FF3D0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5935472"/>
        <c:axId val="884355504"/>
      </c:barChart>
      <c:catAx>
        <c:axId val="98593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355504"/>
        <c:crosses val="autoZero"/>
        <c:auto val="1"/>
        <c:lblAlgn val="ctr"/>
        <c:lblOffset val="100"/>
        <c:noMultiLvlLbl val="0"/>
      </c:catAx>
      <c:valAx>
        <c:axId val="8843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9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'Charting Practice 2'!$D$4</c:f>
              <c:strCache>
                <c:ptCount val="1"/>
                <c:pt idx="0">
                  <c:v>Prod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'Charting Practice 2'!$D$5:$D$18</c:f>
              <c:numCache>
                <c:formatCode>General</c:formatCode>
                <c:ptCount val="14"/>
                <c:pt idx="0">
                  <c:v>181</c:v>
                </c:pt>
                <c:pt idx="1">
                  <c:v>255</c:v>
                </c:pt>
                <c:pt idx="2">
                  <c:v>331</c:v>
                </c:pt>
                <c:pt idx="3">
                  <c:v>342</c:v>
                </c:pt>
                <c:pt idx="4">
                  <c:v>352</c:v>
                </c:pt>
                <c:pt idx="5">
                  <c:v>400</c:v>
                </c:pt>
                <c:pt idx="6">
                  <c:v>463</c:v>
                </c:pt>
                <c:pt idx="7">
                  <c:v>484</c:v>
                </c:pt>
                <c:pt idx="8">
                  <c:v>530</c:v>
                </c:pt>
                <c:pt idx="9">
                  <c:v>574</c:v>
                </c:pt>
                <c:pt idx="10">
                  <c:v>591</c:v>
                </c:pt>
                <c:pt idx="11">
                  <c:v>605</c:v>
                </c:pt>
                <c:pt idx="12">
                  <c:v>617</c:v>
                </c:pt>
                <c:pt idx="13">
                  <c:v>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3-4F46-B2E5-9F08B11F5B5B}"/>
            </c:ext>
          </c:extLst>
        </c:ser>
        <c:ser>
          <c:idx val="1"/>
          <c:order val="1"/>
          <c:tx>
            <c:strRef>
              <c:f>'Charting Practice 2'!$E$4</c:f>
              <c:strCache>
                <c:ptCount val="1"/>
                <c:pt idx="0">
                  <c:v>Prod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'Charting Practice 2'!$E$5:$E$18</c:f>
              <c:numCache>
                <c:formatCode>General</c:formatCode>
                <c:ptCount val="14"/>
                <c:pt idx="0">
                  <c:v>173</c:v>
                </c:pt>
                <c:pt idx="1">
                  <c:v>189</c:v>
                </c:pt>
                <c:pt idx="2">
                  <c:v>271</c:v>
                </c:pt>
                <c:pt idx="3">
                  <c:v>343</c:v>
                </c:pt>
                <c:pt idx="4">
                  <c:v>377</c:v>
                </c:pt>
                <c:pt idx="5">
                  <c:v>419</c:v>
                </c:pt>
                <c:pt idx="6">
                  <c:v>479</c:v>
                </c:pt>
                <c:pt idx="7">
                  <c:v>560</c:v>
                </c:pt>
                <c:pt idx="8">
                  <c:v>592</c:v>
                </c:pt>
                <c:pt idx="9">
                  <c:v>644</c:v>
                </c:pt>
                <c:pt idx="10">
                  <c:v>737</c:v>
                </c:pt>
                <c:pt idx="11">
                  <c:v>766</c:v>
                </c:pt>
                <c:pt idx="12">
                  <c:v>846</c:v>
                </c:pt>
                <c:pt idx="13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13-4F46-B2E5-9F08B11F5B5B}"/>
            </c:ext>
          </c:extLst>
        </c:ser>
        <c:ser>
          <c:idx val="2"/>
          <c:order val="2"/>
          <c:tx>
            <c:strRef>
              <c:f>'Charting Practice 2'!$F$4</c:f>
              <c:strCache>
                <c:ptCount val="1"/>
                <c:pt idx="0">
                  <c:v>Prod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'Charting Practice 2'!$F$5:$F$18</c:f>
              <c:numCache>
                <c:formatCode>General</c:formatCode>
                <c:ptCount val="14"/>
                <c:pt idx="0">
                  <c:v>357</c:v>
                </c:pt>
                <c:pt idx="1">
                  <c:v>452</c:v>
                </c:pt>
                <c:pt idx="2">
                  <c:v>471</c:v>
                </c:pt>
                <c:pt idx="3">
                  <c:v>527</c:v>
                </c:pt>
                <c:pt idx="4">
                  <c:v>570</c:v>
                </c:pt>
                <c:pt idx="5">
                  <c:v>575</c:v>
                </c:pt>
                <c:pt idx="6">
                  <c:v>659</c:v>
                </c:pt>
                <c:pt idx="7">
                  <c:v>732</c:v>
                </c:pt>
                <c:pt idx="8">
                  <c:v>806</c:v>
                </c:pt>
                <c:pt idx="9">
                  <c:v>845</c:v>
                </c:pt>
                <c:pt idx="10">
                  <c:v>850</c:v>
                </c:pt>
                <c:pt idx="11">
                  <c:v>903</c:v>
                </c:pt>
                <c:pt idx="12">
                  <c:v>929</c:v>
                </c:pt>
                <c:pt idx="13">
                  <c:v>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13-4F46-B2E5-9F08B11F5B5B}"/>
            </c:ext>
          </c:extLst>
        </c:ser>
        <c:ser>
          <c:idx val="3"/>
          <c:order val="3"/>
          <c:tx>
            <c:strRef>
              <c:f>'Charting Practice 2'!$G$4</c:f>
              <c:strCache>
                <c:ptCount val="1"/>
                <c:pt idx="0">
                  <c:v>Prod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'Charting Practice 2'!$G$5:$G$18</c:f>
              <c:numCache>
                <c:formatCode>General</c:formatCode>
                <c:ptCount val="14"/>
                <c:pt idx="0">
                  <c:v>378</c:v>
                </c:pt>
                <c:pt idx="1">
                  <c:v>446</c:v>
                </c:pt>
                <c:pt idx="2">
                  <c:v>496</c:v>
                </c:pt>
                <c:pt idx="3">
                  <c:v>562</c:v>
                </c:pt>
                <c:pt idx="4">
                  <c:v>648</c:v>
                </c:pt>
                <c:pt idx="5">
                  <c:v>707</c:v>
                </c:pt>
                <c:pt idx="6">
                  <c:v>748</c:v>
                </c:pt>
                <c:pt idx="7">
                  <c:v>763</c:v>
                </c:pt>
                <c:pt idx="8">
                  <c:v>774</c:v>
                </c:pt>
                <c:pt idx="9">
                  <c:v>779</c:v>
                </c:pt>
                <c:pt idx="10">
                  <c:v>790</c:v>
                </c:pt>
                <c:pt idx="11">
                  <c:v>798</c:v>
                </c:pt>
                <c:pt idx="12">
                  <c:v>865</c:v>
                </c:pt>
                <c:pt idx="13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13-4F46-B2E5-9F08B11F5B5B}"/>
            </c:ext>
          </c:extLst>
        </c:ser>
        <c:ser>
          <c:idx val="4"/>
          <c:order val="4"/>
          <c:tx>
            <c:strRef>
              <c:f>'Charting Practice 2'!$H$4</c:f>
              <c:strCache>
                <c:ptCount val="1"/>
                <c:pt idx="0">
                  <c:v>Prod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'Charting Practice 2'!$H$5:$H$18</c:f>
              <c:numCache>
                <c:formatCode>General</c:formatCode>
                <c:ptCount val="14"/>
                <c:pt idx="0">
                  <c:v>484</c:v>
                </c:pt>
                <c:pt idx="1">
                  <c:v>502</c:v>
                </c:pt>
                <c:pt idx="2">
                  <c:v>521</c:v>
                </c:pt>
                <c:pt idx="3">
                  <c:v>597</c:v>
                </c:pt>
                <c:pt idx="4">
                  <c:v>642</c:v>
                </c:pt>
                <c:pt idx="5">
                  <c:v>665</c:v>
                </c:pt>
                <c:pt idx="6">
                  <c:v>666</c:v>
                </c:pt>
                <c:pt idx="7">
                  <c:v>725</c:v>
                </c:pt>
                <c:pt idx="8">
                  <c:v>788</c:v>
                </c:pt>
                <c:pt idx="9">
                  <c:v>861</c:v>
                </c:pt>
                <c:pt idx="10">
                  <c:v>881</c:v>
                </c:pt>
                <c:pt idx="11">
                  <c:v>897</c:v>
                </c:pt>
                <c:pt idx="12">
                  <c:v>968</c:v>
                </c:pt>
                <c:pt idx="13">
                  <c:v>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13-4F46-B2E5-9F08B11F5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365904"/>
        <c:axId val="76365424"/>
      </c:barChart>
      <c:catAx>
        <c:axId val="7636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5424"/>
        <c:crosses val="autoZero"/>
        <c:auto val="1"/>
        <c:lblAlgn val="ctr"/>
        <c:lblOffset val="100"/>
        <c:noMultiLvlLbl val="0"/>
      </c:catAx>
      <c:valAx>
        <c:axId val="763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6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558048948271253"/>
          <c:y val="0.12238929875829385"/>
          <c:w val="0.43918901190311349"/>
          <c:h val="0.70126324888998026"/>
        </c:manualLayout>
      </c:layout>
      <c:doughnutChart>
        <c:varyColors val="1"/>
        <c:ser>
          <c:idx val="0"/>
          <c:order val="0"/>
          <c:tx>
            <c:strRef>
              <c:f>'Charting Practice 2'!$B$27</c:f>
              <c:strCache>
                <c:ptCount val="1"/>
                <c:pt idx="0">
                  <c:v>1995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64B6-49CE-BD39-DC75C27B5C3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64B6-49CE-BD39-DC75C27B5C3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64B6-49CE-BD39-DC75C27B5C3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64B6-49CE-BD39-DC75C27B5C3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64B6-49CE-BD39-DC75C27B5C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'Charting Practice 2'!$C$26:$G$26</c:f>
              <c:strCache>
                <c:ptCount val="5"/>
                <c:pt idx="0">
                  <c:v>Prod 1</c:v>
                </c:pt>
                <c:pt idx="1">
                  <c:v>Prod 2</c:v>
                </c:pt>
                <c:pt idx="2">
                  <c:v>Prod 3</c:v>
                </c:pt>
                <c:pt idx="3">
                  <c:v>Prod 4</c:v>
                </c:pt>
                <c:pt idx="4">
                  <c:v>Prod 5</c:v>
                </c:pt>
              </c:strCache>
            </c:strRef>
          </c:cat>
          <c:val>
            <c:numRef>
              <c:f>'Charting Practice 2'!$C$27:$G$27</c:f>
              <c:numCache>
                <c:formatCode>General</c:formatCode>
                <c:ptCount val="5"/>
                <c:pt idx="0">
                  <c:v>181</c:v>
                </c:pt>
                <c:pt idx="1">
                  <c:v>173</c:v>
                </c:pt>
                <c:pt idx="2">
                  <c:v>357</c:v>
                </c:pt>
                <c:pt idx="3">
                  <c:v>378</c:v>
                </c:pt>
                <c:pt idx="4">
                  <c:v>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4B6-49CE-BD39-DC75C27B5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'Charting practice 2 '!$B$4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'Charting practice 2 '!$B$5:$B$18</c:f>
              <c:numCache>
                <c:formatCode>General</c:formatCode>
                <c:ptCount val="1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6-4DB1-BBDB-9556F7591183}"/>
            </c:ext>
          </c:extLst>
        </c:ser>
        <c:ser>
          <c:idx val="1"/>
          <c:order val="1"/>
          <c:tx>
            <c:strRef>
              <c:f>'Charting practice 2 '!$C$4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'Charting practice 2 '!$C$5:$C$18</c:f>
              <c:numCache>
                <c:formatCode>General</c:formatCode>
                <c:ptCount val="14"/>
                <c:pt idx="0">
                  <c:v>1573</c:v>
                </c:pt>
                <c:pt idx="1">
                  <c:v>1844</c:v>
                </c:pt>
                <c:pt idx="2">
                  <c:v>2090</c:v>
                </c:pt>
                <c:pt idx="3">
                  <c:v>2371</c:v>
                </c:pt>
                <c:pt idx="4">
                  <c:v>2589</c:v>
                </c:pt>
                <c:pt idx="5">
                  <c:v>2766</c:v>
                </c:pt>
                <c:pt idx="6">
                  <c:v>3015</c:v>
                </c:pt>
                <c:pt idx="7">
                  <c:v>3264</c:v>
                </c:pt>
                <c:pt idx="8">
                  <c:v>3490</c:v>
                </c:pt>
                <c:pt idx="9">
                  <c:v>3703</c:v>
                </c:pt>
                <c:pt idx="10">
                  <c:v>3849</c:v>
                </c:pt>
                <c:pt idx="11">
                  <c:v>3969</c:v>
                </c:pt>
                <c:pt idx="12">
                  <c:v>4225</c:v>
                </c:pt>
                <c:pt idx="13">
                  <c:v>4515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F6-4DB1-BBDB-9556F7591183}"/>
            </c:ext>
          </c:extLst>
        </c:ser>
        <c:ser>
          <c:idx val="2"/>
          <c:order val="2"/>
          <c:tx>
            <c:strRef>
              <c:f>'Charting practice 2 '!$D$4</c:f>
              <c:strCache>
                <c:ptCount val="1"/>
                <c:pt idx="0">
                  <c:v>Prod 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'Charting practice 2 '!$D$5:$D$18</c:f>
              <c:numCache>
                <c:formatCode>General</c:formatCode>
                <c:ptCount val="14"/>
                <c:pt idx="0">
                  <c:v>181</c:v>
                </c:pt>
                <c:pt idx="1">
                  <c:v>255</c:v>
                </c:pt>
                <c:pt idx="2">
                  <c:v>331</c:v>
                </c:pt>
                <c:pt idx="3">
                  <c:v>342</c:v>
                </c:pt>
                <c:pt idx="4">
                  <c:v>352</c:v>
                </c:pt>
                <c:pt idx="5">
                  <c:v>400</c:v>
                </c:pt>
                <c:pt idx="6">
                  <c:v>463</c:v>
                </c:pt>
                <c:pt idx="7">
                  <c:v>484</c:v>
                </c:pt>
                <c:pt idx="8">
                  <c:v>530</c:v>
                </c:pt>
                <c:pt idx="9">
                  <c:v>574</c:v>
                </c:pt>
                <c:pt idx="10">
                  <c:v>591</c:v>
                </c:pt>
                <c:pt idx="11">
                  <c:v>605</c:v>
                </c:pt>
                <c:pt idx="12">
                  <c:v>617</c:v>
                </c:pt>
                <c:pt idx="13">
                  <c:v>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F6-4DB1-BBDB-9556F7591183}"/>
            </c:ext>
          </c:extLst>
        </c:ser>
        <c:ser>
          <c:idx val="3"/>
          <c:order val="3"/>
          <c:tx>
            <c:strRef>
              <c:f>'Charting practice 2 '!$E$4</c:f>
              <c:strCache>
                <c:ptCount val="1"/>
                <c:pt idx="0">
                  <c:v>Prod 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'Charting practice 2 '!$E$5:$E$18</c:f>
              <c:numCache>
                <c:formatCode>General</c:formatCode>
                <c:ptCount val="14"/>
                <c:pt idx="0">
                  <c:v>173</c:v>
                </c:pt>
                <c:pt idx="1">
                  <c:v>189</c:v>
                </c:pt>
                <c:pt idx="2">
                  <c:v>271</c:v>
                </c:pt>
                <c:pt idx="3">
                  <c:v>343</c:v>
                </c:pt>
                <c:pt idx="4">
                  <c:v>377</c:v>
                </c:pt>
                <c:pt idx="5">
                  <c:v>419</c:v>
                </c:pt>
                <c:pt idx="6">
                  <c:v>479</c:v>
                </c:pt>
                <c:pt idx="7">
                  <c:v>560</c:v>
                </c:pt>
                <c:pt idx="8">
                  <c:v>592</c:v>
                </c:pt>
                <c:pt idx="9">
                  <c:v>644</c:v>
                </c:pt>
                <c:pt idx="10">
                  <c:v>737</c:v>
                </c:pt>
                <c:pt idx="11">
                  <c:v>766</c:v>
                </c:pt>
                <c:pt idx="12">
                  <c:v>846</c:v>
                </c:pt>
                <c:pt idx="13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F6-4DB1-BBDB-9556F7591183}"/>
            </c:ext>
          </c:extLst>
        </c:ser>
        <c:ser>
          <c:idx val="4"/>
          <c:order val="4"/>
          <c:tx>
            <c:strRef>
              <c:f>'Charting practice 2 '!$F$4</c:f>
              <c:strCache>
                <c:ptCount val="1"/>
                <c:pt idx="0">
                  <c:v>Prod 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'Charting practice 2 '!$F$5:$F$18</c:f>
              <c:numCache>
                <c:formatCode>General</c:formatCode>
                <c:ptCount val="14"/>
                <c:pt idx="0">
                  <c:v>357</c:v>
                </c:pt>
                <c:pt idx="1">
                  <c:v>452</c:v>
                </c:pt>
                <c:pt idx="2">
                  <c:v>471</c:v>
                </c:pt>
                <c:pt idx="3">
                  <c:v>527</c:v>
                </c:pt>
                <c:pt idx="4">
                  <c:v>570</c:v>
                </c:pt>
                <c:pt idx="5">
                  <c:v>575</c:v>
                </c:pt>
                <c:pt idx="6">
                  <c:v>659</c:v>
                </c:pt>
                <c:pt idx="7">
                  <c:v>732</c:v>
                </c:pt>
                <c:pt idx="8">
                  <c:v>806</c:v>
                </c:pt>
                <c:pt idx="9">
                  <c:v>845</c:v>
                </c:pt>
                <c:pt idx="10">
                  <c:v>850</c:v>
                </c:pt>
                <c:pt idx="11">
                  <c:v>903</c:v>
                </c:pt>
                <c:pt idx="12">
                  <c:v>929</c:v>
                </c:pt>
                <c:pt idx="13">
                  <c:v>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F6-4DB1-BBDB-9556F7591183}"/>
            </c:ext>
          </c:extLst>
        </c:ser>
        <c:ser>
          <c:idx val="5"/>
          <c:order val="5"/>
          <c:tx>
            <c:strRef>
              <c:f>'Charting practice 2 '!$G$4</c:f>
              <c:strCache>
                <c:ptCount val="1"/>
                <c:pt idx="0">
                  <c:v>Prod 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'Charting practice 2 '!$G$5:$G$18</c:f>
              <c:numCache>
                <c:formatCode>General</c:formatCode>
                <c:ptCount val="14"/>
                <c:pt idx="0">
                  <c:v>378</c:v>
                </c:pt>
                <c:pt idx="1">
                  <c:v>446</c:v>
                </c:pt>
                <c:pt idx="2">
                  <c:v>496</c:v>
                </c:pt>
                <c:pt idx="3">
                  <c:v>562</c:v>
                </c:pt>
                <c:pt idx="4">
                  <c:v>648</c:v>
                </c:pt>
                <c:pt idx="5">
                  <c:v>707</c:v>
                </c:pt>
                <c:pt idx="6">
                  <c:v>748</c:v>
                </c:pt>
                <c:pt idx="7">
                  <c:v>763</c:v>
                </c:pt>
                <c:pt idx="8">
                  <c:v>774</c:v>
                </c:pt>
                <c:pt idx="9">
                  <c:v>779</c:v>
                </c:pt>
                <c:pt idx="10">
                  <c:v>790</c:v>
                </c:pt>
                <c:pt idx="11">
                  <c:v>798</c:v>
                </c:pt>
                <c:pt idx="12">
                  <c:v>865</c:v>
                </c:pt>
                <c:pt idx="13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F6-4DB1-BBDB-9556F7591183}"/>
            </c:ext>
          </c:extLst>
        </c:ser>
        <c:ser>
          <c:idx val="6"/>
          <c:order val="6"/>
          <c:tx>
            <c:strRef>
              <c:f>'Charting practice 2 '!$H$4</c:f>
              <c:strCache>
                <c:ptCount val="1"/>
                <c:pt idx="0">
                  <c:v>Prod 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'Charting practice 2 '!$H$5:$H$18</c:f>
              <c:numCache>
                <c:formatCode>General</c:formatCode>
                <c:ptCount val="14"/>
                <c:pt idx="0">
                  <c:v>484</c:v>
                </c:pt>
                <c:pt idx="1">
                  <c:v>502</c:v>
                </c:pt>
                <c:pt idx="2">
                  <c:v>521</c:v>
                </c:pt>
                <c:pt idx="3">
                  <c:v>597</c:v>
                </c:pt>
                <c:pt idx="4">
                  <c:v>642</c:v>
                </c:pt>
                <c:pt idx="5">
                  <c:v>665</c:v>
                </c:pt>
                <c:pt idx="6">
                  <c:v>666</c:v>
                </c:pt>
                <c:pt idx="7">
                  <c:v>725</c:v>
                </c:pt>
                <c:pt idx="8">
                  <c:v>788</c:v>
                </c:pt>
                <c:pt idx="9">
                  <c:v>861</c:v>
                </c:pt>
                <c:pt idx="10">
                  <c:v>881</c:v>
                </c:pt>
                <c:pt idx="11">
                  <c:v>897</c:v>
                </c:pt>
                <c:pt idx="12">
                  <c:v>968</c:v>
                </c:pt>
                <c:pt idx="13">
                  <c:v>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F6-4DB1-BBDB-9556F7591183}"/>
            </c:ext>
          </c:extLst>
        </c:ser>
        <c:ser>
          <c:idx val="7"/>
          <c:order val="7"/>
          <c:tx>
            <c:strRef>
              <c:f>'Charting practice 2 '!$I$4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'Charting practice 2 '!$I$5:$I$18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2589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F6-4DB1-BBDB-9556F7591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5160512"/>
        <c:axId val="563378112"/>
        <c:axId val="0"/>
      </c:bar3DChart>
      <c:catAx>
        <c:axId val="575160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78112"/>
        <c:crosses val="autoZero"/>
        <c:auto val="1"/>
        <c:lblAlgn val="ctr"/>
        <c:lblOffset val="100"/>
        <c:noMultiLvlLbl val="0"/>
      </c:catAx>
      <c:valAx>
        <c:axId val="5633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6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'Charting practice 2 '!$B$27</c:f>
              <c:strCache>
                <c:ptCount val="1"/>
                <c:pt idx="0">
                  <c:v>2008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'Charting practice 2 '!$C$26:$G$26</c:f>
              <c:strCache>
                <c:ptCount val="5"/>
                <c:pt idx="0">
                  <c:v>Prod 1</c:v>
                </c:pt>
                <c:pt idx="1">
                  <c:v>Prod 2</c:v>
                </c:pt>
                <c:pt idx="2">
                  <c:v>Prod 3</c:v>
                </c:pt>
                <c:pt idx="3">
                  <c:v>Prod 4</c:v>
                </c:pt>
                <c:pt idx="4">
                  <c:v>Prod 5</c:v>
                </c:pt>
              </c:strCache>
            </c:strRef>
          </c:cat>
          <c:val>
            <c:numRef>
              <c:f>'Charting practice 2 '!$C$27:$G$27</c:f>
              <c:numCache>
                <c:formatCode>General</c:formatCode>
                <c:ptCount val="5"/>
                <c:pt idx="0">
                  <c:v>712</c:v>
                </c:pt>
                <c:pt idx="1">
                  <c:v>930</c:v>
                </c:pt>
                <c:pt idx="2">
                  <c:v>935</c:v>
                </c:pt>
                <c:pt idx="3">
                  <c:v>919</c:v>
                </c:pt>
                <c:pt idx="4">
                  <c:v>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E-434E-89AB-4EF7C1591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95479136"/>
        <c:axId val="843997312"/>
        <c:axId val="0"/>
      </c:bar3DChart>
      <c:catAx>
        <c:axId val="79547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997312"/>
        <c:crosses val="autoZero"/>
        <c:auto val="1"/>
        <c:lblAlgn val="ctr"/>
        <c:lblOffset val="100"/>
        <c:noMultiLvlLbl val="0"/>
      </c:catAx>
      <c:valAx>
        <c:axId val="84399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7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'Charting practice 2 '!$B$5:$B$18</c:f>
              <c:numCache>
                <c:formatCode>General</c:formatCode>
                <c:ptCount val="1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</c:numCache>
            </c:numRef>
          </c:cat>
          <c:val>
            <c:numRef>
              <c:f>'Charting practice 2 '!$B$5:$B$18</c:f>
              <c:numCache>
                <c:formatCode>General</c:formatCode>
                <c:ptCount val="1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496D-AAB3-55EC41254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5935472"/>
        <c:axId val="884355504"/>
      </c:barChart>
      <c:catAx>
        <c:axId val="98593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355504"/>
        <c:crosses val="autoZero"/>
        <c:auto val="1"/>
        <c:lblAlgn val="ctr"/>
        <c:lblOffset val="100"/>
        <c:noMultiLvlLbl val="0"/>
      </c:catAx>
      <c:valAx>
        <c:axId val="8843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9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'Charting practice 2 '!$C$4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'Charting practice 2 '!$B$5:$B$18</c:f>
              <c:numCache>
                <c:formatCode>General</c:formatCode>
                <c:ptCount val="1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</c:numCache>
            </c:numRef>
          </c:cat>
          <c:val>
            <c:numRef>
              <c:f>'Charting practice 2 '!$C$5:$C$18</c:f>
              <c:numCache>
                <c:formatCode>General</c:formatCode>
                <c:ptCount val="14"/>
                <c:pt idx="0">
                  <c:v>1573</c:v>
                </c:pt>
                <c:pt idx="1">
                  <c:v>1844</c:v>
                </c:pt>
                <c:pt idx="2">
                  <c:v>2090</c:v>
                </c:pt>
                <c:pt idx="3">
                  <c:v>2371</c:v>
                </c:pt>
                <c:pt idx="4">
                  <c:v>2589</c:v>
                </c:pt>
                <c:pt idx="5">
                  <c:v>2766</c:v>
                </c:pt>
                <c:pt idx="6">
                  <c:v>3015</c:v>
                </c:pt>
                <c:pt idx="7">
                  <c:v>3264</c:v>
                </c:pt>
                <c:pt idx="8">
                  <c:v>3490</c:v>
                </c:pt>
                <c:pt idx="9">
                  <c:v>3703</c:v>
                </c:pt>
                <c:pt idx="10">
                  <c:v>3849</c:v>
                </c:pt>
                <c:pt idx="11">
                  <c:v>3969</c:v>
                </c:pt>
                <c:pt idx="12">
                  <c:v>4225</c:v>
                </c:pt>
                <c:pt idx="13">
                  <c:v>4515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2-4566-97C2-6ADE2A41528E}"/>
            </c:ext>
          </c:extLst>
        </c:ser>
        <c:ser>
          <c:idx val="1"/>
          <c:order val="1"/>
          <c:tx>
            <c:strRef>
              <c:f>'Charting practice 2 '!$I$4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'Charting practice 2 '!$B$5:$B$18</c:f>
              <c:numCache>
                <c:formatCode>General</c:formatCode>
                <c:ptCount val="1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</c:numCache>
            </c:numRef>
          </c:cat>
          <c:val>
            <c:numRef>
              <c:f>'Charting practice 2 '!$I$5:$I$18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2589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42-4566-97C2-6ADE2A415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100"/>
        <c:axId val="127592607"/>
        <c:axId val="175345295"/>
      </c:barChart>
      <c:catAx>
        <c:axId val="1275926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45295"/>
        <c:crosses val="autoZero"/>
        <c:auto val="1"/>
        <c:lblAlgn val="ctr"/>
        <c:lblOffset val="100"/>
        <c:noMultiLvlLbl val="0"/>
      </c:catAx>
      <c:valAx>
        <c:axId val="17534529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759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3"/>
          <c:tx>
            <c:strRef>
              <c:f>'Charting Practice 3'!$F$5</c:f>
              <c:strCache>
                <c:ptCount val="1"/>
                <c:pt idx="0">
                  <c:v>Average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'Charting Practice 3'!$B$6:$B$17</c:f>
              <c:numCache>
                <c:formatCode>mmm\-yy</c:formatCode>
                <c:ptCount val="12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</c:numCache>
            </c:numRef>
          </c:cat>
          <c:val>
            <c:numRef>
              <c:f>'Charting Practice 3'!$F$6:$F$17</c:f>
              <c:numCache>
                <c:formatCode>0%</c:formatCode>
                <c:ptCount val="12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E5-4FCF-B10A-79D31CF6E903}"/>
            </c:ext>
          </c:extLst>
        </c:ser>
        <c:ser>
          <c:idx val="4"/>
          <c:order val="4"/>
          <c:tx>
            <c:strRef>
              <c:f>'Charting Practice 3'!$G$5</c:f>
              <c:strCache>
                <c:ptCount val="1"/>
                <c:pt idx="0">
                  <c:v>Above Average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'Charting Practice 3'!$B$6:$B$17</c:f>
              <c:numCache>
                <c:formatCode>mmm\-yy</c:formatCode>
                <c:ptCount val="12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</c:numCache>
            </c:numRef>
          </c:cat>
          <c:val>
            <c:numRef>
              <c:f>'Charting Practice 3'!$G$6:$G$17</c:f>
              <c:numCache>
                <c:formatCode>0%</c:formatCode>
                <c:ptCount val="12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E5-4FCF-B10A-79D31CF6E903}"/>
            </c:ext>
          </c:extLst>
        </c:ser>
        <c:ser>
          <c:idx val="5"/>
          <c:order val="5"/>
          <c:tx>
            <c:strRef>
              <c:f>'Charting Practice 3'!$H$5</c:f>
              <c:strCache>
                <c:ptCount val="1"/>
                <c:pt idx="0">
                  <c:v>Awesome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'Charting Practice 3'!$B$6:$B$17</c:f>
              <c:numCache>
                <c:formatCode>mmm\-yy</c:formatCode>
                <c:ptCount val="12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</c:numCache>
            </c:numRef>
          </c:cat>
          <c:val>
            <c:numRef>
              <c:f>'Charting Practice 3'!$H$6:$H$17</c:f>
              <c:numCache>
                <c:formatCode>0%</c:formatCode>
                <c:ptCount val="1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E5-4FCF-B10A-79D31CF6E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449679"/>
        <c:axId val="1952284655"/>
      </c:barChart>
      <c:lineChart>
        <c:grouping val="standard"/>
        <c:varyColors val="0"/>
        <c:ser>
          <c:idx val="0"/>
          <c:order val="0"/>
          <c:tx>
            <c:strRef>
              <c:f>'Charting Practice 3'!$C$5</c:f>
              <c:strCache>
                <c:ptCount val="1"/>
                <c:pt idx="0">
                  <c:v>Product 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'Charting Practice 3'!$B$6:$B$17</c:f>
              <c:numCache>
                <c:formatCode>mmm\-yy</c:formatCode>
                <c:ptCount val="12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</c:numCache>
            </c:numRef>
          </c:cat>
          <c:val>
            <c:numRef>
              <c:f>'Charting Practice 3'!$C$6:$C$17</c:f>
              <c:numCache>
                <c:formatCode>0%</c:formatCode>
                <c:ptCount val="12"/>
                <c:pt idx="0">
                  <c:v>0.95</c:v>
                </c:pt>
                <c:pt idx="1">
                  <c:v>0.97</c:v>
                </c:pt>
                <c:pt idx="2">
                  <c:v>0.98</c:v>
                </c:pt>
                <c:pt idx="3">
                  <c:v>0.99</c:v>
                </c:pt>
                <c:pt idx="4">
                  <c:v>0.98</c:v>
                </c:pt>
                <c:pt idx="5">
                  <c:v>0.97</c:v>
                </c:pt>
                <c:pt idx="6">
                  <c:v>0.92</c:v>
                </c:pt>
                <c:pt idx="7">
                  <c:v>0.91</c:v>
                </c:pt>
                <c:pt idx="8">
                  <c:v>0.9</c:v>
                </c:pt>
                <c:pt idx="9">
                  <c:v>0.88</c:v>
                </c:pt>
                <c:pt idx="10">
                  <c:v>0.95</c:v>
                </c:pt>
                <c:pt idx="11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5-4FCF-B10A-79D31CF6E903}"/>
            </c:ext>
          </c:extLst>
        </c:ser>
        <c:ser>
          <c:idx val="1"/>
          <c:order val="1"/>
          <c:tx>
            <c:strRef>
              <c:f>'Charting Practice 3'!$D$5</c:f>
              <c:strCache>
                <c:ptCount val="1"/>
                <c:pt idx="0">
                  <c:v>Product 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'Charting Practice 3'!$B$6:$B$17</c:f>
              <c:numCache>
                <c:formatCode>mmm\-yy</c:formatCode>
                <c:ptCount val="12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</c:numCache>
            </c:numRef>
          </c:cat>
          <c:val>
            <c:numRef>
              <c:f>'Charting Practice 3'!$D$6:$D$17</c:f>
              <c:numCache>
                <c:formatCode>0%</c:formatCode>
                <c:ptCount val="12"/>
                <c:pt idx="0">
                  <c:v>0.85</c:v>
                </c:pt>
                <c:pt idx="1">
                  <c:v>0.84</c:v>
                </c:pt>
                <c:pt idx="2">
                  <c:v>0.83</c:v>
                </c:pt>
                <c:pt idx="3">
                  <c:v>0.82</c:v>
                </c:pt>
                <c:pt idx="4">
                  <c:v>0.88</c:v>
                </c:pt>
                <c:pt idx="5">
                  <c:v>0.87</c:v>
                </c:pt>
                <c:pt idx="6">
                  <c:v>0.86</c:v>
                </c:pt>
                <c:pt idx="7">
                  <c:v>0.88</c:v>
                </c:pt>
                <c:pt idx="8">
                  <c:v>0.87</c:v>
                </c:pt>
                <c:pt idx="9">
                  <c:v>0.89</c:v>
                </c:pt>
                <c:pt idx="10">
                  <c:v>0.91</c:v>
                </c:pt>
                <c:pt idx="11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5-4FCF-B10A-79D31CF6E903}"/>
            </c:ext>
          </c:extLst>
        </c:ser>
        <c:ser>
          <c:idx val="2"/>
          <c:order val="2"/>
          <c:tx>
            <c:strRef>
              <c:f>'Charting Practice 3'!$E$5</c:f>
              <c:strCache>
                <c:ptCount val="1"/>
                <c:pt idx="0">
                  <c:v>Product C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'Charting Practice 3'!$B$6:$B$17</c:f>
              <c:numCache>
                <c:formatCode>mmm\-yy</c:formatCode>
                <c:ptCount val="12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</c:numCache>
            </c:numRef>
          </c:cat>
          <c:val>
            <c:numRef>
              <c:f>'Charting Practice 3'!$E$6:$E$17</c:f>
              <c:numCache>
                <c:formatCode>0%</c:formatCode>
                <c:ptCount val="12"/>
                <c:pt idx="0">
                  <c:v>0.81</c:v>
                </c:pt>
                <c:pt idx="1">
                  <c:v>0.82</c:v>
                </c:pt>
                <c:pt idx="2">
                  <c:v>0.83</c:v>
                </c:pt>
                <c:pt idx="3">
                  <c:v>0.84</c:v>
                </c:pt>
                <c:pt idx="4">
                  <c:v>0.82</c:v>
                </c:pt>
                <c:pt idx="5">
                  <c:v>0.89</c:v>
                </c:pt>
                <c:pt idx="6">
                  <c:v>0.83</c:v>
                </c:pt>
                <c:pt idx="7">
                  <c:v>0.84</c:v>
                </c:pt>
                <c:pt idx="8">
                  <c:v>0.82</c:v>
                </c:pt>
                <c:pt idx="9">
                  <c:v>0.81</c:v>
                </c:pt>
                <c:pt idx="10">
                  <c:v>0.83</c:v>
                </c:pt>
                <c:pt idx="11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5-4FCF-B10A-79D31CF6E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9679"/>
        <c:axId val="1952284655"/>
      </c:lineChart>
      <c:dateAx>
        <c:axId val="944967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284655"/>
        <c:crosses val="autoZero"/>
        <c:auto val="1"/>
        <c:lblOffset val="100"/>
        <c:baseTimeUnit val="months"/>
      </c:dateAx>
      <c:valAx>
        <c:axId val="1952284655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3"/>
          <c:tx>
            <c:strRef>
              <c:f>'Charting Practice 3'!$F$5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'Charting Practice 3'!$B$6:$B$17</c:f>
              <c:numCache>
                <c:formatCode>mmm\-yy</c:formatCode>
                <c:ptCount val="12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</c:numCache>
            </c:numRef>
          </c:cat>
          <c:val>
            <c:numRef>
              <c:f>'Charting Practice 3'!$F$6:$F$17</c:f>
              <c:numCache>
                <c:formatCode>0%</c:formatCode>
                <c:ptCount val="12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A7-474E-A0B3-2E8E8718CCB7}"/>
            </c:ext>
          </c:extLst>
        </c:ser>
        <c:ser>
          <c:idx val="4"/>
          <c:order val="4"/>
          <c:tx>
            <c:strRef>
              <c:f>'Charting Practice 3'!$G$5</c:f>
              <c:strCache>
                <c:ptCount val="1"/>
                <c:pt idx="0">
                  <c:v>Above 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'Charting Practice 3'!$B$6:$B$17</c:f>
              <c:numCache>
                <c:formatCode>mmm\-yy</c:formatCode>
                <c:ptCount val="12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</c:numCache>
            </c:numRef>
          </c:cat>
          <c:val>
            <c:numRef>
              <c:f>'Charting Practice 3'!$G$6:$G$17</c:f>
              <c:numCache>
                <c:formatCode>0%</c:formatCode>
                <c:ptCount val="12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A7-474E-A0B3-2E8E8718CCB7}"/>
            </c:ext>
          </c:extLst>
        </c:ser>
        <c:ser>
          <c:idx val="5"/>
          <c:order val="5"/>
          <c:tx>
            <c:strRef>
              <c:f>'Charting Practice 3'!$H$5</c:f>
              <c:strCache>
                <c:ptCount val="1"/>
                <c:pt idx="0">
                  <c:v>Awesome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'Charting Practice 3'!$B$6:$B$17</c:f>
              <c:numCache>
                <c:formatCode>mmm\-yy</c:formatCode>
                <c:ptCount val="12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</c:numCache>
            </c:numRef>
          </c:cat>
          <c:val>
            <c:numRef>
              <c:f>'Charting Practice 3'!$H$6:$H$17</c:f>
              <c:numCache>
                <c:formatCode>0%</c:formatCode>
                <c:ptCount val="1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A7-474E-A0B3-2E8E8718C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014495"/>
        <c:axId val="294975551"/>
      </c:barChart>
      <c:lineChart>
        <c:grouping val="standard"/>
        <c:varyColors val="0"/>
        <c:ser>
          <c:idx val="0"/>
          <c:order val="0"/>
          <c:tx>
            <c:strRef>
              <c:f>'Charting Practice 3'!$C$5</c:f>
              <c:strCache>
                <c:ptCount val="1"/>
                <c:pt idx="0">
                  <c:v>Product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'Charting Practice 3'!$B$6:$B$17</c:f>
              <c:numCache>
                <c:formatCode>mmm\-yy</c:formatCode>
                <c:ptCount val="12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</c:numCache>
            </c:numRef>
          </c:cat>
          <c:val>
            <c:numRef>
              <c:f>'Charting Practice 3'!$C$6:$C$17</c:f>
              <c:numCache>
                <c:formatCode>0%</c:formatCode>
                <c:ptCount val="12"/>
                <c:pt idx="0">
                  <c:v>0.95</c:v>
                </c:pt>
                <c:pt idx="1">
                  <c:v>0.97</c:v>
                </c:pt>
                <c:pt idx="2">
                  <c:v>0.98</c:v>
                </c:pt>
                <c:pt idx="3">
                  <c:v>0.99</c:v>
                </c:pt>
                <c:pt idx="4">
                  <c:v>0.98</c:v>
                </c:pt>
                <c:pt idx="5">
                  <c:v>0.97</c:v>
                </c:pt>
                <c:pt idx="6">
                  <c:v>0.92</c:v>
                </c:pt>
                <c:pt idx="7">
                  <c:v>0.91</c:v>
                </c:pt>
                <c:pt idx="8">
                  <c:v>0.9</c:v>
                </c:pt>
                <c:pt idx="9">
                  <c:v>0.88</c:v>
                </c:pt>
                <c:pt idx="10">
                  <c:v>0.95</c:v>
                </c:pt>
                <c:pt idx="11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7-474E-A0B3-2E8E8718CCB7}"/>
            </c:ext>
          </c:extLst>
        </c:ser>
        <c:ser>
          <c:idx val="1"/>
          <c:order val="1"/>
          <c:tx>
            <c:strRef>
              <c:f>'Charting Practice 3'!$D$5</c:f>
              <c:strCache>
                <c:ptCount val="1"/>
                <c:pt idx="0">
                  <c:v>Product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'Charting Practice 3'!$B$6:$B$17</c:f>
              <c:numCache>
                <c:formatCode>mmm\-yy</c:formatCode>
                <c:ptCount val="12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</c:numCache>
            </c:numRef>
          </c:cat>
          <c:val>
            <c:numRef>
              <c:f>'Charting Practice 3'!$D$6:$D$17</c:f>
              <c:numCache>
                <c:formatCode>0%</c:formatCode>
                <c:ptCount val="12"/>
                <c:pt idx="0">
                  <c:v>0.85</c:v>
                </c:pt>
                <c:pt idx="1">
                  <c:v>0.84</c:v>
                </c:pt>
                <c:pt idx="2">
                  <c:v>0.83</c:v>
                </c:pt>
                <c:pt idx="3">
                  <c:v>0.82</c:v>
                </c:pt>
                <c:pt idx="4">
                  <c:v>0.88</c:v>
                </c:pt>
                <c:pt idx="5">
                  <c:v>0.87</c:v>
                </c:pt>
                <c:pt idx="6">
                  <c:v>0.86</c:v>
                </c:pt>
                <c:pt idx="7">
                  <c:v>0.88</c:v>
                </c:pt>
                <c:pt idx="8">
                  <c:v>0.87</c:v>
                </c:pt>
                <c:pt idx="9">
                  <c:v>0.89</c:v>
                </c:pt>
                <c:pt idx="10">
                  <c:v>0.91</c:v>
                </c:pt>
                <c:pt idx="11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A7-474E-A0B3-2E8E8718CCB7}"/>
            </c:ext>
          </c:extLst>
        </c:ser>
        <c:ser>
          <c:idx val="2"/>
          <c:order val="2"/>
          <c:tx>
            <c:strRef>
              <c:f>'Charting Practice 3'!$E$5</c:f>
              <c:strCache>
                <c:ptCount val="1"/>
                <c:pt idx="0">
                  <c:v>Product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'Charting Practice 3'!$B$6:$B$17</c:f>
              <c:numCache>
                <c:formatCode>mmm\-yy</c:formatCode>
                <c:ptCount val="12"/>
                <c:pt idx="0">
                  <c:v>41670</c:v>
                </c:pt>
                <c:pt idx="1">
                  <c:v>41698</c:v>
                </c:pt>
                <c:pt idx="2">
                  <c:v>41729</c:v>
                </c:pt>
                <c:pt idx="3">
                  <c:v>41759</c:v>
                </c:pt>
                <c:pt idx="4">
                  <c:v>41790</c:v>
                </c:pt>
                <c:pt idx="5">
                  <c:v>41820</c:v>
                </c:pt>
                <c:pt idx="6">
                  <c:v>41851</c:v>
                </c:pt>
                <c:pt idx="7">
                  <c:v>41882</c:v>
                </c:pt>
                <c:pt idx="8">
                  <c:v>41912</c:v>
                </c:pt>
                <c:pt idx="9">
                  <c:v>41943</c:v>
                </c:pt>
                <c:pt idx="10">
                  <c:v>41973</c:v>
                </c:pt>
                <c:pt idx="11">
                  <c:v>42004</c:v>
                </c:pt>
              </c:numCache>
            </c:numRef>
          </c:cat>
          <c:val>
            <c:numRef>
              <c:f>'Charting Practice 3'!$E$6:$E$17</c:f>
              <c:numCache>
                <c:formatCode>0%</c:formatCode>
                <c:ptCount val="12"/>
                <c:pt idx="0">
                  <c:v>0.81</c:v>
                </c:pt>
                <c:pt idx="1">
                  <c:v>0.82</c:v>
                </c:pt>
                <c:pt idx="2">
                  <c:v>0.83</c:v>
                </c:pt>
                <c:pt idx="3">
                  <c:v>0.84</c:v>
                </c:pt>
                <c:pt idx="4">
                  <c:v>0.82</c:v>
                </c:pt>
                <c:pt idx="5">
                  <c:v>0.89</c:v>
                </c:pt>
                <c:pt idx="6">
                  <c:v>0.83</c:v>
                </c:pt>
                <c:pt idx="7">
                  <c:v>0.84</c:v>
                </c:pt>
                <c:pt idx="8">
                  <c:v>0.82</c:v>
                </c:pt>
                <c:pt idx="9">
                  <c:v>0.81</c:v>
                </c:pt>
                <c:pt idx="10">
                  <c:v>0.83</c:v>
                </c:pt>
                <c:pt idx="11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A7-474E-A0B3-2E8E8718C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14495"/>
        <c:axId val="294975551"/>
      </c:lineChart>
      <c:dateAx>
        <c:axId val="801449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75551"/>
        <c:crosses val="autoZero"/>
        <c:auto val="1"/>
        <c:lblOffset val="100"/>
        <c:baseTimeUnit val="months"/>
      </c:dateAx>
      <c:valAx>
        <c:axId val="294975551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'Charting Practice 4'!$H$12</c:f>
              <c:strCache>
                <c:ptCount val="1"/>
                <c:pt idx="0">
                  <c:v>TISCO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'Charting Practice 4'!$G$13:$G$20</c:f>
              <c:numCache>
                <c:formatCode>d\-mmm\-yy</c:formatCode>
                <c:ptCount val="8"/>
                <c:pt idx="0">
                  <c:v>38108</c:v>
                </c:pt>
                <c:pt idx="1">
                  <c:v>38109</c:v>
                </c:pt>
                <c:pt idx="2">
                  <c:v>38110</c:v>
                </c:pt>
                <c:pt idx="3">
                  <c:v>38111</c:v>
                </c:pt>
                <c:pt idx="4">
                  <c:v>38112</c:v>
                </c:pt>
                <c:pt idx="5">
                  <c:v>38113</c:v>
                </c:pt>
                <c:pt idx="6">
                  <c:v>38114</c:v>
                </c:pt>
                <c:pt idx="7">
                  <c:v>38115</c:v>
                </c:pt>
              </c:numCache>
            </c:numRef>
          </c:cat>
          <c:val>
            <c:numRef>
              <c:f>'Charting Practice 4'!$H$13:$H$20</c:f>
              <c:numCache>
                <c:formatCode>0.00</c:formatCode>
                <c:ptCount val="8"/>
                <c:pt idx="0">
                  <c:v>100</c:v>
                </c:pt>
                <c:pt idx="1">
                  <c:v>100.33898305084745</c:v>
                </c:pt>
                <c:pt idx="2">
                  <c:v>101.01694915254238</c:v>
                </c:pt>
                <c:pt idx="3">
                  <c:v>103.38983050847457</c:v>
                </c:pt>
                <c:pt idx="4">
                  <c:v>107.79661016949153</c:v>
                </c:pt>
                <c:pt idx="5">
                  <c:v>105.08474576271188</c:v>
                </c:pt>
                <c:pt idx="6">
                  <c:v>103.38983050847457</c:v>
                </c:pt>
                <c:pt idx="7">
                  <c:v>101.69491525423729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0-4FF5-8D83-B4804F64074E}"/>
            </c:ext>
          </c:extLst>
        </c:ser>
        <c:ser>
          <c:idx val="1"/>
          <c:order val="1"/>
          <c:tx>
            <c:strRef>
              <c:f>'Charting Practice 4'!$I$12</c:f>
              <c:strCache>
                <c:ptCount val="1"/>
                <c:pt idx="0">
                  <c:v>INFOSYS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'Charting Practice 4'!$G$13:$G$20</c:f>
              <c:numCache>
                <c:formatCode>d\-mmm\-yy</c:formatCode>
                <c:ptCount val="8"/>
                <c:pt idx="0">
                  <c:v>38108</c:v>
                </c:pt>
                <c:pt idx="1">
                  <c:v>38109</c:v>
                </c:pt>
                <c:pt idx="2">
                  <c:v>38110</c:v>
                </c:pt>
                <c:pt idx="3">
                  <c:v>38111</c:v>
                </c:pt>
                <c:pt idx="4">
                  <c:v>38112</c:v>
                </c:pt>
                <c:pt idx="5">
                  <c:v>38113</c:v>
                </c:pt>
                <c:pt idx="6">
                  <c:v>38114</c:v>
                </c:pt>
                <c:pt idx="7">
                  <c:v>38115</c:v>
                </c:pt>
              </c:numCache>
            </c:numRef>
          </c:cat>
          <c:val>
            <c:numRef>
              <c:f>'Charting Practice 4'!$I$13:$I$20</c:f>
              <c:numCache>
                <c:formatCode>0.00</c:formatCode>
                <c:ptCount val="8"/>
                <c:pt idx="0">
                  <c:v>100</c:v>
                </c:pt>
                <c:pt idx="1">
                  <c:v>102.00190657769303</c:v>
                </c:pt>
                <c:pt idx="2">
                  <c:v>102.95519542421354</c:v>
                </c:pt>
                <c:pt idx="3">
                  <c:v>97.235462345090568</c:v>
                </c:pt>
                <c:pt idx="4">
                  <c:v>94.375595805529073</c:v>
                </c:pt>
                <c:pt idx="5">
                  <c:v>97.235462345090568</c:v>
                </c:pt>
                <c:pt idx="6">
                  <c:v>100.09532888465205</c:v>
                </c:pt>
                <c:pt idx="7">
                  <c:v>100.5719733079123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0-4FF5-8D83-B4804F64074E}"/>
            </c:ext>
          </c:extLst>
        </c:ser>
        <c:ser>
          <c:idx val="2"/>
          <c:order val="2"/>
          <c:tx>
            <c:strRef>
              <c:f>'Charting Practice 4'!$J$12</c:f>
              <c:strCache>
                <c:ptCount val="1"/>
                <c:pt idx="0">
                  <c:v>BHARTI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'Charting Practice 4'!$G$13:$G$20</c:f>
              <c:numCache>
                <c:formatCode>d\-mmm\-yy</c:formatCode>
                <c:ptCount val="8"/>
                <c:pt idx="0">
                  <c:v>38108</c:v>
                </c:pt>
                <c:pt idx="1">
                  <c:v>38109</c:v>
                </c:pt>
                <c:pt idx="2">
                  <c:v>38110</c:v>
                </c:pt>
                <c:pt idx="3">
                  <c:v>38111</c:v>
                </c:pt>
                <c:pt idx="4">
                  <c:v>38112</c:v>
                </c:pt>
                <c:pt idx="5">
                  <c:v>38113</c:v>
                </c:pt>
                <c:pt idx="6">
                  <c:v>38114</c:v>
                </c:pt>
                <c:pt idx="7">
                  <c:v>38115</c:v>
                </c:pt>
              </c:numCache>
            </c:numRef>
          </c:cat>
          <c:val>
            <c:numRef>
              <c:f>'Charting Practice 4'!$J$13:$J$20</c:f>
              <c:numCache>
                <c:formatCode>0.00</c:formatCode>
                <c:ptCount val="8"/>
                <c:pt idx="0">
                  <c:v>100</c:v>
                </c:pt>
                <c:pt idx="1">
                  <c:v>100.78125</c:v>
                </c:pt>
                <c:pt idx="2">
                  <c:v>103.125</c:v>
                </c:pt>
                <c:pt idx="3">
                  <c:v>107.8125</c:v>
                </c:pt>
                <c:pt idx="4">
                  <c:v>113.28125</c:v>
                </c:pt>
                <c:pt idx="5">
                  <c:v>110.9375</c:v>
                </c:pt>
                <c:pt idx="6">
                  <c:v>110.15625</c:v>
                </c:pt>
                <c:pt idx="7">
                  <c:v>109.375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0-4FF5-8D83-B4804F640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1551"/>
        <c:axId val="92801359"/>
      </c:lineChart>
      <c:dateAx>
        <c:axId val="4661551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01359"/>
        <c:crosses val="autoZero"/>
        <c:auto val="1"/>
        <c:lblOffset val="100"/>
        <c:baseTimeUnit val="days"/>
      </c:dateAx>
      <c:valAx>
        <c:axId val="92801359"/>
        <c:scaling>
          <c:orientation val="minMax"/>
          <c:max val="120"/>
          <c:min val="6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croll" dx="22" fmlaLink="$H$8" horiz="1" inc="2" max="100" min="1" page="10" val="60"/>
</file>

<file path=xl/ctrlProps/ctrlProp2.xml><?xml version="1.0" encoding="utf-8"?>
<formControlPr xmlns="http://schemas.microsoft.com/office/spreadsheetml/2009/9/main" objectType="Scroll" dx="22" fmlaLink="$I$7" horiz="1" max="100" min="1" page="10" val="21"/>
</file>

<file path=xl/ctrlProps/ctrlProp3.xml><?xml version="1.0" encoding="utf-8"?>
<formControlPr xmlns="http://schemas.microsoft.com/office/spreadsheetml/2009/9/main" objectType="Scroll" dx="22" horiz="1" max="100" page="10" val="0"/>
</file>

<file path=xl/ctrlProps/ctrlProp4.xml><?xml version="1.0" encoding="utf-8"?>
<formControlPr xmlns="http://schemas.microsoft.com/office/spreadsheetml/2009/9/main" objectType="CheckBox" checked="Checked" fmlaLink="$C$14" lockText="1" noThreeD="1"/>
</file>

<file path=xl/ctrlProps/ctrlProp5.xml><?xml version="1.0" encoding="utf-8"?>
<formControlPr xmlns="http://schemas.microsoft.com/office/spreadsheetml/2009/9/main" objectType="CheckBox" checked="Checked" fmlaLink="$D$14" lockText="1" noThreeD="1"/>
</file>

<file path=xl/ctrlProps/ctrlProp6.xml><?xml version="1.0" encoding="utf-8"?>
<formControlPr xmlns="http://schemas.microsoft.com/office/spreadsheetml/2009/9/main" objectType="CheckBox" checked="Checked" fmlaLink="$E$14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Drop" dropStyle="combo" dx="26" fmlaLink="$D$4" fmlaRange="'Charting Practice 1,'!$C$13:$C$16" sel="2" val="0"/>
</file>

<file path=xl/ctrlProps/ctrlProp9.xml><?xml version="1.0" encoding="utf-8"?>
<formControlPr xmlns="http://schemas.microsoft.com/office/spreadsheetml/2009/9/main" objectType="Scroll" dx="26" fmlaLink="$B$21" horiz="1" max="2008" min="1995" page="0" val="2002"/>
</file>

<file path=xl/ctrlProps/ctrlProp10.xml><?xml version="1.0" encoding="utf-8"?>
<formControlPr xmlns="http://schemas.microsoft.com/office/spreadsheetml/2009/9/main" objectType="Scroll" dx="26" fmlaLink="$B$27" horiz="1" max="2008" min="1995" page="0" val="1995"/>
</file>

<file path=xl/ctrlProps/ctrlProp11.xml><?xml version="1.0" encoding="utf-8"?>
<formControlPr xmlns="http://schemas.microsoft.com/office/spreadsheetml/2009/9/main" objectType="Scroll" dx="26" fmlaLink="$B$31" horiz="1" max="2008" min="1995" page="0" val="1999"/>
</file>

<file path=xl/ctrlProps/ctrlProp12.xml><?xml version="1.0" encoding="utf-8"?>
<formControlPr xmlns="http://schemas.microsoft.com/office/spreadsheetml/2009/9/main" objectType="Scroll" dx="26" fmlaLink="$B$21" horiz="1" max="2008" min="1995" page="0" val="2008"/>
</file>

<file path=xl/ctrlProps/ctrlProp13.xml><?xml version="1.0" encoding="utf-8"?>
<formControlPr xmlns="http://schemas.microsoft.com/office/spreadsheetml/2009/9/main" objectType="Scroll" dx="26" fmlaLink="$B$27" horiz="1" max="2008" min="1995" page="0" val="2006"/>
</file>

<file path=xl/ctrlProps/ctrlProp14.xml><?xml version="1.0" encoding="utf-8"?>
<formControlPr xmlns="http://schemas.microsoft.com/office/spreadsheetml/2009/9/main" objectType="Scroll" dx="26" fmlaLink="$B$31" horiz="1" max="2008" min="1995" page="0" val="1995"/>
</file>

<file path=xl/ctrlProps/ctrlProp15.xml><?xml version="1.0" encoding="utf-8"?>
<formControlPr xmlns="http://schemas.microsoft.com/office/spreadsheetml/2009/9/main" objectType="Scroll" dx="26" fmlaLink="$B$21" horiz="1" max="2008" min="1995" page="0" val="1999"/>
</file>

<file path=xl/ctrlProps/ctrlProp16.xml><?xml version="1.0" encoding="utf-8"?>
<formControlPr xmlns="http://schemas.microsoft.com/office/spreadsheetml/2009/9/main" objectType="Scroll" dx="26" fmlaLink="$B$27" horiz="1" max="2008" min="1995" page="0" val="2008"/>
</file>

<file path=xl/ctrlProps/ctrlProp17.xml><?xml version="1.0" encoding="utf-8"?>
<formControlPr xmlns="http://schemas.microsoft.com/office/spreadsheetml/2009/9/main" objectType="Scroll" dx="26" fmlaLink="$B$31" horiz="1" max="2008" min="1995" page="0" val="2004"/>
</file>

<file path=xl/ctrlProps/ctrlProp18.xml><?xml version="1.0" encoding="utf-8"?>
<formControlPr xmlns="http://schemas.microsoft.com/office/spreadsheetml/2009/9/main" objectType="Scroll" dx="26" fmlaLink="$B$37" horiz="1" max="2008" min="1995" page="0" val="1999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0.png"/><Relationship Id="rId1" Type="http://schemas.openxmlformats.org/officeDocument/2006/relationships/customXml" Target="../ink/ink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ustomXml" Target="../ink/ink2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10.xml"/><Relationship Id="rId3" Type="http://schemas.openxmlformats.org/officeDocument/2006/relationships/customXml" Target="../ink/ink3.xml"/><Relationship Id="rId7" Type="http://schemas.openxmlformats.org/officeDocument/2006/relationships/customXml" Target="../ink/ink5.xml"/><Relationship Id="rId12" Type="http://schemas.openxmlformats.org/officeDocument/2006/relationships/customXml" Target="../ink/ink9.xml"/><Relationship Id="rId17" Type="http://schemas.openxmlformats.org/officeDocument/2006/relationships/customXml" Target="../ink/ink14.xml"/><Relationship Id="rId2" Type="http://schemas.openxmlformats.org/officeDocument/2006/relationships/image" Target="../media/image1.png"/><Relationship Id="rId16" Type="http://schemas.openxmlformats.org/officeDocument/2006/relationships/customXml" Target="../ink/ink13.xml"/><Relationship Id="rId1" Type="http://schemas.openxmlformats.org/officeDocument/2006/relationships/hyperlink" Target="http://thewallstreetschool.com" TargetMode="External"/><Relationship Id="rId6" Type="http://schemas.openxmlformats.org/officeDocument/2006/relationships/image" Target="../media/image5.png"/><Relationship Id="rId11" Type="http://schemas.openxmlformats.org/officeDocument/2006/relationships/customXml" Target="../ink/ink8.xml"/><Relationship Id="rId5" Type="http://schemas.openxmlformats.org/officeDocument/2006/relationships/customXml" Target="../ink/ink4.xml"/><Relationship Id="rId15" Type="http://schemas.openxmlformats.org/officeDocument/2006/relationships/customXml" Target="../ink/ink12.xml"/><Relationship Id="rId10" Type="http://schemas.openxmlformats.org/officeDocument/2006/relationships/customXml" Target="../ink/ink7.xml"/><Relationship Id="rId4" Type="http://schemas.openxmlformats.org/officeDocument/2006/relationships/image" Target="../media/image4.png"/><Relationship Id="rId9" Type="http://schemas.openxmlformats.org/officeDocument/2006/relationships/customXml" Target="../ink/ink6.xml"/><Relationship Id="rId14" Type="http://schemas.openxmlformats.org/officeDocument/2006/relationships/customXml" Target="../ink/ink11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customXml" Target="../ink/ink21.xml"/><Relationship Id="rId18" Type="http://schemas.openxmlformats.org/officeDocument/2006/relationships/image" Target="../media/image15.png"/><Relationship Id="rId3" Type="http://schemas.openxmlformats.org/officeDocument/2006/relationships/customXml" Target="../ink/ink16.xml"/><Relationship Id="rId21" Type="http://schemas.openxmlformats.org/officeDocument/2006/relationships/customXml" Target="../ink/ink25.xml"/><Relationship Id="rId7" Type="http://schemas.openxmlformats.org/officeDocument/2006/relationships/customXml" Target="../ink/ink18.xml"/><Relationship Id="rId12" Type="http://schemas.openxmlformats.org/officeDocument/2006/relationships/image" Target="../media/image12.png"/><Relationship Id="rId17" Type="http://schemas.openxmlformats.org/officeDocument/2006/relationships/customXml" Target="../ink/ink23.xml"/><Relationship Id="rId2" Type="http://schemas.openxmlformats.org/officeDocument/2006/relationships/image" Target="../media/image7.png"/><Relationship Id="rId16" Type="http://schemas.openxmlformats.org/officeDocument/2006/relationships/image" Target="../media/image14.png"/><Relationship Id="rId20" Type="http://schemas.openxmlformats.org/officeDocument/2006/relationships/image" Target="../media/image16.png"/><Relationship Id="rId1" Type="http://schemas.openxmlformats.org/officeDocument/2006/relationships/customXml" Target="../ink/ink15.xml"/><Relationship Id="rId6" Type="http://schemas.openxmlformats.org/officeDocument/2006/relationships/image" Target="../media/image9.png"/><Relationship Id="rId11" Type="http://schemas.openxmlformats.org/officeDocument/2006/relationships/customXml" Target="../ink/ink20.xml"/><Relationship Id="rId5" Type="http://schemas.openxmlformats.org/officeDocument/2006/relationships/customXml" Target="../ink/ink17.xml"/><Relationship Id="rId15" Type="http://schemas.openxmlformats.org/officeDocument/2006/relationships/customXml" Target="../ink/ink22.xml"/><Relationship Id="rId10" Type="http://schemas.openxmlformats.org/officeDocument/2006/relationships/image" Target="../media/image11.png"/><Relationship Id="rId19" Type="http://schemas.openxmlformats.org/officeDocument/2006/relationships/customXml" Target="../ink/ink24.xml"/><Relationship Id="rId4" Type="http://schemas.openxmlformats.org/officeDocument/2006/relationships/image" Target="../media/image8.png"/><Relationship Id="rId9" Type="http://schemas.openxmlformats.org/officeDocument/2006/relationships/customXml" Target="../ink/ink19.xml"/><Relationship Id="rId14" Type="http://schemas.openxmlformats.org/officeDocument/2006/relationships/image" Target="../media/image13.png"/><Relationship Id="rId22" Type="http://schemas.openxmlformats.org/officeDocument/2006/relationships/image" Target="../media/image17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6.xml"/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Relationship Id="rId14" Type="http://schemas.openxmlformats.org/officeDocument/2006/relationships/image" Target="../media/image2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ustomXml" Target="../ink/ink27.xml"/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Relationship Id="rId4" Type="http://schemas.openxmlformats.org/officeDocument/2006/relationships/image" Target="../media/image30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ustomXml" Target="../ink/ink29.xml"/><Relationship Id="rId2" Type="http://schemas.openxmlformats.org/officeDocument/2006/relationships/image" Target="../media/image36.png"/><Relationship Id="rId1" Type="http://schemas.openxmlformats.org/officeDocument/2006/relationships/customXml" Target="../ink/ink28.xml"/><Relationship Id="rId4" Type="http://schemas.openxmlformats.org/officeDocument/2006/relationships/image" Target="../media/image37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ustomXml" Target="../ink/ink31.xml"/><Relationship Id="rId2" Type="http://schemas.openxmlformats.org/officeDocument/2006/relationships/image" Target="../media/image38.png"/><Relationship Id="rId1" Type="http://schemas.openxmlformats.org/officeDocument/2006/relationships/customXml" Target="../ink/ink30.xml"/><Relationship Id="rId4" Type="http://schemas.openxmlformats.org/officeDocument/2006/relationships/image" Target="../media/image39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51.png"/><Relationship Id="rId3" Type="http://schemas.openxmlformats.org/officeDocument/2006/relationships/chart" Target="../charts/chart3.xml"/><Relationship Id="rId7" Type="http://schemas.openxmlformats.org/officeDocument/2006/relationships/customXml" Target="../ink/ink3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50.png"/><Relationship Id="rId5" Type="http://schemas.openxmlformats.org/officeDocument/2006/relationships/customXml" Target="../ink/ink32.xml"/><Relationship Id="rId4" Type="http://schemas.openxmlformats.org/officeDocument/2006/relationships/chart" Target="../charts/chart4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52.png"/><Relationship Id="rId1" Type="http://schemas.openxmlformats.org/officeDocument/2006/relationships/customXml" Target="../ink/ink34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image" Target="../media/image52.png"/><Relationship Id="rId1" Type="http://schemas.openxmlformats.org/officeDocument/2006/relationships/customXml" Target="../ink/ink35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image" Target="../media/image52.png"/><Relationship Id="rId1" Type="http://schemas.openxmlformats.org/officeDocument/2006/relationships/customXml" Target="../ink/ink36.xml"/><Relationship Id="rId4" Type="http://schemas.openxmlformats.org/officeDocument/2006/relationships/chart" Target="../charts/chart12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6</xdr:col>
      <xdr:colOff>323850</xdr:colOff>
      <xdr:row>6</xdr:row>
      <xdr:rowOff>276225</xdr:rowOff>
    </xdr:to>
    <xdr:pic>
      <xdr:nvPicPr>
        <xdr:cNvPr id="3" name="Picture 2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125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12</xdr:col>
      <xdr:colOff>76200</xdr:colOff>
      <xdr:row>3</xdr:row>
      <xdr:rowOff>114300</xdr:rowOff>
    </xdr:to>
    <xdr:sp macro="" textlink="">
      <xdr:nvSpPr>
        <xdr:cNvPr id="4" name="AutoShape 3" descr="McKinsey &amp; Company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2000"/>
          <a:ext cx="1905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" name="AutoShape 5" descr="McKinsey &amp; Company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6" name="AutoShape 5" descr="McKinsey &amp; Compan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7" name="AutoShape 5" descr="McKinsey &amp; Company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</xdr:row>
      <xdr:rowOff>0</xdr:rowOff>
    </xdr:from>
    <xdr:ext cx="304800" cy="304800"/>
    <xdr:sp macro="" textlink="">
      <xdr:nvSpPr>
        <xdr:cNvPr id="8" name="AutoShape 5" descr="McKinsey &amp; Company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" name="AutoShape 5" descr="McKinsey &amp; Company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93154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0" name="AutoShape 5" descr="McKinsey &amp; Company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93154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11" name="AutoShape 5" descr="McKinsey &amp; Company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31545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</xdr:row>
      <xdr:rowOff>0</xdr:rowOff>
    </xdr:from>
    <xdr:ext cx="304800" cy="304800"/>
    <xdr:sp macro="" textlink="">
      <xdr:nvSpPr>
        <xdr:cNvPr id="12" name="AutoShape 5" descr="McKinsey &amp; Company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93154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" name="AutoShape 5" descr="McKinsey &amp; Company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99250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4" name="AutoShape 5" descr="McKinsey &amp; Company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99250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15" name="AutoShape 5" descr="McKinsey &amp; Company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992505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</xdr:row>
      <xdr:rowOff>0</xdr:rowOff>
    </xdr:from>
    <xdr:ext cx="304800" cy="304800"/>
    <xdr:sp macro="" textlink="">
      <xdr:nvSpPr>
        <xdr:cNvPr id="16" name="AutoShape 5" descr="McKinsey &amp; Company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99250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628650</xdr:colOff>
      <xdr:row>2</xdr:row>
      <xdr:rowOff>57150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687456</xdr:colOff>
      <xdr:row>2</xdr:row>
      <xdr:rowOff>66675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414130</xdr:colOff>
      <xdr:row>2</xdr:row>
      <xdr:rowOff>116371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656745</xdr:colOff>
      <xdr:row>24</xdr:row>
      <xdr:rowOff>154800</xdr:rowOff>
    </xdr:from>
    <xdr:to>
      <xdr:col>4</xdr:col>
      <xdr:colOff>659265</xdr:colOff>
      <xdr:row>24</xdr:row>
      <xdr:rowOff>155160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14:cNvPr>
            <xdr14:cNvContentPartPr/>
          </xdr14:nvContentPartPr>
          <xdr14:nvPr macro=""/>
          <xdr14:xfrm>
            <a:off x="4476270" y="2307450"/>
            <a:ext cx="252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2DB4AA2-4FED-43D6-A59E-A69E017407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67630" y="2298810"/>
              <a:ext cx="2016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3429000</xdr:colOff>
      <xdr:row>2</xdr:row>
      <xdr:rowOff>63602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2</xdr:row>
      <xdr:rowOff>123825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962025</xdr:colOff>
          <xdr:row>7</xdr:row>
          <xdr:rowOff>0</xdr:rowOff>
        </xdr:from>
        <xdr:to>
          <xdr:col>11</xdr:col>
          <xdr:colOff>590550</xdr:colOff>
          <xdr:row>7</xdr:row>
          <xdr:rowOff>180975</xdr:rowOff>
        </xdr:to>
        <xdr:sp macro="" textlink="">
          <xdr:nvSpPr>
            <xdr:cNvPr id="111617" name="Scroll Bar 1" hidden="1">
              <a:extLst>
                <a:ext uri="{63B3BB69-23CF-44E3-9099-C40C66FF867C}">
                  <a14:compatExt spid="_x0000_s111617"/>
                </a:ext>
                <a:ext uri="{FF2B5EF4-FFF2-40B4-BE49-F238E27FC236}">
                  <a16:creationId xmlns:a16="http://schemas.microsoft.com/office/drawing/2014/main" id="{00000000-0008-0000-0B00-000001B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</xdr:row>
          <xdr:rowOff>171450</xdr:rowOff>
        </xdr:from>
        <xdr:to>
          <xdr:col>11</xdr:col>
          <xdr:colOff>600075</xdr:colOff>
          <xdr:row>6</xdr:row>
          <xdr:rowOff>180975</xdr:rowOff>
        </xdr:to>
        <xdr:sp macro="" textlink="">
          <xdr:nvSpPr>
            <xdr:cNvPr id="111618" name="Scroll Bar 2" hidden="1">
              <a:extLst>
                <a:ext uri="{63B3BB69-23CF-44E3-9099-C40C66FF867C}">
                  <a14:compatExt spid="_x0000_s111618"/>
                </a:ext>
                <a:ext uri="{FF2B5EF4-FFF2-40B4-BE49-F238E27FC236}">
                  <a16:creationId xmlns:a16="http://schemas.microsoft.com/office/drawing/2014/main" id="{00000000-0008-0000-0B00-000002B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11</xdr:col>
          <xdr:colOff>600075</xdr:colOff>
          <xdr:row>5</xdr:row>
          <xdr:rowOff>180975</xdr:rowOff>
        </xdr:to>
        <xdr:sp macro="" textlink="">
          <xdr:nvSpPr>
            <xdr:cNvPr id="111619" name="Scroll Bar 3" hidden="1">
              <a:extLst>
                <a:ext uri="{63B3BB69-23CF-44E3-9099-C40C66FF867C}">
                  <a14:compatExt spid="_x0000_s111619"/>
                </a:ext>
                <a:ext uri="{FF2B5EF4-FFF2-40B4-BE49-F238E27FC236}">
                  <a16:creationId xmlns:a16="http://schemas.microsoft.com/office/drawing/2014/main" id="{00000000-0008-0000-0B00-000003B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182695</xdr:colOff>
      <xdr:row>9</xdr:row>
      <xdr:rowOff>85711</xdr:rowOff>
    </xdr:from>
    <xdr:to>
      <xdr:col>22</xdr:col>
      <xdr:colOff>189535</xdr:colOff>
      <xdr:row>9</xdr:row>
      <xdr:rowOff>87151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00000000-0008-0000-0C00-00002E000000}"/>
                </a:ext>
              </a:extLst>
            </xdr14:cNvPr>
            <xdr14:cNvContentPartPr/>
          </xdr14:nvContentPartPr>
          <xdr14:nvPr macro=""/>
          <xdr14:xfrm>
            <a:off x="17551325" y="2272320"/>
            <a:ext cx="6840" cy="144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AB198EC9-6E24-44AE-B1BC-57D58AFFB19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533325" y="2254680"/>
              <a:ext cx="42480" cy="37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1000125</xdr:colOff>
      <xdr:row>1</xdr:row>
      <xdr:rowOff>180975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387615</xdr:colOff>
      <xdr:row>16</xdr:row>
      <xdr:rowOff>12255</xdr:rowOff>
    </xdr:from>
    <xdr:to>
      <xdr:col>3</xdr:col>
      <xdr:colOff>860295</xdr:colOff>
      <xdr:row>16</xdr:row>
      <xdr:rowOff>210255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14:cNvPr>
            <xdr14:cNvContentPartPr/>
          </xdr14:nvContentPartPr>
          <xdr14:nvPr macro=""/>
          <xdr14:xfrm>
            <a:off x="1806840" y="4603305"/>
            <a:ext cx="472680" cy="1980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28EA5BA-AB1C-4BAA-8678-4358F3FA410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88840" y="4585665"/>
              <a:ext cx="508320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277755</xdr:colOff>
      <xdr:row>18</xdr:row>
      <xdr:rowOff>218265</xdr:rowOff>
    </xdr:from>
    <xdr:to>
      <xdr:col>5</xdr:col>
      <xdr:colOff>907035</xdr:colOff>
      <xdr:row>20</xdr:row>
      <xdr:rowOff>10305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0000000-0008-0000-0D00-000005000000}"/>
                </a:ext>
              </a:extLst>
            </xdr14:cNvPr>
            <xdr14:cNvContentPartPr/>
          </xdr14:nvContentPartPr>
          <xdr14:nvPr macro=""/>
          <xdr14:xfrm>
            <a:off x="3716280" y="5323665"/>
            <a:ext cx="629280" cy="325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F07434F-69F6-42E1-817D-0E5705FC0AD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98640" y="5306025"/>
              <a:ext cx="664920" cy="3610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5</xdr:col>
      <xdr:colOff>287115</xdr:colOff>
      <xdr:row>16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00000000-0008-0000-0D00-000007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C118C347-5D8E-4F25-8C5E-3E78A04DE5B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16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0000000-0008-0000-0D00-000008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9850FF52-A330-4AF8-B3B9-8979340ADFF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17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0000000-0008-0000-0D00-000009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EF0623F-3046-470A-80FA-B4A9801879D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17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0000000-0008-0000-0D00-00000A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B6ED1BB-BC73-49D0-B384-392F3B153FA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18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00000000-0008-0000-0D00-00000B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69D8529F-FB50-4DAE-BFA4-27EECBA21F9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18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000000-0008-0000-0D00-00000C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DBADFDC-D21D-4606-A470-43B9C640658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19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0000000-0008-0000-0D00-00000D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D7331EA8-6A51-41F1-A26F-D4A44B4F4FB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19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00000000-0008-0000-0D00-00000E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2CF7B1B-ED55-47DF-937F-CD4C3582782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20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F724C55-8D88-461A-97A6-994B193782C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20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E4FF4C3C-CD62-4BC0-92C7-96C71DA0621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132165</xdr:colOff>
      <xdr:row>7</xdr:row>
      <xdr:rowOff>204030</xdr:rowOff>
    </xdr:from>
    <xdr:to>
      <xdr:col>4</xdr:col>
      <xdr:colOff>850005</xdr:colOff>
      <xdr:row>9</xdr:row>
      <xdr:rowOff>13350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0000000-0008-0000-0F00-000004000000}"/>
                </a:ext>
              </a:extLst>
            </xdr14:cNvPr>
            <xdr14:cNvContentPartPr/>
          </xdr14:nvContentPartPr>
          <xdr14:nvPr macro=""/>
          <xdr14:xfrm>
            <a:off x="2561040" y="2375730"/>
            <a:ext cx="717840" cy="342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418F93D-3C41-4E84-8C12-54A3BFD84A4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43400" y="2357730"/>
              <a:ext cx="753480" cy="37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235275</xdr:colOff>
      <xdr:row>7</xdr:row>
      <xdr:rowOff>219150</xdr:rowOff>
    </xdr:from>
    <xdr:to>
      <xdr:col>5</xdr:col>
      <xdr:colOff>810915</xdr:colOff>
      <xdr:row>8</xdr:row>
      <xdr:rowOff>258450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0000000-0008-0000-0F00-000005000000}"/>
                </a:ext>
              </a:extLst>
            </xdr14:cNvPr>
            <xdr14:cNvContentPartPr/>
          </xdr14:nvContentPartPr>
          <xdr14:nvPr macro=""/>
          <xdr14:xfrm>
            <a:off x="3673800" y="2390850"/>
            <a:ext cx="575640" cy="3060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4F60AB5-2C49-449A-88F5-BF37B3124D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56160" y="2372850"/>
              <a:ext cx="611280" cy="34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197985</xdr:colOff>
      <xdr:row>7</xdr:row>
      <xdr:rowOff>240030</xdr:rowOff>
    </xdr:from>
    <xdr:to>
      <xdr:col>6</xdr:col>
      <xdr:colOff>767865</xdr:colOff>
      <xdr:row>9</xdr:row>
      <xdr:rowOff>10470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F00-000006000000}"/>
                </a:ext>
              </a:extLst>
            </xdr14:cNvPr>
            <xdr14:cNvContentPartPr/>
          </xdr14:nvContentPartPr>
          <xdr14:nvPr macro=""/>
          <xdr14:xfrm>
            <a:off x="4646160" y="2411730"/>
            <a:ext cx="569880" cy="3038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5A2B925-C1A1-415C-9607-9336D9F8DFE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28160" y="2394090"/>
              <a:ext cx="605520" cy="33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267315</xdr:colOff>
      <xdr:row>12</xdr:row>
      <xdr:rowOff>178770</xdr:rowOff>
    </xdr:from>
    <xdr:to>
      <xdr:col>6</xdr:col>
      <xdr:colOff>903945</xdr:colOff>
      <xdr:row>14</xdr:row>
      <xdr:rowOff>15450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0000000-0008-0000-0F00-000009000000}"/>
                </a:ext>
              </a:extLst>
            </xdr14:cNvPr>
            <xdr14:cNvContentPartPr/>
          </xdr14:nvContentPartPr>
          <xdr14:nvPr macro=""/>
          <xdr14:xfrm>
            <a:off x="3705840" y="3683970"/>
            <a:ext cx="1646280" cy="3700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D40C0CF-53CF-44E5-979E-861F123FBE9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87840" y="3666313"/>
              <a:ext cx="1681920" cy="4057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195525</xdr:colOff>
      <xdr:row>12</xdr:row>
      <xdr:rowOff>176250</xdr:rowOff>
    </xdr:from>
    <xdr:to>
      <xdr:col>4</xdr:col>
      <xdr:colOff>896805</xdr:colOff>
      <xdr:row>13</xdr:row>
      <xdr:rowOff>231750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0000000-0008-0000-0F00-00000A000000}"/>
                </a:ext>
              </a:extLst>
            </xdr14:cNvPr>
            <xdr14:cNvContentPartPr/>
          </xdr14:nvContentPartPr>
          <xdr14:nvPr macro=""/>
          <xdr14:xfrm>
            <a:off x="2624400" y="3681450"/>
            <a:ext cx="701280" cy="32220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D11D354B-9FBA-4FEC-B799-43C0254CF6E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606400" y="3663450"/>
              <a:ext cx="736920" cy="35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287535</xdr:colOff>
      <xdr:row>20</xdr:row>
      <xdr:rowOff>13245</xdr:rowOff>
    </xdr:from>
    <xdr:to>
      <xdr:col>3</xdr:col>
      <xdr:colOff>797295</xdr:colOff>
      <xdr:row>21</xdr:row>
      <xdr:rowOff>12225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00000000-0008-0000-0F00-00000B000000}"/>
                </a:ext>
              </a:extLst>
            </xdr14:cNvPr>
            <xdr14:cNvContentPartPr/>
          </xdr14:nvContentPartPr>
          <xdr14:nvPr macro=""/>
          <xdr14:xfrm>
            <a:off x="1706760" y="5947320"/>
            <a:ext cx="509760" cy="26568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B1D8A88A-4609-4B87-B173-5C18D28AC51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89120" y="5929320"/>
              <a:ext cx="545400" cy="30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177015</xdr:colOff>
      <xdr:row>21</xdr:row>
      <xdr:rowOff>197625</xdr:rowOff>
    </xdr:from>
    <xdr:to>
      <xdr:col>3</xdr:col>
      <xdr:colOff>957495</xdr:colOff>
      <xdr:row>23</xdr:row>
      <xdr:rowOff>29985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000000-0008-0000-0F00-00000C000000}"/>
                </a:ext>
              </a:extLst>
            </xdr14:cNvPr>
            <xdr14:cNvContentPartPr/>
          </xdr14:nvContentPartPr>
          <xdr14:nvPr macro=""/>
          <xdr14:xfrm>
            <a:off x="1596240" y="6398400"/>
            <a:ext cx="780480" cy="3657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967EA45A-A703-4B73-ACED-68B1C239D60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578600" y="6380400"/>
              <a:ext cx="816120" cy="40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70455</xdr:colOff>
      <xdr:row>24</xdr:row>
      <xdr:rowOff>194205</xdr:rowOff>
    </xdr:from>
    <xdr:to>
      <xdr:col>3</xdr:col>
      <xdr:colOff>941295</xdr:colOff>
      <xdr:row>26</xdr:row>
      <xdr:rowOff>80925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0000000-0008-0000-0F00-00000D000000}"/>
                </a:ext>
              </a:extLst>
            </xdr14:cNvPr>
            <xdr14:cNvContentPartPr/>
          </xdr14:nvContentPartPr>
          <xdr14:nvPr macro=""/>
          <xdr14:xfrm>
            <a:off x="1489680" y="7195080"/>
            <a:ext cx="870840" cy="42012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C42389BF-580D-4662-A28A-F6287A1E00D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472040" y="7177080"/>
              <a:ext cx="906480" cy="45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643815</xdr:colOff>
      <xdr:row>20</xdr:row>
      <xdr:rowOff>105045</xdr:rowOff>
    </xdr:from>
    <xdr:to>
      <xdr:col>7</xdr:col>
      <xdr:colOff>907335</xdr:colOff>
      <xdr:row>20</xdr:row>
      <xdr:rowOff>154725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00000000-0008-0000-0F00-00000E000000}"/>
                </a:ext>
              </a:extLst>
            </xdr14:cNvPr>
            <xdr14:cNvContentPartPr/>
          </xdr14:nvContentPartPr>
          <xdr14:nvPr macro=""/>
          <xdr14:xfrm>
            <a:off x="6101640" y="6039120"/>
            <a:ext cx="263520" cy="496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5DAFB4A-7461-41C4-9D2D-5EFF5A85E8E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083640" y="6021120"/>
              <a:ext cx="299160" cy="8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297135</xdr:colOff>
      <xdr:row>22</xdr:row>
      <xdr:rowOff>125685</xdr:rowOff>
    </xdr:from>
    <xdr:to>
      <xdr:col>7</xdr:col>
      <xdr:colOff>654255</xdr:colOff>
      <xdr:row>22</xdr:row>
      <xdr:rowOff>148365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0000000-0008-0000-0F00-00000F000000}"/>
                </a:ext>
              </a:extLst>
            </xdr14:cNvPr>
            <xdr14:cNvContentPartPr/>
          </xdr14:nvContentPartPr>
          <xdr14:nvPr macro=""/>
          <xdr14:xfrm>
            <a:off x="5754960" y="6593160"/>
            <a:ext cx="357120" cy="226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07D729E1-9F1B-4C54-AECD-62F2E02C243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737320" y="6575520"/>
              <a:ext cx="39276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399015</xdr:colOff>
      <xdr:row>25</xdr:row>
      <xdr:rowOff>127305</xdr:rowOff>
    </xdr:from>
    <xdr:to>
      <xdr:col>7</xdr:col>
      <xdr:colOff>735975</xdr:colOff>
      <xdr:row>25</xdr:row>
      <xdr:rowOff>165825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0000000-0008-0000-0F00-000010000000}"/>
                </a:ext>
              </a:extLst>
            </xdr14:cNvPr>
            <xdr14:cNvContentPartPr/>
          </xdr14:nvContentPartPr>
          <xdr14:nvPr macro=""/>
          <xdr14:xfrm>
            <a:off x="5856840" y="7394880"/>
            <a:ext cx="336960" cy="3852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E49F0AB3-AFDB-41A2-A33C-A6FA7041D4B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839200" y="7377240"/>
              <a:ext cx="372600" cy="74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274617</xdr:colOff>
      <xdr:row>2</xdr:row>
      <xdr:rowOff>126052</xdr:rowOff>
    </xdr:to>
    <xdr:pic>
      <xdr:nvPicPr>
        <xdr:cNvPr id="130" name="Picture 129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37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265778</xdr:colOff>
      <xdr:row>22</xdr:row>
      <xdr:rowOff>17838</xdr:rowOff>
    </xdr:from>
    <xdr:to>
      <xdr:col>17</xdr:col>
      <xdr:colOff>212191</xdr:colOff>
      <xdr:row>25</xdr:row>
      <xdr:rowOff>44083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00000000-0008-0000-1300-0000AA000000}"/>
                </a:ext>
              </a:extLst>
            </xdr14:cNvPr>
            <xdr14:cNvContentPartPr/>
          </xdr14:nvContentPartPr>
          <xdr14:nvPr macro=""/>
          <xdr14:xfrm>
            <a:off x="8881573" y="3741247"/>
            <a:ext cx="4424400" cy="508680"/>
          </xdr14:xfrm>
        </xdr:contentPart>
      </mc:Choice>
      <mc:Fallback xmlns=""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9033D4E3-D21D-40D4-B740-6233C0AAE63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863933" y="3723607"/>
              <a:ext cx="4460040" cy="54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304800</xdr:colOff>
      <xdr:row>2</xdr:row>
      <xdr:rowOff>85725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4</xdr:col>
      <xdr:colOff>428625</xdr:colOff>
      <xdr:row>2</xdr:row>
      <xdr:rowOff>152400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8575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179715</xdr:colOff>
      <xdr:row>6</xdr:row>
      <xdr:rowOff>240015</xdr:rowOff>
    </xdr:from>
    <xdr:to>
      <xdr:col>6</xdr:col>
      <xdr:colOff>180075</xdr:colOff>
      <xdr:row>6</xdr:row>
      <xdr:rowOff>242175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0000000-0008-0000-1600-000003000000}"/>
                </a:ext>
              </a:extLst>
            </xdr14:cNvPr>
            <xdr14:cNvContentPartPr/>
          </xdr14:nvContentPartPr>
          <xdr14:nvPr macro=""/>
          <xdr14:xfrm>
            <a:off x="4456440" y="1659240"/>
            <a:ext cx="360" cy="21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CB3A971-0970-4EC5-B131-A6E2D033A02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38800" y="1641600"/>
              <a:ext cx="36000" cy="37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779860</xdr:colOff>
      <xdr:row>7</xdr:row>
      <xdr:rowOff>60722</xdr:rowOff>
    </xdr:to>
    <xdr:pic>
      <xdr:nvPicPr>
        <xdr:cNvPr id="35" name="Picture 34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391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1993847</xdr:colOff>
      <xdr:row>93</xdr:row>
      <xdr:rowOff>20204</xdr:rowOff>
    </xdr:from>
    <xdr:to>
      <xdr:col>1</xdr:col>
      <xdr:colOff>2396539</xdr:colOff>
      <xdr:row>94</xdr:row>
      <xdr:rowOff>120592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00000000-0008-0000-1900-00001D000000}"/>
                </a:ext>
              </a:extLst>
            </xdr14:cNvPr>
            <xdr14:cNvContentPartPr/>
          </xdr14:nvContentPartPr>
          <xdr14:nvPr macro=""/>
          <xdr14:xfrm>
            <a:off x="2606760" y="12021704"/>
            <a:ext cx="400320" cy="2660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FC2D2A5A-8210-425E-B82D-571DD6DEBC1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88760" y="12003704"/>
              <a:ext cx="435960" cy="30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2035607</xdr:colOff>
      <xdr:row>97</xdr:row>
      <xdr:rowOff>110355</xdr:rowOff>
    </xdr:from>
    <xdr:to>
      <xdr:col>2</xdr:col>
      <xdr:colOff>75936</xdr:colOff>
      <xdr:row>99</xdr:row>
      <xdr:rowOff>44370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00000000-0008-0000-1900-00001E000000}"/>
                </a:ext>
              </a:extLst>
            </xdr14:cNvPr>
            <xdr14:cNvContentPartPr/>
          </xdr14:nvContentPartPr>
          <xdr14:nvPr macro=""/>
          <xdr14:xfrm>
            <a:off x="2648520" y="12774464"/>
            <a:ext cx="442440" cy="26532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C941624C-5D54-4B12-8896-DB4C2914A92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30880" y="12756824"/>
              <a:ext cx="478080" cy="300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284054</xdr:colOff>
      <xdr:row>61</xdr:row>
      <xdr:rowOff>82678</xdr:rowOff>
    </xdr:from>
    <xdr:to>
      <xdr:col>9</xdr:col>
      <xdr:colOff>472218</xdr:colOff>
      <xdr:row>63</xdr:row>
      <xdr:rowOff>11986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0000000-0008-0000-1A00-000005000000}"/>
                </a:ext>
              </a:extLst>
            </xdr14:cNvPr>
            <xdr14:cNvContentPartPr/>
          </xdr14:nvContentPartPr>
          <xdr14:nvPr macro=""/>
          <xdr14:xfrm>
            <a:off x="5744160" y="2403558"/>
            <a:ext cx="912600" cy="2512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2D1F903-6030-4E61-A293-EE816ED29D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26160" y="2385918"/>
              <a:ext cx="948240" cy="28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741202</xdr:colOff>
      <xdr:row>71</xdr:row>
      <xdr:rowOff>136699</xdr:rowOff>
    </xdr:from>
    <xdr:to>
      <xdr:col>9</xdr:col>
      <xdr:colOff>490578</xdr:colOff>
      <xdr:row>73</xdr:row>
      <xdr:rowOff>55207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1A00-000006000000}"/>
                </a:ext>
              </a:extLst>
            </xdr14:cNvPr>
            <xdr14:cNvContentPartPr/>
          </xdr14:nvContentPartPr>
          <xdr14:nvPr macro=""/>
          <xdr14:xfrm>
            <a:off x="5450040" y="4228424"/>
            <a:ext cx="1225080" cy="2404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ED69377-F8F4-4896-B6A2-B7BBA93599A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32400" y="4210424"/>
              <a:ext cx="1260720" cy="276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43837</xdr:colOff>
      <xdr:row>2</xdr:row>
      <xdr:rowOff>133910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353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904210</xdr:colOff>
      <xdr:row>2</xdr:row>
      <xdr:rowOff>133910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353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103976</xdr:colOff>
      <xdr:row>1</xdr:row>
      <xdr:rowOff>15242</xdr:rowOff>
    </xdr:from>
    <xdr:to>
      <xdr:col>10</xdr:col>
      <xdr:colOff>360352</xdr:colOff>
      <xdr:row>12</xdr:row>
      <xdr:rowOff>20486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562979</xdr:colOff>
      <xdr:row>24</xdr:row>
      <xdr:rowOff>9750</xdr:rowOff>
    </xdr:from>
    <xdr:to>
      <xdr:col>11</xdr:col>
      <xdr:colOff>326759</xdr:colOff>
      <xdr:row>36</xdr:row>
      <xdr:rowOff>124050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434340</xdr:colOff>
      <xdr:row>44</xdr:row>
      <xdr:rowOff>45720</xdr:rowOff>
    </xdr:from>
    <xdr:to>
      <xdr:col>10</xdr:col>
      <xdr:colOff>198120</xdr:colOff>
      <xdr:row>55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102418</xdr:colOff>
      <xdr:row>1</xdr:row>
      <xdr:rowOff>36665</xdr:rowOff>
    </xdr:from>
    <xdr:to>
      <xdr:col>17</xdr:col>
      <xdr:colOff>606323</xdr:colOff>
      <xdr:row>12</xdr:row>
      <xdr:rowOff>122904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124868</xdr:colOff>
      <xdr:row>26</xdr:row>
      <xdr:rowOff>113496</xdr:rowOff>
    </xdr:from>
    <xdr:to>
      <xdr:col>9</xdr:col>
      <xdr:colOff>62232</xdr:colOff>
      <xdr:row>27</xdr:row>
      <xdr:rowOff>133064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00000000-0008-0000-2200-000038000000}"/>
                </a:ext>
              </a:extLst>
            </xdr14:cNvPr>
            <xdr14:cNvContentPartPr/>
          </xdr14:nvContentPartPr>
          <xdr14:nvPr macro=""/>
          <xdr14:xfrm>
            <a:off x="6116400" y="5173012"/>
            <a:ext cx="551880" cy="39852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572B12E2-5889-474F-8651-8926066AC1E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098760" y="5155012"/>
              <a:ext cx="587520" cy="43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255195</xdr:colOff>
      <xdr:row>26</xdr:row>
      <xdr:rowOff>135816</xdr:rowOff>
    </xdr:from>
    <xdr:to>
      <xdr:col>11</xdr:col>
      <xdr:colOff>238279</xdr:colOff>
      <xdr:row>28</xdr:row>
      <xdr:rowOff>60147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00000000-0008-0000-2200-000039000000}"/>
                </a:ext>
              </a:extLst>
            </xdr14:cNvPr>
            <xdr14:cNvContentPartPr/>
          </xdr14:nvContentPartPr>
          <xdr14:nvPr macro=""/>
          <xdr14:xfrm>
            <a:off x="7475760" y="5195332"/>
            <a:ext cx="597600" cy="49788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ECB97F03-01A2-4FB0-AE18-96A5D5D6878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58120" y="5177332"/>
              <a:ext cx="633240" cy="533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73</xdr:row>
      <xdr:rowOff>143726</xdr:rowOff>
    </xdr:from>
    <xdr:to>
      <xdr:col>3</xdr:col>
      <xdr:colOff>551160</xdr:colOff>
      <xdr:row>75</xdr:row>
      <xdr:rowOff>11874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2300-000006000000}"/>
                </a:ext>
              </a:extLst>
            </xdr14:cNvPr>
            <xdr14:cNvContentPartPr/>
          </xdr14:nvContentPartPr>
          <xdr14:nvPr macro=""/>
          <xdr14:xfrm>
            <a:off x="2398320" y="13965882"/>
            <a:ext cx="551160" cy="2462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1BFFB14-9C75-4B59-914F-EB4AA78D9D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80680" y="13947882"/>
              <a:ext cx="586800" cy="281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0</xdr:colOff>
      <xdr:row>23</xdr:row>
      <xdr:rowOff>68238</xdr:rowOff>
    </xdr:from>
    <xdr:to>
      <xdr:col>15</xdr:col>
      <xdr:colOff>0</xdr:colOff>
      <xdr:row>34</xdr:row>
      <xdr:rowOff>129465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142166</xdr:colOff>
      <xdr:row>4</xdr:row>
      <xdr:rowOff>159224</xdr:rowOff>
    </xdr:from>
    <xdr:to>
      <xdr:col>15</xdr:col>
      <xdr:colOff>221776</xdr:colOff>
      <xdr:row>20</xdr:row>
      <xdr:rowOff>157518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2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352566</xdr:colOff>
      <xdr:row>153</xdr:row>
      <xdr:rowOff>166616</xdr:rowOff>
    </xdr:from>
    <xdr:to>
      <xdr:col>13</xdr:col>
      <xdr:colOff>557282</xdr:colOff>
      <xdr:row>168</xdr:row>
      <xdr:rowOff>180264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84</xdr:row>
      <xdr:rowOff>143726</xdr:rowOff>
    </xdr:from>
    <xdr:to>
      <xdr:col>3</xdr:col>
      <xdr:colOff>551160</xdr:colOff>
      <xdr:row>86</xdr:row>
      <xdr:rowOff>11874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2400-000002000000}"/>
                </a:ext>
              </a:extLst>
            </xdr14:cNvPr>
            <xdr14:cNvContentPartPr/>
          </xdr14:nvContentPartPr>
          <xdr14:nvPr macro=""/>
          <xdr14:xfrm>
            <a:off x="2398320" y="13965882"/>
            <a:ext cx="551160" cy="2462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1BFFB14-9C75-4B59-914F-EB4AA78D9D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80680" y="13947882"/>
              <a:ext cx="586800" cy="281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0</xdr:colOff>
      <xdr:row>23</xdr:row>
      <xdr:rowOff>68238</xdr:rowOff>
    </xdr:from>
    <xdr:to>
      <xdr:col>15</xdr:col>
      <xdr:colOff>0</xdr:colOff>
      <xdr:row>34</xdr:row>
      <xdr:rowOff>129465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136480</xdr:colOff>
      <xdr:row>5</xdr:row>
      <xdr:rowOff>11373</xdr:rowOff>
    </xdr:from>
    <xdr:to>
      <xdr:col>14</xdr:col>
      <xdr:colOff>10368</xdr:colOff>
      <xdr:row>19</xdr:row>
      <xdr:rowOff>36286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305837</xdr:colOff>
      <xdr:row>5</xdr:row>
      <xdr:rowOff>5184</xdr:rowOff>
    </xdr:from>
    <xdr:to>
      <xdr:col>21</xdr:col>
      <xdr:colOff>212530</xdr:colOff>
      <xdr:row>19</xdr:row>
      <xdr:rowOff>20735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73</xdr:row>
      <xdr:rowOff>143726</xdr:rowOff>
    </xdr:from>
    <xdr:to>
      <xdr:col>3</xdr:col>
      <xdr:colOff>551160</xdr:colOff>
      <xdr:row>75</xdr:row>
      <xdr:rowOff>11874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2500-000002000000}"/>
                </a:ext>
              </a:extLst>
            </xdr14:cNvPr>
            <xdr14:cNvContentPartPr/>
          </xdr14:nvContentPartPr>
          <xdr14:nvPr macro=""/>
          <xdr14:xfrm>
            <a:off x="2398320" y="13965882"/>
            <a:ext cx="551160" cy="2462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1BFFB14-9C75-4B59-914F-EB4AA78D9D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80680" y="13947882"/>
              <a:ext cx="586800" cy="281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0</xdr:colOff>
      <xdr:row>23</xdr:row>
      <xdr:rowOff>68238</xdr:rowOff>
    </xdr:from>
    <xdr:to>
      <xdr:col>15</xdr:col>
      <xdr:colOff>0</xdr:colOff>
      <xdr:row>34</xdr:row>
      <xdr:rowOff>129465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136479</xdr:colOff>
      <xdr:row>5</xdr:row>
      <xdr:rowOff>11373</xdr:rowOff>
    </xdr:from>
    <xdr:to>
      <xdr:col>15</xdr:col>
      <xdr:colOff>216089</xdr:colOff>
      <xdr:row>20</xdr:row>
      <xdr:rowOff>180264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2</xdr:row>
      <xdr:rowOff>23448</xdr:rowOff>
    </xdr:from>
    <xdr:to>
      <xdr:col>16</xdr:col>
      <xdr:colOff>228600</xdr:colOff>
      <xdr:row>12</xdr:row>
      <xdr:rowOff>169985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13</xdr:row>
          <xdr:rowOff>76200</xdr:rowOff>
        </xdr:from>
        <xdr:to>
          <xdr:col>10</xdr:col>
          <xdr:colOff>209550</xdr:colOff>
          <xdr:row>14</xdr:row>
          <xdr:rowOff>209550</xdr:rowOff>
        </xdr:to>
        <xdr:sp macro="" textlink="">
          <xdr:nvSpPr>
            <xdr:cNvPr id="176129" name="Check Box 1" hidden="1">
              <a:extLst>
                <a:ext uri="{63B3BB69-23CF-44E3-9099-C40C66FF867C}">
                  <a14:compatExt spid="_x0000_s176129"/>
                </a:ext>
                <a:ext uri="{FF2B5EF4-FFF2-40B4-BE49-F238E27FC236}">
                  <a16:creationId xmlns:a16="http://schemas.microsoft.com/office/drawing/2014/main" id="{00000000-0008-0000-2800-000001B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476250</xdr:colOff>
          <xdr:row>13</xdr:row>
          <xdr:rowOff>133350</xdr:rowOff>
        </xdr:from>
        <xdr:to>
          <xdr:col>12</xdr:col>
          <xdr:colOff>104775</xdr:colOff>
          <xdr:row>14</xdr:row>
          <xdr:rowOff>142875</xdr:rowOff>
        </xdr:to>
        <xdr:sp macro="" textlink="">
          <xdr:nvSpPr>
            <xdr:cNvPr id="176130" name="Check Box 2" hidden="1">
              <a:extLst>
                <a:ext uri="{63B3BB69-23CF-44E3-9099-C40C66FF867C}">
                  <a14:compatExt spid="_x0000_s176130"/>
                </a:ext>
                <a:ext uri="{FF2B5EF4-FFF2-40B4-BE49-F238E27FC236}">
                  <a16:creationId xmlns:a16="http://schemas.microsoft.com/office/drawing/2014/main" id="{00000000-0008-0000-2800-000002B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323850</xdr:colOff>
          <xdr:row>13</xdr:row>
          <xdr:rowOff>171450</xdr:rowOff>
        </xdr:from>
        <xdr:to>
          <xdr:col>13</xdr:col>
          <xdr:colOff>466725</xdr:colOff>
          <xdr:row>14</xdr:row>
          <xdr:rowOff>114300</xdr:rowOff>
        </xdr:to>
        <xdr:sp macro="" textlink="">
          <xdr:nvSpPr>
            <xdr:cNvPr id="176131" name="Check Box 3" hidden="1">
              <a:extLst>
                <a:ext uri="{63B3BB69-23CF-44E3-9099-C40C66FF867C}">
                  <a14:compatExt spid="_x0000_s176131"/>
                </a:ext>
                <a:ext uri="{FF2B5EF4-FFF2-40B4-BE49-F238E27FC236}">
                  <a16:creationId xmlns:a16="http://schemas.microsoft.com/office/drawing/2014/main" id="{00000000-0008-0000-2800-000003B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533400</xdr:colOff>
          <xdr:row>14</xdr:row>
          <xdr:rowOff>38100</xdr:rowOff>
        </xdr:from>
        <xdr:to>
          <xdr:col>17</xdr:col>
          <xdr:colOff>57150</xdr:colOff>
          <xdr:row>15</xdr:row>
          <xdr:rowOff>19050</xdr:rowOff>
        </xdr:to>
        <xdr:sp macro="" textlink="">
          <xdr:nvSpPr>
            <xdr:cNvPr id="176132" name="Check Box 4" hidden="1">
              <a:extLst>
                <a:ext uri="{63B3BB69-23CF-44E3-9099-C40C66FF867C}">
                  <a14:compatExt spid="_x0000_s176132"/>
                </a:ext>
                <a:ext uri="{FF2B5EF4-FFF2-40B4-BE49-F238E27FC236}">
                  <a16:creationId xmlns:a16="http://schemas.microsoft.com/office/drawing/2014/main" id="{00000000-0008-0000-2800-000004B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4</a:t>
              </a:r>
            </a:p>
          </xdr:txBody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4</xdr:row>
      <xdr:rowOff>175260</xdr:rowOff>
    </xdr:from>
    <xdr:to>
      <xdr:col>16</xdr:col>
      <xdr:colOff>312420</xdr:colOff>
      <xdr:row>17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152400</xdr:colOff>
      <xdr:row>4</xdr:row>
      <xdr:rowOff>175260</xdr:rowOff>
    </xdr:from>
    <xdr:to>
      <xdr:col>25</xdr:col>
      <xdr:colOff>457200</xdr:colOff>
      <xdr:row>17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601980</xdr:colOff>
      <xdr:row>20</xdr:row>
      <xdr:rowOff>167640</xdr:rowOff>
    </xdr:from>
    <xdr:to>
      <xdr:col>16</xdr:col>
      <xdr:colOff>297180</xdr:colOff>
      <xdr:row>35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167640</xdr:colOff>
      <xdr:row>21</xdr:row>
      <xdr:rowOff>22860</xdr:rowOff>
    </xdr:from>
    <xdr:to>
      <xdr:col>25</xdr:col>
      <xdr:colOff>472440</xdr:colOff>
      <xdr:row>36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</xdr:row>
          <xdr:rowOff>171450</xdr:rowOff>
        </xdr:from>
        <xdr:to>
          <xdr:col>8</xdr:col>
          <xdr:colOff>38100</xdr:colOff>
          <xdr:row>4</xdr:row>
          <xdr:rowOff>19050</xdr:rowOff>
        </xdr:to>
        <xdr:sp macro="" textlink="">
          <xdr:nvSpPr>
            <xdr:cNvPr id="184321" name="Drop Down 1" hidden="1">
              <a:extLst>
                <a:ext uri="{63B3BB69-23CF-44E3-9099-C40C66FF867C}">
                  <a14:compatExt spid="_x0000_s184321"/>
                </a:ext>
                <a:ext uri="{FF2B5EF4-FFF2-40B4-BE49-F238E27FC236}">
                  <a16:creationId xmlns:a16="http://schemas.microsoft.com/office/drawing/2014/main" id="{00000000-0008-0000-2A00-000001D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7620</xdr:colOff>
      <xdr:row>6</xdr:row>
      <xdr:rowOff>175260</xdr:rowOff>
    </xdr:from>
    <xdr:to>
      <xdr:col>11</xdr:col>
      <xdr:colOff>312420</xdr:colOff>
      <xdr:row>19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2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474406</xdr:colOff>
      <xdr:row>3</xdr:row>
      <xdr:rowOff>39334</xdr:rowOff>
    </xdr:from>
    <xdr:to>
      <xdr:col>17</xdr:col>
      <xdr:colOff>169606</xdr:colOff>
      <xdr:row>18</xdr:row>
      <xdr:rowOff>54082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600075</xdr:colOff>
          <xdr:row>20</xdr:row>
          <xdr:rowOff>0</xdr:rowOff>
        </xdr:from>
        <xdr:to>
          <xdr:col>12</xdr:col>
          <xdr:colOff>0</xdr:colOff>
          <xdr:row>21</xdr:row>
          <xdr:rowOff>9525</xdr:rowOff>
        </xdr:to>
        <xdr:sp macro="" textlink="">
          <xdr:nvSpPr>
            <xdr:cNvPr id="143362" name="Scroll Bar 2" hidden="1">
              <a:extLst>
                <a:ext uri="{63B3BB69-23CF-44E3-9099-C40C66FF867C}">
                  <a14:compatExt spid="_x0000_s143362"/>
                </a:ext>
                <a:ext uri="{FF2B5EF4-FFF2-40B4-BE49-F238E27FC236}">
                  <a16:creationId xmlns:a16="http://schemas.microsoft.com/office/drawing/2014/main" id="{00000000-0008-0000-2B00-0000023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25</xdr:row>
          <xdr:rowOff>161925</xdr:rowOff>
        </xdr:from>
        <xdr:to>
          <xdr:col>12</xdr:col>
          <xdr:colOff>9525</xdr:colOff>
          <xdr:row>26</xdr:row>
          <xdr:rowOff>171450</xdr:rowOff>
        </xdr:to>
        <xdr:sp macro="" textlink="">
          <xdr:nvSpPr>
            <xdr:cNvPr id="143363" name="Scroll Bar 3" hidden="1">
              <a:extLst>
                <a:ext uri="{63B3BB69-23CF-44E3-9099-C40C66FF867C}">
                  <a14:compatExt spid="_x0000_s143363"/>
                </a:ext>
                <a:ext uri="{FF2B5EF4-FFF2-40B4-BE49-F238E27FC236}">
                  <a16:creationId xmlns:a16="http://schemas.microsoft.com/office/drawing/2014/main" id="{00000000-0008-0000-2B00-0000033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30</xdr:row>
          <xdr:rowOff>19050</xdr:rowOff>
        </xdr:from>
        <xdr:to>
          <xdr:col>12</xdr:col>
          <xdr:colOff>19050</xdr:colOff>
          <xdr:row>31</xdr:row>
          <xdr:rowOff>19050</xdr:rowOff>
        </xdr:to>
        <xdr:sp macro="" textlink="">
          <xdr:nvSpPr>
            <xdr:cNvPr id="143364" name="Scroll Bar 4" hidden="1">
              <a:extLst>
                <a:ext uri="{63B3BB69-23CF-44E3-9099-C40C66FF867C}">
                  <a14:compatExt spid="_x0000_s143364"/>
                </a:ext>
                <a:ext uri="{FF2B5EF4-FFF2-40B4-BE49-F238E27FC236}">
                  <a16:creationId xmlns:a16="http://schemas.microsoft.com/office/drawing/2014/main" id="{00000000-0008-0000-2B00-0000043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12</xdr:col>
      <xdr:colOff>211620</xdr:colOff>
      <xdr:row>19</xdr:row>
      <xdr:rowOff>120127</xdr:rowOff>
    </xdr:from>
    <xdr:to>
      <xdr:col>18</xdr:col>
      <xdr:colOff>403349</xdr:colOff>
      <xdr:row>32</xdr:row>
      <xdr:rowOff>139792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208139</xdr:colOff>
      <xdr:row>4</xdr:row>
      <xdr:rowOff>25399</xdr:rowOff>
    </xdr:from>
    <xdr:to>
      <xdr:col>25</xdr:col>
      <xdr:colOff>532695</xdr:colOff>
      <xdr:row>19</xdr:row>
      <xdr:rowOff>16933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474406</xdr:colOff>
      <xdr:row>3</xdr:row>
      <xdr:rowOff>39334</xdr:rowOff>
    </xdr:from>
    <xdr:to>
      <xdr:col>17</xdr:col>
      <xdr:colOff>169606</xdr:colOff>
      <xdr:row>18</xdr:row>
      <xdr:rowOff>54082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600075</xdr:colOff>
          <xdr:row>20</xdr:row>
          <xdr:rowOff>0</xdr:rowOff>
        </xdr:from>
        <xdr:to>
          <xdr:col>12</xdr:col>
          <xdr:colOff>0</xdr:colOff>
          <xdr:row>21</xdr:row>
          <xdr:rowOff>9525</xdr:rowOff>
        </xdr:to>
        <xdr:sp macro="" textlink="">
          <xdr:nvSpPr>
            <xdr:cNvPr id="174081" name="Scroll Bar 1" hidden="1">
              <a:extLst>
                <a:ext uri="{63B3BB69-23CF-44E3-9099-C40C66FF867C}">
                  <a14:compatExt spid="_x0000_s174081"/>
                </a:ext>
                <a:ext uri="{FF2B5EF4-FFF2-40B4-BE49-F238E27FC236}">
                  <a16:creationId xmlns:a16="http://schemas.microsoft.com/office/drawing/2014/main" id="{00000000-0008-0000-2C00-000001A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</xdr:row>
          <xdr:rowOff>142875</xdr:rowOff>
        </xdr:from>
        <xdr:to>
          <xdr:col>11</xdr:col>
          <xdr:colOff>609600</xdr:colOff>
          <xdr:row>26</xdr:row>
          <xdr:rowOff>152400</xdr:rowOff>
        </xdr:to>
        <xdr:sp macro="" textlink="">
          <xdr:nvSpPr>
            <xdr:cNvPr id="174082" name="Scroll Bar 2" hidden="1">
              <a:extLst>
                <a:ext uri="{63B3BB69-23CF-44E3-9099-C40C66FF867C}">
                  <a14:compatExt spid="_x0000_s174082"/>
                </a:ext>
                <a:ext uri="{FF2B5EF4-FFF2-40B4-BE49-F238E27FC236}">
                  <a16:creationId xmlns:a16="http://schemas.microsoft.com/office/drawing/2014/main" id="{00000000-0008-0000-2C00-000002A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30</xdr:row>
          <xdr:rowOff>19050</xdr:rowOff>
        </xdr:from>
        <xdr:to>
          <xdr:col>12</xdr:col>
          <xdr:colOff>19050</xdr:colOff>
          <xdr:row>31</xdr:row>
          <xdr:rowOff>19050</xdr:rowOff>
        </xdr:to>
        <xdr:sp macro="" textlink="">
          <xdr:nvSpPr>
            <xdr:cNvPr id="174083" name="Scroll Bar 3" hidden="1">
              <a:extLst>
                <a:ext uri="{63B3BB69-23CF-44E3-9099-C40C66FF867C}">
                  <a14:compatExt spid="_x0000_s174083"/>
                </a:ext>
                <a:ext uri="{FF2B5EF4-FFF2-40B4-BE49-F238E27FC236}">
                  <a16:creationId xmlns:a16="http://schemas.microsoft.com/office/drawing/2014/main" id="{00000000-0008-0000-2C00-000003A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12</xdr:col>
      <xdr:colOff>246051</xdr:colOff>
      <xdr:row>18</xdr:row>
      <xdr:rowOff>52111</xdr:rowOff>
    </xdr:from>
    <xdr:to>
      <xdr:col>18</xdr:col>
      <xdr:colOff>437780</xdr:colOff>
      <xdr:row>31</xdr:row>
      <xdr:rowOff>71776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152400</xdr:colOff>
      <xdr:row>3</xdr:row>
      <xdr:rowOff>0</xdr:rowOff>
    </xdr:from>
    <xdr:to>
      <xdr:col>24</xdr:col>
      <xdr:colOff>457200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27366</xdr:colOff>
      <xdr:row>4</xdr:row>
      <xdr:rowOff>24847</xdr:rowOff>
    </xdr:from>
    <xdr:to>
      <xdr:col>18</xdr:col>
      <xdr:colOff>332166</xdr:colOff>
      <xdr:row>19</xdr:row>
      <xdr:rowOff>145522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19</xdr:row>
          <xdr:rowOff>171450</xdr:rowOff>
        </xdr:from>
        <xdr:to>
          <xdr:col>12</xdr:col>
          <xdr:colOff>19050</xdr:colOff>
          <xdr:row>21</xdr:row>
          <xdr:rowOff>180975</xdr:rowOff>
        </xdr:to>
        <xdr:sp macro="" textlink="">
          <xdr:nvSpPr>
            <xdr:cNvPr id="175105" name="Scroll Bar 1" hidden="1">
              <a:extLst>
                <a:ext uri="{63B3BB69-23CF-44E3-9099-C40C66FF867C}">
                  <a14:compatExt spid="_x0000_s175105"/>
                </a:ext>
                <a:ext uri="{FF2B5EF4-FFF2-40B4-BE49-F238E27FC236}">
                  <a16:creationId xmlns:a16="http://schemas.microsoft.com/office/drawing/2014/main" id="{00000000-0008-0000-2D00-000001AC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25</xdr:row>
          <xdr:rowOff>161925</xdr:rowOff>
        </xdr:from>
        <xdr:to>
          <xdr:col>12</xdr:col>
          <xdr:colOff>9525</xdr:colOff>
          <xdr:row>27</xdr:row>
          <xdr:rowOff>133350</xdr:rowOff>
        </xdr:to>
        <xdr:sp macro="" textlink="">
          <xdr:nvSpPr>
            <xdr:cNvPr id="175106" name="Scroll Bar 2" hidden="1">
              <a:extLst>
                <a:ext uri="{63B3BB69-23CF-44E3-9099-C40C66FF867C}">
                  <a14:compatExt spid="_x0000_s175106"/>
                </a:ext>
                <a:ext uri="{FF2B5EF4-FFF2-40B4-BE49-F238E27FC236}">
                  <a16:creationId xmlns:a16="http://schemas.microsoft.com/office/drawing/2014/main" id="{00000000-0008-0000-2D00-000002AC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30</xdr:row>
          <xdr:rowOff>19050</xdr:rowOff>
        </xdr:from>
        <xdr:to>
          <xdr:col>12</xdr:col>
          <xdr:colOff>19050</xdr:colOff>
          <xdr:row>31</xdr:row>
          <xdr:rowOff>190500</xdr:rowOff>
        </xdr:to>
        <xdr:sp macro="" textlink="">
          <xdr:nvSpPr>
            <xdr:cNvPr id="175107" name="Scroll Bar 3" hidden="1">
              <a:extLst>
                <a:ext uri="{63B3BB69-23CF-44E3-9099-C40C66FF867C}">
                  <a14:compatExt spid="_x0000_s175107"/>
                </a:ext>
                <a:ext uri="{FF2B5EF4-FFF2-40B4-BE49-F238E27FC236}">
                  <a16:creationId xmlns:a16="http://schemas.microsoft.com/office/drawing/2014/main" id="{00000000-0008-0000-2D00-000003AC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12</xdr:col>
      <xdr:colOff>347016</xdr:colOff>
      <xdr:row>19</xdr:row>
      <xdr:rowOff>114974</xdr:rowOff>
    </xdr:from>
    <xdr:to>
      <xdr:col>20</xdr:col>
      <xdr:colOff>240632</xdr:colOff>
      <xdr:row>36</xdr:row>
      <xdr:rowOff>110288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274320</xdr:colOff>
      <xdr:row>4</xdr:row>
      <xdr:rowOff>20320</xdr:rowOff>
    </xdr:from>
    <xdr:to>
      <xdr:col>25</xdr:col>
      <xdr:colOff>579120</xdr:colOff>
      <xdr:row>19</xdr:row>
      <xdr:rowOff>20320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D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600075</xdr:colOff>
          <xdr:row>35</xdr:row>
          <xdr:rowOff>171450</xdr:rowOff>
        </xdr:from>
        <xdr:to>
          <xdr:col>12</xdr:col>
          <xdr:colOff>19050</xdr:colOff>
          <xdr:row>38</xdr:row>
          <xdr:rowOff>9525</xdr:rowOff>
        </xdr:to>
        <xdr:sp macro="" textlink="">
          <xdr:nvSpPr>
            <xdr:cNvPr id="175108" name="Scroll Bar 4" hidden="1">
              <a:extLst>
                <a:ext uri="{63B3BB69-23CF-44E3-9099-C40C66FF867C}">
                  <a14:compatExt spid="_x0000_s175108"/>
                </a:ext>
                <a:ext uri="{FF2B5EF4-FFF2-40B4-BE49-F238E27FC236}">
                  <a16:creationId xmlns:a16="http://schemas.microsoft.com/office/drawing/2014/main" id="{00000000-0008-0000-2D00-000004AC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20</xdr:col>
      <xdr:colOff>215766</xdr:colOff>
      <xdr:row>19</xdr:row>
      <xdr:rowOff>104775</xdr:rowOff>
    </xdr:from>
    <xdr:to>
      <xdr:col>29</xdr:col>
      <xdr:colOff>561473</xdr:colOff>
      <xdr:row>36</xdr:row>
      <xdr:rowOff>90235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2D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50800</xdr:colOff>
      <xdr:row>4</xdr:row>
      <xdr:rowOff>50800</xdr:rowOff>
    </xdr:from>
    <xdr:to>
      <xdr:col>34</xdr:col>
      <xdr:colOff>305067</xdr:colOff>
      <xdr:row>19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2D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346752</xdr:colOff>
      <xdr:row>36</xdr:row>
      <xdr:rowOff>94180</xdr:rowOff>
    </xdr:from>
    <xdr:to>
      <xdr:col>26</xdr:col>
      <xdr:colOff>496957</xdr:colOff>
      <xdr:row>54</xdr:row>
      <xdr:rowOff>8561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21315</xdr:colOff>
      <xdr:row>17</xdr:row>
      <xdr:rowOff>29841</xdr:rowOff>
    </xdr:from>
    <xdr:to>
      <xdr:col>15</xdr:col>
      <xdr:colOff>234461</xdr:colOff>
      <xdr:row>32</xdr:row>
      <xdr:rowOff>55419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772657</xdr:colOff>
      <xdr:row>17</xdr:row>
      <xdr:rowOff>3197</xdr:rowOff>
    </xdr:from>
    <xdr:to>
      <xdr:col>6</xdr:col>
      <xdr:colOff>714041</xdr:colOff>
      <xdr:row>32</xdr:row>
      <xdr:rowOff>28775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E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425824</xdr:colOff>
      <xdr:row>20</xdr:row>
      <xdr:rowOff>59951</xdr:rowOff>
    </xdr:from>
    <xdr:to>
      <xdr:col>10</xdr:col>
      <xdr:colOff>560295</xdr:colOff>
      <xdr:row>36</xdr:row>
      <xdr:rowOff>113739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00DAT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manshu/Downloads/Level%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oh\kjoh2\CAC\NEW_WK\NEWWK4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DAT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1"/>
      <sheetName val="2"/>
      <sheetName val="3"/>
      <sheetName val="4"/>
      <sheetName val="Dictionary"/>
    </sheetNames>
    <sheetDataSet>
      <sheetData sheetId="0"/>
      <sheetData sheetId="1"/>
      <sheetData sheetId="2"/>
      <sheetData sheetId="3"/>
      <sheetData sheetId="4"/>
      <sheetData sheetId="5">
        <row r="14">
          <cell r="B14" t="str">
            <v>AUTOFILTER</v>
          </cell>
          <cell r="C14" t="str">
            <v>You use custom AutoFilter to display rows that contain either one value or another</v>
          </cell>
          <cell r="D14" t="str">
            <v xml:space="preserve">Click into your table or better mark the data area and select Data: Filter: Autofilter
Using the drop-down boxes per item allows you to display only specific filtered information
Selecting multiple matches (up to 3 maximum with autofilter) you can narrow </v>
          </cell>
          <cell r="E14" t="str">
            <v xml:space="preserve">It is helpful in situations where you have a huge pile of data and quickly want to find some specific information, e.g. all sets that meet a criteria or the top 10 items etc.
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_Cabin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6T15:46:38.71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 1 140,'0'0'-3,"0"0"6,0 0 0,0 0-4,0 0 5,0 0-4,0 0 4,0 0-5,0 0 5,0 0 3,0 0 4,0 0 11,0 0 7,0 0 11,0 0 12,0 0 11,0 0 10,0 0 8,0 0-3,0 0 4,-5 0-230,4 0 5301,1 0 5586,0 0-10734,0 0-11,0 0-23,0 0-39,0 0-23,0 0-80,0 0-117,0 0-178,0 0-282,0 0-279,0 0-273,0 0-224,0 0-217,0 0-423,0 0-211,0 0 229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07:13.67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18 1 920,'-18'3'-14,"18"-3"-540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38.67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1187 69 204,'0'-8'650,"0"7"-636,1 0 0,-1 0 0,0 0 0,0 1 0,0-1 0,1 0 0,-1 0 0,0 0-1,0 0 1,0 1 0,0-1 0,0 0 0,-1 0 0,1 0 0,0 1 0,0-1 0,-1 0 0,1 0 0,0 0 0,-1 1 0,1-1 0,0 0-1,-1 1 1,1-1 0,-1 0 0,1 1 0,-1-1 0,0 0 0,1 1 0,-1-1 0,0 1 0,1-1 0,-1 1 0,0 0 0,1-1 0,-1 1-1,0-1-13,-68-14 107,56 11-109,-1 1 1,0 0 0,0 0 0,0 1 0,-8 1 1,-38 0 13,19 0-42,-1 1 0,1 2-1,0 2 1,-26 6 29,-9 5-93,-54 2 93,1-1-76,62-6 116,21-4 11,2 1-1,-1 2 1,1 3-1,0 1 0,-1 2-50,42-13 19,0 0 0,0 0 0,0 0-1,0 0 1,0 0 0,0 1 0,0-1 0,1 1-1,-1-1 1,1 1 0,0 0 0,0 0-1,0 0 1,0 1 0,1-1 0,-1 0-1,1 1 1,0-1 0,0 1 0,-1 2-19,-1 9 154,1-1 1,1 1 0,0-1 0,2 11-155,-1-13 68,2-5-57,0-1-1,1 0 1,0 0-1,0 0 1,0 0-1,1-1 1,-1 1-1,1-1 1,1 0-1,-1 0 1,1 0-1,2 1-10,19 20 5,2-1 1,1-1-1,0-2 0,2-1 0,29 15-5,-43-30 3,-1 0-1,1-2 1,1 0-1,-1-1 1,0 0-1,1-2 1,-1 0-1,1-1 1,-1 0-1,7-2-2,25 1 1,-6-2-7,0-2-1,0-1 1,37-12 6,32-4-7,-63 13 19,1-1 1,-2-3-1,0-2 0,-1-1 1,0-3-1,-2-2 0,0-2 0,22-16-12,-64 36 14,1 0-1,0 0 0,-1 0 0,0 0 1,0-1-1,0 1 0,0-1 1,-1 0-1,1 0 0,-1 0 0,0 0 1,0-1-1,0 1 0,-1 0 1,1-1-1,-1 1 0,0-4-13,2-10 109,-2 0-1,0 0 0,-1 0 1,-1-1-109,0-11 172,1 26-187,0 1 0,0-1 0,0 1 0,-1-1 1,0 1-1,1-1 0,-1 1 0,-1 0 0,1 0 1,0-1-1,-1 1 0,0 0 0,1 0 0,-1 0 1,-1 0-1,1 1 0,0-1 0,-1 0 15,-2-1-6,0 0 0,0 1-1,0 0 1,0 0 0,0 0-1,-1 0 1,1 1 0,-1 0-1,0 0 1,-2 0 6,-17-2-4,0 0-1,0 2 1,-1 1 0,-21 1 4,25 0-51,-3 0-206,2-1-227,1 2-1,-1 0 1,1 1 0,-1 1-1,-20 6 485,23-3-317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44.72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1227 326 592,'19'-51'2232,"-18"50"-2182,0 0 0,0-1-1,-1 1 1,1 0 0,-1-1 0,1 1-1,-1-1 1,0 1 0,0-1-1,1 1 1,-1-1 0,0 1 0,0-1-1,0 1 1,-1-1 0,1 1-1,0-1 1,-1 1 0,1-1 0,-1 1-1,1-1 1,-1 1 0,1-1-1,-1 1 1,0 0 0,0 0 0,0-1-1,0 1-49,-2-2 23,0 0-1,-1 0 0,0 0 0,1 1 1,-1 0-1,0-1 0,0 1 0,0 0 1,0 1-1,-3-1-22,-14-5-13,0 2-1,-1 1 1,-19-2 13,-122-15 98,-29-3 159,-6 8-257,156 14-46,1 1-1,-1 3 1,1 1-1,0 2 1,0 2-1,-10 4 47,15-2-132,16-5 63,0 1 1,0 1-1,1 1 0,0 0 1,-15 9 68,29-12-3,-1-1 1,2 1-1,-1-1 1,0 1-1,1 1 1,-1-1-1,1 1 1,1-1-1,-1 1 1,0 0-1,1 0 1,0 1-1,1-1 1,-1 1 0,1 0-1,0-1 1,0 1-1,1 0 1,-1 0-1,1 0 1,0 6 2,0 5 140,0 0 1,1 0-1,0 0 1,1 1-1,2-1 1,-1 0-1,2 0 1,0-1 0,1 1-1,6 13-140,-4-17 40,0-1 0,0 1 0,1-1-1,0-1 1,1 0 0,1 0 0,0 0 0,0-1 0,1-1 0,0 0-1,0 0 1,1-1 0,3 1-40,42 22 34,1-2 0,2-3 0,0-2 0,2-4 0,0-1 0,2-4 0,28 2-34,37 6 225,1-7 0,1-5 1,34-5-226,-137-9 19,0-1 0,0-1 1,-1-1-1,0-2 0,11-4-19,-20 6 18,-8 3-25,24-7 69,0-1-1,-2-2 1,22-11-62,-44 18 31,-1 1-1,1-2 1,-1 1 0,-1-1 0,1-1-1,-1 1 1,0-1 0,-1-1-1,0 1 1,0-1 0,-1-1-1,0 1 1,2-7-31,-1 2-81,0 0 0,-2-1 0,0 1 0,0-1 0,-2 0 0,0-1 0,0 1 0,-1-15 81,-2 21-38,0 0 0,-1 1 0,0-1 0,0 0 0,-1 0 0,0 1 0,-1 0 0,0-1 0,0 1 0,-1 0 0,0 0 0,0 1 0,-1-1 0,0 1 0,-1 0 0,0-1 38,-19-19 21,-2 2-1,0 0 1,-2 1-1,-1 2 1,0 1 0,-21-9-21,-35-16 613,-83-31-613,113 56 44,-1 2-1,-1 3 0,0 2 0,-1 3 1,0 3-1,-1 2 0,0 2 0,-6 4-43,44 2-190,0 2-1,0 1 0,0 0 0,1 2 1,-1 0-1,2 2 0,-1 0 0,-7 6 191,-37 14-470,-46 12-3832,85-35 3689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5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5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5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6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6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6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6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7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7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7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3:31.59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283 572 956,'-29'15'43,"0"-1"1,-1-1-1,-22 5-43,14-5 124,1 2 1,-3 3-125,38-17-28,1 0 1,-1 0 0,0 0 0,0 0-1,1 0 1,-1 0 0,0 0-1,1 1 1,-1-1 0,1 0 0,0 1-1,-1-1 1,1 1 0,0 0-1,0 0 1,0-1 0,0 1-1,0 1 28,1-2-3,0 0-1,0 0 0,1 0 0,-1 0 1,0 0-1,1 0 0,-1 0 0,1 0 1,-1-1-1,1 1 0,0 0 0,-1 0 1,1-1-1,0 1 0,-1 0 0,1-1 1,0 1-1,0-1 0,-1 1 0,1-1 1,0 1-1,0-1 0,0 0 0,0 1 1,0-1-1,0 0 0,0 0 0,0 1 1,0-1-1,0 0 0,0 0 0,-1 0 1,1 0-1,0 0 0,0-1 0,0 1 1,1 0 3,12 0-44,1 0 1,-1-2 0,1 1-1,-1-2 1,0 0 0,0-1-1,0 0 1,0-1 0,-1 0-1,4-3 44,-1 2-127</inkml:trace>
  <inkml:trace contextRef="#ctx0" brushRef="#br0" timeOffset="1205.07">1427 108 2152,'0'0'8,"-8"-33"385,2 28-394,-1 2 1,1-1-1,-1 1 0,0 0 1,0 0-1,0 1 0,0 0 1,-1 0-1,1 1 0,0 0 1,-6 0 0,-91 0-2,55 3 3,17 0 8,0 1 1,1 2-1,-27 8-9,-4 0-9,31-7-28,1 1-1,0 1 1,0 1-1,1 2 1,0 1-1,1 1 1,-7 6 37,24-13-85,1 1 0,0 0 0,1 0 0,0 1 0,0 0 1,1 1-1,0 0 0,0 0 0,1 1 0,0 0 0,1 0 0,0 0 0,0 1 0,1 0 1,1 0-1,0 1 0,0-1 0,1 1 0,1-1 0,0 3 85,-4 50 824,4 0 0,3 17-824,-1-17 246,1-57-239,0 1 0,1-1 0,0 1 0,0-1 0,1 1 1,0-1-1,0 0 0,0 0 0,3 2-7,38 60 42,-34-56-39,1 0 1,1-2-1,0 1 0,0-1 1,1-1-1,1 0 1,0-1-1,0 0 1,1-1-1,-1-1 1,2 0-1,-1-2 1,1 1-1,0-2 1,0 0-1,9 1-3,38 4 19,1-2-1,0-4 0,43-3-18,-74 0 8,10 1 10,0-2 0,0-2 0,0-2 0,27-8-18,-28 3 8,-1-2 0,-1-1 0,0-3 1,-1-1-1,27-16-8,-45 20 3,-1 0 1,-1-1-1,0-1 1,-1 0-1,-1-2 0,0 0 1,-2-1-1,0 0 0,0-1 1,-2-1-1,0-1-3,-3 2 9,-2 1 0,1-1 0,-2-1 0,-1 1 0,0-1 0,-2 0-1,0-1 1,-1 1 0,-1-1 0,-1 1 0,-1-1 0,0-1-9,0 13-3,1 0 1,-2-1 0,1 1-1,-1 0 1,0-1-1,-1 1 1,0 0-1,-1 0 1,0 0-1,0 0 1,-1 1 0,-4-9 2,-1 3-2,0 0 0,0 0 0,-2 1 0,1 1 0,-2-1 0,0 2 0,0 0 0,-1 0 0,0 1 0,-1 0 0,0 2 0,-4-2 2,-7-2-4,-1 1 0,-1 1-1,0 2 1,0 0 0,-1 2-1,-23-2 5,-117-9-81,0 7 0,-65 9 81,193 1-24,-16 3-342,1 2 0,-1 3-1,-27 8 367,45-8-619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3:34.48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1321 233 1696,'16'-97'969,"-16"96"-967,0-1-1,0 1 1,1-1 0,-1 1-1,0-1 1,-1 0 0,1 1-1,0-1 1,0 1 0,-1-1-1,1 1 1,-1-1 0,1 1-1,-1 0 1,0-1 0,1 1-1,-1 0 1,0-1 0,0 1-1,0 0 1,0 0 0,0 0-1,0 0 1,0-1 0,0 2-1,-1-1 1,1 0 0,0 0-1,-1 0 1,1 1 0,-1-1-1,1 0 1,0 1 0,-1-1 0,1 1-1,-1 0 1,0 0 0,1-1-1,-1 1 1,1 0-2,-17-5-34,-41-13 16,0 2 0,-1 3 0,0 3 0,-1 3 0,-27 0 18,-311 0-168,382 8 173,1 1 0,-1 1 0,1 0-1,-1 1 1,1 0 0,-11 6-5,-11 5 22,1 2-1,-5 4-21,23-10-56,0 1-1,1 0 0,0 1 0,1 1 1,0 1-1,1 0 0,1 1 1,1 1-1,0 1 0,1 0 0,1 0 1,1 1-1,0 0 0,1 1 1,2 1-1,-5 14 57,10-19 176,0 0-1,1 1 1,1-1 0,1 0 0,0 0-1,2 8-175,0 21 27,-2-39-25,2 0 1,-1 0-1,1-1 1,-1 1-1,2 0 0,-1-1 1,1 0-1,-1 0 1,1 0-1,1 0 1,-1 0-1,1 0-2,49 58 63,-50-60-56,12 12-4,1 0 0,1-2-1,1 0 1,0 0 0,0-2 0,1 0 0,1-1-1,0-1 1,0-1 0,0-1 0,1-1 0,0 0 0,1-2-1,3 0-2,54 6 12,1-3-1,0-4 1,20-5-12,-36 2 1,31 0 10,0-4 0,0-4 0,-1-4 0,87-24-11,-170 33 9,1 0 1,-1-1-1,0-1 1,0 0-1,-1 0 1,1-1-1,-1 0 1,-1-1 0,1 0-1,-1-1 1,0 1-1,3-6-9,-1 0 3,-1 0 0,-1-1 0,0 0 0,-1-1 0,0 0 0,-2 0 0,1-1 0,1-8-3,3-16-34,-1 0 0,-2 0 1,-2 0-1,-1-1 0,-2 0 0,-3-31 34,-1 66-8,0-1 0,-1 0 0,0 1-1,0-1 1,0 1 0,-1 0 0,0 0 0,0 0 0,0 0 0,-1 0 0,0 1-1,0-1 1,-1 1 0,1 0 0,-1 0 0,0 1 0,-1 0 0,-3-4 8,-11-6-30,0 0 1,0 1-1,-2 1 1,-15-6 29,6 4-92,0 2 1,-1 1 0,-1 1-1,1 2 1,-1 2-1,-1 0 1,1 3 0,-25-1 91,18 4-648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3:35.71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1249 252 820,'0'-12'292,"1"0"0,1-1 0,0 1 0,2-5-292,0 5 166,-2-1 0,0 1 0,0-1 0,-1-6-166,-4 16 1,0 1 1,-1-1 0,1 1-1,0 0 1,-1 0 0,1 0-1,-1 0 1,0 0 0,0 1-1,1 0 1,-1 0-1,-1 0-1,-6-3-6,-26-10 15,-1 2-1,0 2 1,-1 1 0,-24-2-9,-163-11-110,151 17 131,-120 0-54,169 5 11,9 1 24,0 1 1,0 0-1,1 1 1,-1 2-1,1-1 1,-16 8-3,-93 44-79,111-48-22,1-1-1,0 2 1,1 0-1,0 0 1,0 1-1,1 1 1,0 0-1,1 0 1,0 1-1,-1 4 102,-3 5 121,1 0 1,1 1-1,2 1 0,0 0 1,-6 21-122,12-26 94,0 0 0,2 0 1,0 0-1,1 0 1,1 0-1,2 9-94,-2 10 34,1-31-30,1 1 0,-1 0 0,1-1 0,0 0 0,0 1 0,1-1 0,0 0 0,0 0 0,0 0 0,1-1 0,0 1 0,0-1 0,0 0 0,2 1-4,8 10 16,1-1 0,0-1 0,18 12-16,-11-11 4,0-2-1,1-1 1,0 0 0,1-2-1,1-1 1,-1-1-1,1-1 1,7 0-4,58 11 30,61 2-30,-121-17 0,166 13 67,134-8-67,-313-8 8,-1-1 1,1-1-1,-1-1 1,0 0 0,0-1-1,0 0 1,0-2-1,-1 0 1,0 0-1,0-1 1,0-1 0,-1-1-1,0 0-8,5-5 10,-1-1 0,0-1-1,-2 0 1,1-1 0,-2-1 0,-1-1-1,0 0 1,9-18-10,-12 19-73,-1 0-1,-2-2 1,1 1 0,-2-1 0,-1 0 0,-1 0-1,0-1 1,-1 0 0,-2 1 0,0-1-1,-1 0 1,-1-12 73,-1 26 5,0 0 1,0 0-1,0 0 0,-1 0 1,0 0-1,0 0 0,-1 0 0,0 1 1,0-1-1,-1 1 0,1 0 0,-1 0 1,-1 0-1,1 0 0,-1 1 0,0 0 1,0 0-1,-1 0 0,1 1 0,-1 0 1,0 0-1,0 0 0,-1 0 1,1 1-1,-2 0-5,-15-7 13,-1 0 1,0 2-1,-1 0 1,0 2-1,0 1 1,-15-1-14,-78-6-1540,-55 5 1540,108 6-489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3:37.74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3938 347 524,'0'0'71,"0"0"23,0 0 42,0 0 24,0 0-26,0 0-14,0 0-22,0 0-15,0-44 1101,0-56-505,-5 96-700,0 0 0,0 1 0,-1-1 0,1 1 0,-1 1 0,1-1 1,-1 1-1,-4-1 21,-45-16-21,-1 3 0,-1 2 0,0 3-1,0 2 1,-3 3 21,-95-4 12,-40 7-12,141 7-4,-1 2 1,1 3 0,1 2 0,-29 11 3,80-21 1,-17 3-14,0 2 1,1 0 0,0 2 0,0 0 0,1 0 0,-10 8 12,19-11 13,0 1 1,0 0-1,1 1 1,0 0-1,0 0 1,1 0-1,-1 1 1,2 0-1,-1 0 1,1 0-1,0 1 1,1 0-1,-3 8-13,-3 13-16,1 0 0,2 1-1,1 0 1,1 0 0,2 1 0,1-1-1,1 14 17,2-40-1,0 0 0,1 0 0,-1 0 0,1 0 0,0 0 0,0 0 0,0-1 0,1 1 0,-1-1 0,1 0 0,0 0 0,0 0 0,1 0 0,-1 0 0,3 1 1,59 52-19,-27-31 27,1-1-1,1-1 0,0-3 0,43 16-7,5-4 35,86 21-35,-96-36 13,1-3 0,0-3-1,11-3-12,240 2 60,-278-15-37,0-3 1,0-2 0,-1-2 0,0-3-1,45-18-23,-76 25 105,-1 0 0,0-2-1,0 0 1,-1-1 0,0-1 0,-1-1-1,0-1 1,-1 0 0,0-1 0,-2 0-1,1-1 1,-2-1 0,0 0-1,0-1 1,-2-1 0,0 0 0,-1 0-1,-1-1 1,-1 0 0,-1 0 0,0-1-1,-1 0 1,-1 0 0,-2-1-1,0 1 1,0-1 0,-2-5-105,-1 7-236,-1 0-1,0 0 1,-2 0 0,0 0-1,-1 0 1,-3-7 236,3 15-138,-1 0 0,0 0 1,0 1-1,-1-1 0,0 1 0,-1 0 1,0 1-1,-1 0 0,0 0 0,-9-8 138,-5-1-92,-1 1-1,0 1 1,-2 1-1,0 1 0,0 1 1,-1 1-1,-1 2 1,-13-4 92,-44-10-737,-1 3 1,-11 3 736,17 4-407</inkml:trace>
  <inkml:trace contextRef="#ctx0" brushRef="#br0" timeOffset="1155.75">1151 623 1240,'4'0'17,"0"-1"-1,1 0 1,-1 0 0,0-1-1,0 1 1,1-1 0,-1 0-1,-1 0 1,1 0 0,0 0-1,0-1 1,-1 0 0,1 0-1,-1 0 1,0 0 0,0 0-1,0 0 1,0-1 0,0 0-17,4-6 26,-1 1 1,0-1-1,0 0 1,-1-1-1,0 1 0,2-9-26,-5 10-42,0-1-1,-1 1 0,0-1 0,-1 1 0,0-1 0,-1-3 43,1-7-45,-1 14 84,-1 1-1,0 0 1,0-1 0,-1 1 0,0 0 0,1 0-1,-2 0 1,1 1 0,0-1 0,-5-3-39,-10-7 75,-2 1 1,1 0-1,-2 2 1,0 0 0,0 1-1,-1 2 1,0 0-1,-1 1 1,0 1-1,0 2 1,0 0-1,-12 0-75,-50-4-52,0 4 0,-75 6 52,65 0 28,52 0-133,-1 3 0,1 2 0,0 1 0,1 2 0,-1 3 1,-35 14 104,67-22 1,1 0 1,0 1-1,-1 1 1,2 0 0,-1 0-1,1 1 1,0 0 0,0 0-1,1 1 1,0 0 0,1 1-1,-1 0 1,2 0-1,-1 0 1,1 1 0,1 0-1,-3 7-1,0 3 89,1 2-1,1-1 1,1 1-1,1 0 1,1 0-1,1 0 0,1 0 1,1 12-89,0-25 5,1 0-1,0-1 1,0 1-1,1-1 1,0 1 0,1-1-1,-1 0 1,2 0-1,-1 0 1,1 0 0,0-1-1,1 0 1,1 3-5,3 2-1,1 0 0,1-1-1,0 0 1,1 0 0,-1-1 0,2-1 0,3 2 1,26 14-9,1-2 1,1-2-1,0-2 0,18 4 9,-4-4 6,0-3-1,1-1 0,1-4 0,59 4-5,47-5 61,30-8-61,-148-4 20,0-2 0,0-2 0,-1-3 0,0-1 0,-1-2-1,0-3 1,-1-1 0,-1-2 0,0-3 0,-2-1 0,0-2-1,-2-1 1,5-6-20,-30 19 29,1-1-1,-2 0 1,1-1-1,-2 0 1,0-1-1,-1-1 0,8-13-28,-16 22 77,0 1-1,-1-1 0,1 0 0,-2 0 1,1 0-1,-1 0 0,0 0 0,0 0 0,-1-1 1,0 1-1,-1-1 0,1 1 0,-1-1 0,-1 1 1,1-1-1,-1 1 0,-1-1 0,1 1 0,-1 0 1,-1 0-1,-2-6-76,-7-10-153,-1 1 0,-1 1 0,-1 0 0,-1 1 0,0 0 0,-2 2 0,0 0 0,-1 1 0,-1 0 0,-1 2 0,0 0 0,0 2 0,-23-10 153,-18-8-115,-2 4 0,-1 2 0,-1 3 0,-39-6 115,-45-4-890,70 18 287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3:40.19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1566 455 352,'0'-4'64,"1"-1"-1,0 1 1,0-1-1,0 1 1,1-1-1,-1 1 1,1 0-1,1-2-63,-1 1 80,0 0-1,0 0 0,0 0 1,0 0-1,-1 0 0,0-1 0,0 1 1,0-4-80,-1 5 49,1 0 0,-1-1 1,0 1-1,0 0 0,0-1 0,0 1 1,-1 0-1,0 0 0,0-1 0,0 1 1,0 0-1,-1 0 0,1 0 0,-1 0 1,0 1-1,0-1 0,-1 0 0,1 1 0,-1-1 1,0 1-1,1 0 0,-3-1-49,-4-4 13,-1 0 0,0 1 0,-1 0 1,0 0-1,0 2 0,0-1 0,0 1 0,-1 1 0,0 0 0,0 1 0,-9-2-13,-26-3 3,-1 3-1,-23 0-2,10 1 15,-488-25 23,502 33-47,1 2 0,-1 1 0,2 3 0,-35 12 9,46-13-24,11-2-9,-1 0 0,1 2 0,1 1-1,-1 0 1,2 2 0,0 1 0,0 0 0,1 1 0,1 2-1,0 0 1,1 1 0,1 0 0,1 2 0,-3 4 33,13-12 41,0 0 1,1 0-1,1 0 1,0 1 0,0-1-1,1 1 1,1 0 0,0 0-1,1 0 1,0 0 0,0 0-1,1 0 1,2 11-42,-2-5 23,1-13-20,0 0-1,1 1 1,0-1-1,-1 0 1,2 0-1,-1-1 1,0 1-1,1 0 1,0-1-1,0 0 1,0 1-1,4 2-2,46 49-24,-35-41 28,1-1-1,0-1 0,1 0 0,0-2 0,1 0 1,0-2-1,1 0 0,-1-1 0,2-1 1,-1-1-1,12 1-3,50 7 6,1-4 1,38-2-7,-117-7 1,14 0 6,101 7 12,0-6 1,56-8-20,-91-4 12,0-3-1,0-4 1,-2-4-1,33-15-11,-72 21 30,0-2 0,-2-2 0,0-2 0,-1-2 0,4-5-30,-33 19 90,0-1 0,-1 0 0,0-1 0,-1 0 0,0-1 0,-1 0 0,8-13-90,-12 16 141,-1-1-1,0 1 0,-1-1 0,0 0 1,0 0-1,-1-1 0,-1 1 0,1-1 0,-2 0 1,1 1-1,-2-1 0,1-3-140,-2 2-147,1 0 0,-2 0 0,1 1-1,-2-1 1,1 0 0,-2 1 0,0 0 0,0 0 0,-1 0-1,0 0 1,0 1 0,-3-2 147,-2-2-61,0 0-1,-2 0 1,0 1-1,0 0 1,-1 1-1,-1 1 1,-12-9 61,-5 0-1,-2 1 1,0 2-1,-1 1 1,-1 1 0,0 2-1,-1 2 1,-16-3 0,-25-1-70,-1 2 0,0 4 1,-15 3 69,-237 1-201,218 6 142,-40 4-1389,-76 15 1448,141-10-599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5:13.35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1285 279 116,'-1'-2'14,"1"0"1,-1 1-1,0-1 1,0 0-1,0 0 0,0 1 1,-1-1-1,1 1 0,0-1 1,-1 1-1,1-1 1,-1 1-1,1 0 0,-1 0 1,0 0-1,0 0 0,-1-1-14,-39-16-3,13 13-14,-66-15 213,59 10-142,0 2-1,0 2 1,-1 1 0,-17 1-54,-151 2 22,107 4-34,74 0-22,0 1 0,0 1 0,0 1 1,0 1-1,-12 6 34,-51 11 5,58-16 96,1 1 0,1 1-1,-1 1 1,2 2-1,-1 0 1,2 2 0,0 1-1,0 1 1,2 1 0,0 1-1,-6 7-100,25-20 40,0 1-1,0 0 0,1 0 1,0 0-1,0 1 1,1-1-1,-1 1 1,1 0-1,1-1 1,-1 1-1,1 0 0,0 0 1,1 0-1,0 0 1,0 0-1,0 0 1,1 1-40,-1-6-7,3 5 13,1 1 0,0-1 0,0 1 0,1-1-1,0 0 1,0-1 0,0 1 0,1-1 0,6 5-6,-11-10-4,14 13 15,1 0 0,0-2 0,1 0-1,1-1 1,0 0 0,0-2 0,1 0 0,0-1 0,0-1 0,1-1 0,0 0 0,0-2 0,15 2-11,42 3-3,0-3 0,1-3 0,0-4 3,-38 1 10,-7 0-2,95 0-20,46-10 12,-134 6 11,0-2 0,-1-2 1,1-1-1,-2-2 0,1-2 1,15-8-12,-47 18 15,0 0 0,0-1 1,0 0-1,-1 0 1,1 0-1,-1-1 1,0 1-1,-1-2 1,1 1-1,-1-1 0,0 1 1,0-1-1,-1-1 1,1 1-1,-2-1 1,1 0-1,-1 1 0,0-2 1,0 1-1,-1 0 1,0 0-1,0-1 1,0 1-1,-1-1 1,-1 0-1,1-4-15,-1-23 112,1-2 311,-2 1-1,-5-29-422,4 52-64,-1-1 1,-1 1 0,0 0 0,-1 0-1,0 0 1,0 1 0,-2-1 0,0 1-1,-1-2 64,-2 2-15,0 0 0,0 0 0,-1 1 0,-1 0 0,1 1 0,-2 1 0,1 0 0,-1 0 0,-1 1 0,0 1 0,0 0 0,0 1 0,-1 0 0,0 2 0,-12-4 15,-31-4-61,0 3 0,-1 2 0,-35 1 61,27 2-12,-252-4-1285,259 8 1149,48 1-30,1 0 0,-1 1-1,1 0 1,-8 3 178,1-1-239,-11 2-100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5:16.62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1528 323 920,'0'-50'1044,"-1"48"-1042,0 0-1,0 0 1,0 0 0,0 1-1,-1-1 1,1 0 0,0 1-1,-1-1 1,1 1-1,-1 0 1,0-1 0,1 1-1,-1 0 1,0 0 0,0 0-1,1 0 1,-1 0-1,0 1 1,0-1 0,0 1-1,0-1 1,0 1-2,-62-19 49,47 15-42,-48-11-93,0 3 0,-65-3 86,90 12 32,0 2 0,0 1 1,1 3-1,-1 1 0,0 2 0,-3 2-32,-215 37 107,130-25-59,-56 19-48,158-32-35,0 0 1,0 2-1,0 1 1,1 1 0,1 1-1,-23 15 35,39-22-45,1 1-1,0 0 0,0 0 0,0 0 0,1 1 1,0 0-1,0 0 0,1 0 0,-1 1 1,2 0-1,-1 0 0,1 0 0,0 1 0,1-1 1,0 1-1,1 0 0,-1 0 0,2 0 0,-1 0 1,1 0-1,1 0 0,-1 2 46,1-1-27,0 1 1,0-1-1,1 0 0,0 1 0,1-1 1,0 0-1,0 0 0,1 0 1,1-1-1,0 1 0,4 7 27,4 4 15,2 0 1,0-1-1,1-1 0,1 0 0,1-1 1,1 0-1,0-2 0,17 12-15,-10-9 44,2-2 1,0 0-1,1-2 0,0 0 1,1-3-1,20 7-44,-21-11 25,2-1 0,-1-2 1,1-1-1,28 1-25,124-5 42,-79-2-27,62 1 4,-1-7-1,0-7 1,0-7 0,13-10-19,-145 24 175,0 0 1,-1-3-1,0 0 1,-1-2-1,0-1 1,-1-2-1,8-6-175,-20 10 67,0 0 0,-1-1 0,-1-1-1,0-1 1,-1 0 0,0-1 0,-2 0 0,0-1 0,0-1-1,-2 1 1,0-2 0,0-2-67,-1-2-14,0 0 0,-2-1 0,0 0 1,-2 0-1,-1 0 0,0-1 0,-2 0 0,-1 0 0,-1-1 14,-1 16 19,-1 0 0,0 1-1,0 0 1,-1-1 0,0 1-1,0 0 1,-1 1 0,0-1-1,-1 0 1,0 1 0,0 0-1,-1 0 1,-6-6-19,-4-5 153,-2 0 0,0 1 0,-1 1 0,-15-10-153,7 8-15,-2 2 1,0 0-1,0 2 1,-1 2-1,-1 0 0,-1 2 1,0 2-1,0 0 0,0 3 1,-12-1 14,-60-4-1517,0 5 0,-64 5 1517,98 1-260,4 2-37,-1 5 69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5:18.60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1942 302 236,'0'-2'41,"0"0"-1,1 1 1,-1-1 0,0 0-1,0 0 1,0 0 0,0 1-1,-1-1 1,1 0 0,0 0 0,-1 1-1,1-1 1,-1 0 0,0 0-1,0 1 1,1-1 0,-1 1-1,0-1 1,0 1 0,-1-1-1,1 1 1,0 0 0,0-1-1,-1 1 1,1 0 0,-1 0-1,1 0 1,-1 0-41,2 1 0,-32-31 230,26 23-192,-1 2 0,0-1 0,0 1 0,0 0 0,-1 0 0,0 1 1,0 0-1,0 0 0,-1 1 0,0 0 0,1 0 0,-4 0-38,-45-9 83,-1 2-1,-1 2 1,1 3-1,-1 3 1,-6 2-83,-74 4-167,1 7 1,0 5-1,0 7 1,-14 9 166,30-1-211,-39 17 211,122-34-5,1 2 0,0 2 1,2 1-1,0 2 0,1 1 0,-4 6 5,19-12 77,1 2 0,1 0 0,1 1 1,0 0-1,2 2 0,-13 19-77,22-31 35,0 1 0,1 0-1,0 0 1,1 1 0,0-1 0,0 1 0,1 0 0,1 0-1,-1 0 1,1 1 0,1-1 0,0 1 0,1-1 0,0 0 0,0 1-1,1-1 1,2 8-35,1-5-13,1 0 0,1-1 1,0 0-1,0 0 0,2 0 0,-1-1 0,1 1 0,1-2 0,0 1 0,1-2 0,3 4 13,14 11-108,2-1-1,0-1 1,22 12 108,-3-7-41,1-2 0,1-2-1,1-3 1,1-1 0,1-3 0,0-3 0,1-1 0,54 3 41,74 0 416,-1-8 1,12-8-417,-65 0 213,-15-4 374,0-4 1,-1-6-1,80-22-587,-151 29 171,0-2 0,-1-2 0,-1-1-1,0-2 1,33-18-171,-59 26 74,-1-1-1,0 0 1,0-1-1,-1 0 1,0 0-1,-1-1 1,0-1 0,0 0-1,-1 0 1,-1-1-1,0 0 1,0 0-1,-1-1 1,-1 0-1,0 0 1,-1-1-1,0 1 1,1-11-74,-1-2 79,-1 0 0,-1-1 0,-1 0 0,-2 0 0,-1 1 0,0-1 0,-2 0 0,-2 1 0,0 0 0,-1 0 0,-2 0 0,-1 0 0,-11-22-79,10 26-121,-1 0 1,-2 1 0,0 0-1,-1 1 1,-1 0 0,-1 1-1,0 1 1,-1 1 0,-1 0-1,-1 1 1,-1 1 0,0 1 0,-1 1-1,0 0 1,-6-1 120,-23-6-448,-1 1 1,0 3-1,-1 2 0,-1 3 1,-43-4 447,-26 3-2779,-123 4 2779,186 8-583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5:21.85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596 23 204,'-129'-1'12,"-16"1"123,-1-7 1,-12-8-136,140 15 158,39 9-71,42 8-16,42-4-31,19-4-40,-62-7 6,1 4 0,-1 1 0,-1 4-1,0 2 1,16 8-6,-74-20-15,-2-1-7,1 0-1,-1 1 1,1-1-1,-1 0 0,0 1 1,1-1-1,-1 1 1,0 0-1,1-1 0,-1 1 1,0 0-1,0 0 0,0 0 1,0 0-1,0 0 1,0 0-1,0 0 0,0 0 1,0 0-1,0 0 0,0 0 1,-1 1-1,1-1 1,0 0-1,-1 1 0,1 0 23,-1 2-125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5:22.70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61 564,'240'-3'973,"266"7"-630,-262-3 611,-244-2-951,0 0-1,0 1 0,0-1 0,-1 0 1,1 1-1,0-1 0,0 0 1,-1 1-1,1-1 0,-1 1 1,1-1-1,-1 1 0,1-1 1,-1 1-1,1-1 0,-1 1 0,1-1 1,-1 1-1,1-1 0,-1 1 1,0 0-1,1-1 0,-1 1 1,0 0-1,1 0 0,-1-1-2,-122-17 1,-1 5 0,0 6 0,-9 4-1,101 3-1,-41-3-8,27 0-27,0 2 1,0 2 0,0 2 0,0 2-1,-19 5 36,65-10-1,-1 0 1,1 0-1,0 0 0,-1 0 0,1 0 1,0 0-1,-1 0 0,1 0 0,0 0 1,-1 0-1,1 1 0,0-1 0,-1 0 1,1 0-1,0 0 0,0 0 0,-1 0 1,1 1-1,0-1 0,-1 0 0,1 0 1,0 1-1,0-1 0,-1 0 0,1 0 1,0 1-1,0-1 0,0 0 0,0 1 1,-1-1-1,1 0 0,0 1 0,0-1 1,0 0-1,0 1 0,0-1 0,0 0 1,0 1-1,0-1 1,4 4-11,66 4-411,-1-3 0,33-4 422,8 1-555,-20 3 92,3 0 59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5:23.78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122 74 564,'-1'0'43,"-1"-1"0,0 0 0,1 0 1,-1 0-1,1 0 0,-1 0 0,1 0 0,0 0 0,-1-1 0,1 1 1,0-1-1,0 1 0,0-1 0,0 1 0,0-1 0,0 1 0,0-2-43,1 3 16,1-1 0,-1 0 0,0 0 0,1 1-1,-1-1 1,1 0 0,-1 1 0,1-1-1,0 0 1,-1 1 0,1-1 0,-1 1-1,1-1 1,0 1 0,0-1 0,-1 1 0,1-1-1,0 1 1,0 0 0,0 0 0,-1-1-1,1 1 1,0 0 0,0 0 0,0 0 0,0 0-1,0 0 1,-1 0 0,1 0 0,0 0-1,0 0 1,0 0 0,0 0 0,-1 1 0,2-1-16,1 0 6,91 0 51,-1 4 0,13 6-57,187 21 73,-71-9-40,-342-30 83,-695-85-557,963 88 199,139 13-823,-221-2 833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21:31:25.99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7544 254 392,'3'-4'261,"-3"-1"-1,1 1 1,0 0 0,-1-1 0,0 0-1,0 1 1,0 0 0,0 0-261,-1-9 394,-43 2-406,16 7 65,-2 3 1,1 0-1,-1 1 0,1 1 0,0 1 0,1 3 0,0 0 1,-2 1-1,2 3 0,0 0 0,2 0 0,-1 2 0,0 2 1,1 1-1,2 1 0,-5 3-53,15-7 31,0 2 1,0-2-1,1 2 0,1 0 0,1 2 1,-1 0-1,2-1 0,1 1 1,0 1-1,-1-1 0,4 2 1,-1 0-1,1 1 0,0-1 0,-2 12-31,5-11 54,0-1 0,1 1 0,1 0-1,0 0 1,1 0 0,1-1 0,1 2 0,0-1-1,1 0 1,1-1 0,1 0 0,1 0-1,0 0 1,1 0 0,0-2 0,3 2 0,-1-2-1,1 1 1,-1-2 0,3 1 0,0-2-1,-1 0 1,3 0 0,0-1 0,0 0 0,3 0-54,-3-3 81,2-1 0,-1 0 0,2 0 0,-1-3 0,2 1 0,-2-1 0,2-1 0,-2 0 1,11-1-82,31 3 440,-1-4 1,13-1-441,-49-1 143,-5-1-10,1-1-1,-1 0 0,0-1 0,-1-1 1,1 0-1,-1-2 0,0 1 0,0-2 1,-1 1-1,0-2 0,1 0 0,2-5-132,32-21 315,-3-3-1,32-33-314,-13 12 163,-38 37 39,-4-2 0,0 1 0,8-13-202,-24 26 74,0 0 0,0 1 0,-2-2 0,0 1 1,-1-1-1,0 0 0,0 0 0,0-1 1,-1 1-1,-1-1 0,0 0 0,1-1-74,-1-5 22,-1 0-1,0 0 0,-1 0 0,-1-1 0,-1 1 0,-2-1 1,1 2-1,-1-1 0,-4-9-21,5 17-171,-1 0 0,0 1 1,0-1-1,-2 0 0,0 1 0,0 1 0,0 0 1,1-1-1,-2 2 0,-1-1 0,1 1 0,-1-1 1,1 2-1,-1-1 0,-1 2 0,0-1 0,-7-3 171,-13-4-1690,1 2-1,-3 2 0,2-1 1,-3 3 1690,5 1-1077</inkml:trace>
  <inkml:trace contextRef="#ctx0" brushRef="#br0" timeOffset="1636.74">253 116 460,'-4'-6'199,"2"1"50,-1 1 1,0 0-1,0 0 0,0 0 1,-1 0-1,1 0 1,-1 1-1,1-1 1,-1 0-250,4 4-71,0 0 6,-2 2 67,0-1 0,0 0 1,1 1-1,-1-1 1,0 2-1,1-2 0,-1 1 1,1-1-1,0 1 0,0 0 1,0 0-1,0 0 1,-1 0-1,1 0 0,0 1-2,-14 36 155,-22 76 1167,6 2-1,5 0 1,-8 106-1322,32-208-86,-11 97 750,9-38-3035,4-74 2001,0 0-142,1 0 376,-1 0 0,1 0 1,-1 0-1,1 0 0,0 0 1,-1 0-1,1-1 0,-1 1 1,1 0-1,-1-1 0,1 1 0,-1 0 1,1-1-1,-1 1 0,1 0 1,-1-1-1,1 1 0,-1-1 1,0 1-1,1-1 0,-1 1 1,0-1-1,1 0 136,1-2-409,3-5-101</inkml:trace>
  <inkml:trace contextRef="#ctx0" brushRef="#br0" timeOffset="5950.44">242 18 516,'0'-1'24,"0"0"0,1 1 0,-1-1 0,0 0 0,0 1 0,0-1 0,0 1 0,1-2-1,-1 1 1,0 1 0,0 0 0,1 0 0,-1-1 0,1 1 0,-1-1 0,0 1 0,1-1 0,-1 1 0,1-1 0,-1 1 0,1 0 0,-1-1 0,1 1 0,0 0 0,-1-1-1,1 1 1,-1 0 0,1 0 0,0 0-24,26-3 204,33 11-286,-50-7 147,103 14-26,2-8 0,62-3-39,-11 0 32,847 69-138,-2 42-509,-843-94 498,359 39 131,204-15-14,754-32 21,-940-28 188,0-23-1,8-25-208,612-75 397,5 64-87,-784 76-320,36 20 10,-48 7-69,242 14 89,-491-31 7,25 8-27,-51-4-223,0-6 1,43-2 222,-142 34-54,5 328 352,-5-24 251,-3-135-127,4-178-361,2 0 1,4 13-62,-2-15 79,-2 2 1,0 17-80,-3-50 180,0 0 53,0 0 43,0 0 9,0 0-7,0 0-8,0 0-28,-57-22 339,-71 0-566,-2 5 1,-70 0-16,-58-5 0,-15-10 1,-1113-123-46,850 100 5,-344-31 301,-3 47-134,41 55-139,-551 74 282,-52-20-1092,365-70 378,504 17 531,-2-1 338,129-28-90,164 3-244,-509-37-165,729 39 50,64 7 3,1 0 11,0 0-37,-26-38 1097,24 32-1041,1 2 0,0-2 1,0 0-1,0 1 0,1 0 0,0-1 0,0 0 1,0 1-1,1-1 0,0 1 0,0-1 0,0 1 1,1-1-1,-1 2 0,1-2 0,1 1 0,-1 0 1,1 1-1,0-2 0,0 1-9,10-31-608,-2 5-4024,-10 27 3852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21:07:09.52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6 176,'0'-5'-15,"0"5"-66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8:25:25.02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685 95 176,'9'-9'191,"-7"7"-128,1 1 0,-2-1 0,2 0 0,-1 1 0,-2-1 0,3 0-1,-1 0 1,-1 0 0,1 0 0,-1 0 0,1 0 0,-1-1 0,0 1 0,0-1 0,0-1-63,-1 4 7,-20-20 27,7 18-55,-3-1 0,3 2-1,-2 0 1,0 0 0,1 1 0,-1 1-1,1 1 1,0 0 0,-5 2 21,-28 2-9,-5-2-44,-2 2-1,2 3 0,-1 1 1,2 3-1,0 3 1,-1 1 53,44-12-27,-1 0 1,1 1-1,-1 0 1,3 1 0,-2 0-1,0 0 1,1-1-1,1 2 1,0 0 0,1 0-1,-6 7 27,5-3-5,-2 0 0,1 1-1,2-1 1,-1 1 0,2 1 0,-1-1-1,2 0 1,0 2 5,2 1 30,0-1 0,2 2 0,0-2 0,0 0 0,2 1-1,0 0 1,1-2 0,0 2 0,1-1 0,1-1 0,0 0 0,1 1 0,1-2 0,0 0 0,1 0-1,2-1 1,-1 1 0,-1-1 0,10 6-30,-6-8 29,2 0-1,-1 0 1,2-1 0,-1-2-1,1 0 1,0 0-1,1-1 1,16 4-29,9 1 32,3-2 0,40 3-32,-45-10 47,0 0 0,0-3 0,0-2 0,0-1-1,0-2 1,23-6-47,-3 0 9,-23 7 19,-3-3 0,2-1 1,-1 0-1,28-15-28,-55 21 67,-1-1 0,-1 0 0,0-1 0,0 2 0,0-2 0,-1-1 0,1 1 0,-1-1 0,0 1 0,1-2 0,-2 1 0,1 1 0,-2-2 0,1 0 0,-1 0 0,0 0 0,0 0 0,-1 0 0,0 0 0,1-6-67,1-16 95,-1 1 1,-1 0-1,-1-1 1,-4-26-96,1-9 212,1 56-196,0 0-1,-1 1 1,0-1-1,0-1 1,-1 2 0,0-1-1,0 0 1,-1 2-1,0-2 1,-2-1-16,-6-10-142,0 1 1,-3 0-1,-3-3 142,7 10-31,1 2 0,-1-1 0,0 1-1,0 2 1,-1-1 0,0 0 0,-1 1 0,0 1 0,0 0 0,0 1-1,-1 2 1,1-1 0,-7-1 31,-3 1-298,0 1 0,1 0-1,-1 2 1,1 1 0,-2 1 0,1 1-1,1 0 1,-3 3 298,-17 2-344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8:25:26.72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833 211 264,'0'0'19,"-27"-31"862,18 26-841,0 0 0,0 0-1,0 0 1,-1 1 0,0 1-1,1 0 1,-1 0 0,-1 1-1,-7-2-39,-17-1 72,-1 1-1,-7 3-71,0-1-7,0 3 0,0 0 0,0 3 1,-1 2-1,2 2 0,1 0 0,-2 4 0,2 0 0,-20 11 7,51-18-1,-1 0 0,3 1 1,-2-1-1,2 1 0,-1 1 0,1 0 0,0 0 0,2 1 0,-2 0 1,1 0-1,1 0 0,0 2 0,0-2 0,1 1 0,0 0 0,1 1 1,0 0-1,1 0 0,0 0 0,0 0 0,1 0 0,0 0 1,1 1-1,1 0 0,0 7 1,3-9 9,0 1 0,0-1 0,1-1 1,1 1-1,-1 0 0,1-1 0,1 0 0,0 0 0,2 1-9,4 6 28,1 0 0,0-2 0,1 1 0,2-2 0,-2 0 0,3-1 0,0 0 0,-1-2 0,2 1 0,-1-1 0,1-2 0,1 0 0,0 0 0,-1-2 0,1-1 0,6 1-28,44 6 306,2-4-1,-1-2 0,65-4-305,-107-1 135,9-4 240,-1-1-1,1-1 1,0-3 0,-2-1-1,0 0 1,19-10-375,-40 15 137,4-2-30,8 0 317,-1-3-1,-1-1 0,1 0 0,-2-1 1,4-3-424,-21 11 59,0 0 0,-2 0-1,2 0 1,-1-1 0,0 0 0,0 0 0,-1 0 0,0 0 0,0-1 0,0 0-1,-1 1 1,0-1 0,0-1 0,0 1 0,-1 0 0,0 0 0,0-1 0,-1 0 0,0 1-1,0-1 1,-1 0 0,0 1-59,0-11-9,-2 1-1,0 0 1,-1-1-1,0 1 1,-2 1-1,0-1 1,0 1-1,-2 0 1,0-1-1,-1 2 1,0-1 0,-1 2-1,-1 0 1,0-1-1,-1 2 1,-1 0-1,-1 1 1,1-1-1,-1 2 1,-5-4 9,-7-2-243,0 0 0,0 1 0,-1 2 0,-1 0 0,-1 2 1,1 1-1,-2 2 0,0 0 0,0 1 0,-1 1 0,-9 2 243,-61-3-5248,-53 5 5248,125 2-345,-20 0-63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6:49:16.23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828 232 224,'0'0'16,"0"0"16,0-1 4,0 1 8,0 0-12,0 0-24,0-1 4,0 0-12,0 1 0,0 0 4,0-2-8,0 2 8,0-1-108,0 0 0</inkml:trace>
  <inkml:trace contextRef="#ctx0" brushRef="#br0" timeOffset="3403.22">1451 196 208,'-1'-1'-45,"0"-1"284,0 0 0,0 0 0,0 0 1,0 0-1,0 0 0,1-1 0,-1 1 0,1 0 1,-1 0-1,1-1 0,0 1 0,0 0 0,0-2-239,-41-44 884,31 41-880,0 1 1,0-1-1,0 2 1,0-1 0,-1 1-1,0 1 1,0 0-1,0 0 1,-1 1-1,-8 0-4,-24-4-93,-1 2 1,-11 2 92,-9-1-58,-372-32 63,261 31-219,157 5 154,6 1 34,0 1 0,0 0 0,0 1 0,0 0 0,-2 2 26,-53 10-103,-32-13 79,76-3 16,1 1 0,-1 1 0,1 1 1,-1 1-1,1 1 0,-2 2 8,24-6 0,0 1 0,-1-1 0,1 1-1,0 0 1,0-1 0,0 1 0,0 0 0,0 0 0,1 0 0,-1-1-1,0 1 1,0 0 0,0 0 0,1 0 0,-1 1 0,0-1 0,1 0-1,-1 0 1,1 0 0,0 0 0,-1 0 0,1 1 0,0-1 0,0 0-1,-1 0 1,1 1 0,0-1 0,0 0 0,1 0 0,-1 1-1,0-1 1,0 0 0,0 0 0,1 0 0,-1 1 0,1-1 0,-1 0-1,1 0 1,-1 0 0,1 0 0,2 6 24,-1-1 0,1 0 0,1-1 0,-1 1 0,1 0 0,3 3-24,12 11 38,1-2-1,1 0 1,0-1-1,1-1 1,22 11-38,39 19 285,5-3-285,-20-9 33,-7-7-4,0-1 1,2-4-1,1-2 1,50 8-30,269 34 75,-132-25 28,213 27 231,-385-56-256,98 9 764,67-5-842,-236-12 81,-1 0 0,1-1 0,0 0 0,0 0-1,-1 0 1,1-1 0,-1 0 0,1-1 0,-1 0 0,0 0-1,0 0 1,0-1 0,-1 0 0,2-1-81,-4 2 34,0-1 0,-1 0-1,1 0 1,-1 0 0,1 0 0,-1 0 0,0-1 0,-1 0-1,1 1 1,-1-1 0,0 0 0,0 0 0,-1 0-1,1-1 1,-1 1 0,0 0 0,-1-1 0,1 1 0,-1 0-1,0-4-33,-1 2 5,-1 0 0,1 1-1,-1-1 1,0 0 0,-1 1 0,0-1-1,0 1 1,0 0 0,-1 0 0,1 0-1,-1 1 1,-4-4-5,-4-7-34,-2 1 1,0 0-1,-13-10 34,-5 3-284,0 1 1,-2 1-1,0 2 0,-1 2 0,-1 1 0,-3 1 284,-43-20-57,41 16-2179,-1 2-1,-18-4 2237,42 16-642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6:49:26.04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1877 224 156,'16'-29'547,"-15"28"-537,-1 0 0,0 1 1,0-1-1,1 0 0,-1 0 0,0 1 1,0-1-1,0 0 0,0 1 0,0-1 1,0 0-1,0 0 0,0 1 0,0-1 1,-1 0-1,1 0 0,0 1 0,0-1 0,-1 0 1,1 1-1,0-1 0,-1 0 0,1 1 1,-1-1-1,1 1 0,0-1 0,-2 1 1,2-1-1,-1 1 0,0-1 0,1 1 1,-1-1-1,1 1 0,-1 0 0,0-1 1,1 1-1,-1 0 0,0-1-10,-42-12 4,1 1 0,-2 2 0,-1 2 0,0 2 0,-6 1-4,-58-9 7,-192-29 61,-39 11-68,281 29-13,1 3-1,-2 3 0,1 2 0,-35 8 14,-43 8-8,79-15-12,-1 4 1,1 2-1,1 2 0,-16 9 20,66-21-4,1 0 0,0 1 0,0 0 0,0 1 0,0-1 0,0 1-1,1 0 1,-1 1 0,1-1 0,1 1 0,-1 0 0,0 1 0,0 1 4,3-4 1,0 0 0,1 0 1,0 0-1,0 0 0,0 0 0,0 1 1,0-1-1,0 0 0,1 0 1,0 1-1,0-1 0,0 0 1,0 1-1,0-1 0,0 0 1,1 1-1,0-1 0,0 0 1,0 0-1,0 0 0,0 1 1,0-1-1,1-1 0,0 1 1,-1 0-1,1 0 0,2 1-1,5 8 8,1-1-1,1-1 1,0 0-1,0 0 1,1-1-1,0 0 0,0-1 1,1-1-1,0 0 1,1-1-1,-1 0 0,14 3-7,29 9 32,1-4 0,36 5-32,-69-14 16,673 102 385,5-32-164,-185-44 370,161-25-607,-491-6 168,-172 0 7,1-1 1,-1 0-1,0-1 1,0-1 0,0-1-1,0 1 1,-1-2-1,1 0 1,-1-1-1,0-1 1,8-5-176,-21 11 9,1 0-1,-1 0 1,1 0 0,-1-1 0,0 1 0,1 0-1,-1-1 1,0 1 0,0-1 0,0 0 0,0 1 0,0-1-1,0 0 1,-1 0 0,1 1 0,0-1 0,-1 0-1,1 0 1,-1 0 0,0 0 0,0 0 0,0 1-1,0-1 1,0 0 0,0 0 0,0 0 0,-1 0 0,1 0-1,-1 0 1,1 1 0,-1-1 0,0 0 0,1 0-1,-1 1 1,0-1 0,0 0 0,-1 1 0,1-1-1,0 1 1,0 0 0,-1-1 0,1 1 0,-1-1-9,-9-8-23,0 1 0,0 0 0,-1 0 0,0 1 0,-5-2 23,10 6 47,-94-53-42,-2 5-1,-3 5 1,-2 4-1,-1 5 1,-48-8-5,-109-23 77,-73-2-77,162 43-1486,0 8 1,-86 5 1485,152 14-1373,77 1 1046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9:27:50.12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835 55 184,'0'0'13,"0"0"7,0 0 10,0 0 14,0 0-2,0 0 5,0 0 1,0 0 1,0 0 1,0 0-2,0 0-2,0-17 848,-1 16-895,1 0 1,-1 0-1,1 0 1,-1 0-1,1 0 1,-1 0-1,0 0 1,1 0-1,-1 0 0,0 1 1,0-1-1,0 0 1,0 0-1,0 1 1,1-1-1,-1 1 1,0-1-1,0 1 1,-1-1-1,1 1 1,0 0-1,0-1 0,0 1 1,0 0 0,-34-9-16,26 7 15,-13-2 40,-1 1 0,0 1 0,0 1 0,-1 1 0,-5 2-39,-22-1-7,26 1 79,0 0 0,-21 6-72,-7 1 165,12-5-124,1 3-1,0 1 0,-12 5-40,38-8 1,1 0 0,-1 1-1,1 0 1,0 1 0,1 0-1,0 1 1,0 1 0,1 0-1,0 0 1,0 1 0,0 2-1,1-1 14,0 1 0,0 0 0,1 1 0,1 0 1,0 1-1,1-1 0,1 2 0,0-1 0,-2 8-14,2 3 41,0 1 1,2 0-1,1 0 0,1 0 0,1 6-41,0-17 25,1-1 1,0 0-1,0 0 0,2 1 1,0-1-1,0 0 0,1 0 0,1 0 1,0-1-1,6 12-25,17 35 84,2-2 0,3-2 1,2-1-1,3-1 0,2-2 0,8 6-84,-36-48 20,0-1-1,1 0 1,-1-1-1,2-1 1,-1 1-1,1-2 1,0 0-1,0 0 1,1-2 0,0 1-1,0-2 1,0 0-1,14 2-19,29 1 269,1-3 1,52-3-270,-54 0 183,12-5 215,0-3 1,0-2 0,-1-4-1,42-14-398,-8 3 348,-88 21-258,0-1 0,0 0-1,-1 0 1,0-2 0,0 1 0,-1-2 0,1 1-1,-1-2 1,-1 1 0,0-1 0,0-1 0,-1 0 0,8-11-90,6-9 202,-2-1 0,-1-1 0,-2-1 1,7-17-203,-18 33 14,-1 0 0,-1-1 0,-1 1 1,0-1-1,-1 1 0,-1-1 0,-1 0 1,0 0-1,-2-12-14,0 23-2,0-1 1,-1 1 0,0-1-1,0 1 1,-1 0 0,1 0 0,-2 0-1,1 0 1,-4-5 1,-40-59-26,31 51 16,-1 2 1,-1 0-1,-1 0 0,-1 2 1,0 1-1,-1 0 1,0 1-1,-1 2 0,-1 0 1,0 1-1,0 1 1,-1 2 9,-22-8-16,0 3 0,-1 1 0,0 3 0,-1 2 0,-44-2 16,-123 7-3742,136 2 639,57 1 2575,0 4 157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9:27:52.67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1275 195 368,'0'0'28,"0"0"38,0 0 37,0 0 27,0 0 19,0-49 3177,-1 46-3301,-1-1 0,1 1 0,-1 0-1,1-1 1,-1 1 0,0 0 0,0 0 0,0 0 0,-1 0 0,1 0 0,-1 1 0,0-1 0,1 1 0,-1 0 0,0 0 0,0 0 0,-1 0 0,1 0 0,0 0 0,-1 1 0,-1-1-25,-82-33-39,86 34 42,-38-10 20,0 1-1,-1 1 0,-1 3 0,-30-1-22,-166 1-21,205 6 5,12 2 22,1 2 1,0 0 0,0 1-1,0 1 1,1 0-1,-3 3-6,3-2 13,-22 7-19,0 3 0,1 1 1,1 2-1,1 1 1,-9 8 5,29-16 4,1 0 1,0 1-1,1 0 1,0 1-1,2 1 1,-1 0 0,2 1-1,0 0 1,1 1-1,1 1 1,-6 15-5,3 0 3,0 2 1,3 0-1,1 0 0,2 1 1,1 2-4,-2 32 80,4 0-1,3 13-79,2-64 36,1-1-1,1 1 1,0 0-1,2-1 0,5 15-35,37 93 336,-39-110-280,0 1 1,2-1 0,-1-1 0,2 0 0,0 0 0,1-1 0,1 0 0,0-1 0,1-1 0,1 0 0,0-1 0,0 0 0,1-1 0,0-1 0,1-1 0,1 0 0,-1-1 0,1-1 0,5 1-57,28 6 167,-1-3 1,2-1-1,-1-2 1,1-3 0,0-2-1,29-4-167,-57 2 90,1-1-1,-1-2 1,0 0 0,0-2-1,-1 0 1,1-2-1,10-4-89,43-19 277,0-4-1,-2-2 0,-2-4 0,44-33-276,-94 56 121,-1-2 1,-1-1-1,0-1 0,-2 0 1,0-2-1,-1 0 0,-2-1 1,7-11-122,-5 4 91,-1-1 0,-2-1 0,-1 0 0,-1-1 0,-2 0 1,4-22-92,-9 19 106,-2-1 1,-1 0 0,-2 0-1,-2-13-106,1 11 45,-2 32-31,0 0 1,0 1-1,0-1 0,-1 1 1,0 0-1,0-1 0,0 2 1,-5-6-15,-6-13 28,4 5-29,-2 1-1,-1 1 0,0 0 0,-1 1 1,0 0-1,-2 1 0,1 1 1,-2 0-1,-13-8 2,-34-20-37,-2 2 0,-3 2 37,69 38 0,-30-15-586,1 2-1,-1 1 0,-1 2 1,0 1-1,-23-4 587,1 4-2570,-1 2 0,1 2-1,-4 3 2571,31 1-475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31T15:09:21.67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262 98 148,'-2'-2'40,"0"1"-1,-1-1 1,1 1-1,-1 0 1,1 0-1,-1 0 1,0 0-1,1 0 1,-1 0-1,0 1 1,1-1-1,-1 1 1,0 0-1,0 0 1,0 0 0,1 0-1,-1 0 1,0 1-1,0-1 1,1 1-1,-1 0 1,0 0-1,0 0-39,-70 24-147,71-24 160,-6 2-21,1 1-1,-1 0 0,1 0 1,0 1-1,0 0 0,0 0 1,0 1-1,1 0 0,0 0 1,1 0-1,-1 1 0,1 0 1,0 0-1,1 0 0,-1 1 0,2-1 1,-1 1-1,1 0 0,0 0 1,1 1-1,0-1 0,0 0 1,0 1-1,1-1 0,1 1 1,0-1-1,0 1 0,0-1 1,1 1-1,0-1 0,1 1 1,0-1-1,0 0 0,1 1 1,0-1-1,0-1 0,1 1 0,0 0 1,0-1-1,1 0 0,0 0 1,0 0-1,2 1 9,12 9 4,1 0 1,0-1-1,1-1 1,1-1-1,1 0 0,-1-2 1,2-1-1,0-1 1,0-1-1,1-1 0,18 3-4,47 8 119,0-5 1,66 2-120,-34-4 148,-38-2 54,38 5 223,40-4-425,-125-10 285,-1-2 0,1-1 0,0-2 1,0-2-1,-1-1 0,21-7-285,-52 12 43,-1 1-1,1-1 1,0 0-1,-1 0 1,1 0 0,-1-1-1,1 0 1,-1 0-1,0 0 1,0 0 0,0 0-1,-1-1 1,1 0-1,-1 1 1,0-1 0,0-1-1,0 1 1,-1 0-1,0-1 1,1 1 0,-1-1-1,-1 0 1,1 0-1,-1 0 1,0 0 0,0 0-1,0 0 1,-1 0-1,1 0 1,-1 0 0,-1 0-1,0-5-42,0-2-123,-2 0 0,0 0-1,0 0 1,-1 0 0,-1 0 0,0 1-1,0-1 1,-1 2 0,0-1 0,-1 0-1,-1 1 1,-7-9 123,-10-6-266,-1 2-1,-1 0 1,-1 2-1,-1 0 1,0 2-1,-2 2 1,0 1 0,-16-6 266,-64-22-508,-95-24 508,164 54-97,-69-19-165,58 17 141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30T09:57:2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262 98 148,'-2'-2'40,"0"1"-1,-1-1 1,1 1-1,-1 0 1,1 0-1,-1 0 1,0 0-1,1 0 1,-1 0-1,0 1 1,1-1-1,-1 1 1,0 0-1,0 0 1,0 0 0,1 0-1,-1 0 1,0 1-1,0-1 1,1 1-1,-1 0 1,0 0-1,0 0-39,-70 24-147,71-24 160,-6 2-21,1 1-1,-1 0 0,1 0 1,0 1-1,0 0 0,0 0 1,0 1-1,1 0 0,0 0 1,1 0-1,-1 1 0,1 0 1,0 0-1,1 0 0,-1 1 0,2-1 1,-1 1-1,1 0 0,0 0 1,1 1-1,0-1 0,0 0 1,0 1-1,1-1 0,1 1 1,0-1-1,0 1 0,0-1 1,1 1-1,0-1 0,1 1 1,0-1-1,0 0 0,1 1 1,0-1-1,0-1 0,1 1 0,0 0 1,0-1-1,1 0 0,0 0 1,0 0-1,2 1 9,12 9 4,1 0 1,0-1-1,1-1 1,1-1-1,1 0 0,-1-2 1,2-1-1,0-1 1,0-1-1,1-1 0,18 3-4,47 8 119,0-5 1,66 2-120,-34-4 148,-38-2 54,38 5 223,40-4-425,-125-10 285,-1-2 0,1-1 0,0-2 1,0-2-1,-1-1 0,21-7-285,-52 12 43,-1 1-1,1-1 1,0 0-1,-1 0 1,1 0 0,-1-1-1,1 0 1,-1 0-1,0 0 1,0 0 0,0 0-1,-1-1 1,1 0-1,-1 1 1,0-1 0,0-1-1,0 1 1,-1 0-1,0-1 1,1 1 0,-1-1-1,-1 0 1,1 0-1,-1 0 1,0 0 0,0 0-1,0 0 1,-1 0-1,1 0 1,-1 0 0,-1 0-1,0-5-42,0-2-123,-2 0 0,0 0-1,0 0 1,-1 0 0,-1 0 0,0 1-1,0-1 1,-1 2 0,0-1 0,-1 0-1,-1 1 1,-7-9 123,-10-6-266,-1 2-1,-1 0 1,-1 2-1,-1 0 1,0 2-1,-2 2 1,0 1 0,-16-6 266,-64-22-508,-95-24 508,164 54-97,-69-19-165,58 17 141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07:03:54.36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262 98 148,'-2'-2'40,"0"1"-1,-1-1 1,1 1-1,-1 0 1,1 0-1,-1 0 1,0 0-1,1 0 1,-1 0-1,0 1 1,1-1-1,-1 1 1,0 0-1,0 0 1,0 0 0,1 0-1,-1 0 1,0 1-1,0-1 1,1 1-1,-1 0 1,0 0-1,0 0-39,-70 24-147,71-24 160,-6 2-21,1 1-1,-1 0 0,1 0 1,0 1-1,0 0 0,0 0 1,0 1-1,1 0 0,0 0 1,1 0-1,-1 1 0,1 0 1,0 0-1,1 0 0,-1 1 0,2-1 1,-1 1-1,1 0 0,0 0 1,1 1-1,0-1 0,0 0 1,0 1-1,1-1 0,1 1 1,0-1-1,0 1 0,0-1 1,1 1-1,0-1 0,1 1 1,0-1-1,0 0 0,1 1 1,0-1-1,0-1 0,1 1 0,0 0 1,0-1-1,1 0 0,0 0 1,0 0-1,2 1 9,12 9 4,1 0 1,0-1-1,1-1 1,1-1-1,1 0 0,-1-2 1,2-1-1,0-1 1,0-1-1,1-1 0,18 3-4,47 8 119,0-5 1,66 2-120,-34-4 148,-38-2 54,38 5 223,40-4-425,-125-10 285,-1-2 0,1-1 0,0-2 1,0-2-1,-1-1 0,21-7-285,-52 12 43,-1 1-1,1-1 1,0 0-1,-1 0 1,1 0 0,-1-1-1,1 0 1,-1 0-1,0 0 1,0 0 0,0 0-1,-1-1 1,1 0-1,-1 1 1,0-1 0,0-1-1,0 1 1,-1 0-1,0-1 1,1 1 0,-1-1-1,-1 0 1,1 0-1,-1 0 1,0 0 0,0 0-1,0 0 1,-1 0-1,1 0 1,-1 0 0,-1 0-1,0-5-42,0-2-123,-2 0 0,0 0-1,0 0 1,-1 0 0,-1 0 0,0 1-1,0-1 1,-1 2 0,0-1 0,-1 0-1,-1 1 1,-7-9 123,-10-6-266,-1 2-1,-1 0 1,-1 2-1,-1 0 1,0 2-1,-2 2 1,0 1 0,-16-6 266,-64-22-508,-95-24 508,164 54-97,-69-19-165,58 17 141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thewallstreetschool.com" TargetMode="External"/><Relationship Id="rId1" Type="http://schemas.openxmlformats.org/officeDocument/2006/relationships/hyperlink" Target="http://www.thewallstreetschool.com/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8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26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6.bin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2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28.xml"/><Relationship Id="rId5" Type="http://schemas.openxmlformats.org/officeDocument/2006/relationships/ctrlProp" Target="../ctrlProps/ctrlProp14.xml"/><Relationship Id="rId4" Type="http://schemas.openxmlformats.org/officeDocument/2006/relationships/ctrlProp" Target="../ctrlProps/ctrlProp13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29.xml"/><Relationship Id="rId6" Type="http://schemas.openxmlformats.org/officeDocument/2006/relationships/ctrlProp" Target="../ctrlProps/ctrlProp18.xml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1"/>
  </sheetPr>
  <dimension ref="B3:J10"/>
  <sheetViews>
    <sheetView showGridLines="0" workbookViewId="0">
      <pane xSplit="1" ySplit="3" topLeftCell="B4" activePane="bottomRight" state="frozen"/>
      <selection sqref="A1:XFD1048576"/>
      <selection pane="topRight" sqref="A1:XFD1048576"/>
      <selection pane="bottomLeft" sqref="A1:XFD1048576"/>
      <selection pane="bottomRight" activeCell="D8" sqref="D8"/>
    </sheetView>
  </sheetViews>
  <sheetFormatPr defaultColWidth="9.140625" defaultRowHeight="15"/>
  <cols>
    <col min="1" max="1" width="9.140625" style="373"/>
    <col min="2" max="2" width="10" style="373" bestFit="1" customWidth="1"/>
    <col min="3" max="16384" width="9.140625" style="373"/>
  </cols>
  <sheetData>
    <row r="3" spans="2:10">
      <c r="B3" s="268"/>
    </row>
    <row r="4" spans="2:10">
      <c r="B4" s="268"/>
      <c r="C4" s="376"/>
      <c r="D4" s="376"/>
      <c r="E4" s="376"/>
      <c r="F4" s="376"/>
      <c r="G4" s="376"/>
    </row>
    <row r="5" spans="2:10" ht="32.25" customHeight="1">
      <c r="B5" s="377" t="s">
        <v>3488</v>
      </c>
      <c r="C5" s="378"/>
      <c r="D5" s="378"/>
      <c r="E5" s="378"/>
      <c r="F5" s="378"/>
      <c r="G5" s="378"/>
      <c r="H5" s="379"/>
      <c r="I5" s="379"/>
      <c r="J5" s="379"/>
    </row>
    <row r="6" spans="2:10" s="381" customFormat="1"/>
    <row r="7" spans="2:10" s="381" customFormat="1" ht="33.75">
      <c r="C7" s="382"/>
    </row>
    <row r="8" spans="2:10">
      <c r="B8" s="380" t="s">
        <v>7</v>
      </c>
    </row>
    <row r="9" spans="2:10">
      <c r="B9" s="380" t="s">
        <v>8</v>
      </c>
    </row>
    <row r="10" spans="2:10">
      <c r="B10" s="373" t="s">
        <v>3764</v>
      </c>
    </row>
  </sheetData>
  <hyperlinks>
    <hyperlink ref="B9" r:id="rId1" xr:uid="{00000000-0004-0000-0100-000000000000}"/>
    <hyperlink ref="B8" r:id="rId2" xr:uid="{00000000-0004-0000-0100-000001000000}"/>
  </hyperlinks>
  <pageMargins left="0.7" right="0.7" top="0.75" bottom="0.75" header="0.3" footer="0.3"/>
  <pageSetup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4427-1816-4B5B-99E1-81423C0D36ED}">
  <sheetPr codeName="Sheet5"/>
  <dimension ref="D8:R8"/>
  <sheetViews>
    <sheetView workbookViewId="0">
      <selection activeCell="K13" sqref="K13"/>
    </sheetView>
  </sheetViews>
  <sheetFormatPr defaultColWidth="9.140625" defaultRowHeight="15"/>
  <cols>
    <col min="1" max="16384" width="9.140625" style="372"/>
  </cols>
  <sheetData>
    <row r="8" spans="4:18" ht="127.5">
      <c r="D8" s="374" t="s">
        <v>3956</v>
      </c>
      <c r="E8" s="375"/>
      <c r="F8" s="375"/>
      <c r="G8" s="375"/>
      <c r="H8" s="375"/>
      <c r="I8" s="375"/>
      <c r="J8" s="375"/>
      <c r="K8" s="375"/>
      <c r="L8" s="375"/>
      <c r="M8" s="375"/>
      <c r="N8" s="425"/>
      <c r="O8" s="425"/>
      <c r="P8" s="425"/>
      <c r="Q8" s="425"/>
      <c r="R8" s="4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E197-E1EF-48AF-942C-F5B9100001A7}">
  <sheetPr codeName="Sheet4"/>
  <dimension ref="C3:I48"/>
  <sheetViews>
    <sheetView zoomScale="121" workbookViewId="0">
      <selection activeCell="G17" sqref="G17"/>
    </sheetView>
  </sheetViews>
  <sheetFormatPr defaultRowHeight="15"/>
  <cols>
    <col min="4" max="4" width="15.28515625" customWidth="1"/>
    <col min="8" max="8" width="9.7109375" bestFit="1" customWidth="1"/>
    <col min="13" max="13" width="15.5703125" bestFit="1" customWidth="1"/>
    <col min="14" max="14" width="0" hidden="1" customWidth="1"/>
  </cols>
  <sheetData>
    <row r="3" spans="3:9">
      <c r="C3">
        <v>1</v>
      </c>
      <c r="D3" t="s">
        <v>3963</v>
      </c>
      <c r="H3" t="s">
        <v>3964</v>
      </c>
      <c r="I3" t="s">
        <v>3965</v>
      </c>
    </row>
    <row r="4" spans="3:9">
      <c r="C4">
        <v>2</v>
      </c>
      <c r="D4" t="s">
        <v>3966</v>
      </c>
    </row>
    <row r="5" spans="3:9">
      <c r="C5">
        <v>3</v>
      </c>
      <c r="D5" t="s">
        <v>3967</v>
      </c>
    </row>
    <row r="6" spans="3:9">
      <c r="E6" t="s">
        <v>3968</v>
      </c>
    </row>
    <row r="7" spans="3:9">
      <c r="C7">
        <v>4</v>
      </c>
      <c r="D7" t="s">
        <v>3969</v>
      </c>
    </row>
    <row r="8" spans="3:9">
      <c r="C8">
        <v>5</v>
      </c>
      <c r="D8" t="s">
        <v>3970</v>
      </c>
    </row>
    <row r="9" spans="3:9">
      <c r="C9">
        <v>6</v>
      </c>
      <c r="D9" t="s">
        <v>3971</v>
      </c>
    </row>
    <row r="10" spans="3:9">
      <c r="C10">
        <v>7</v>
      </c>
      <c r="D10" t="s">
        <v>3972</v>
      </c>
    </row>
    <row r="11" spans="3:9">
      <c r="C11">
        <v>8</v>
      </c>
      <c r="D11" t="s">
        <v>3973</v>
      </c>
    </row>
    <row r="12" spans="3:9">
      <c r="C12">
        <v>9</v>
      </c>
      <c r="D12" t="s">
        <v>3974</v>
      </c>
    </row>
    <row r="13" spans="3:9">
      <c r="C13">
        <v>10</v>
      </c>
      <c r="D13" t="s">
        <v>3975</v>
      </c>
    </row>
    <row r="14" spans="3:9">
      <c r="C14">
        <v>11</v>
      </c>
      <c r="D14" t="s">
        <v>3976</v>
      </c>
      <c r="H14" t="s">
        <v>3977</v>
      </c>
    </row>
    <row r="15" spans="3:9">
      <c r="C15">
        <v>12</v>
      </c>
      <c r="D15" t="s">
        <v>3978</v>
      </c>
      <c r="H15" t="s">
        <v>3979</v>
      </c>
    </row>
    <row r="16" spans="3:9">
      <c r="C16">
        <v>13</v>
      </c>
      <c r="D16" t="s">
        <v>3980</v>
      </c>
      <c r="H16" t="s">
        <v>3981</v>
      </c>
    </row>
    <row r="17" spans="3:8">
      <c r="C17">
        <v>14</v>
      </c>
      <c r="D17" t="s">
        <v>3982</v>
      </c>
      <c r="H17" t="s">
        <v>3983</v>
      </c>
    </row>
    <row r="18" spans="3:8">
      <c r="C18">
        <v>15</v>
      </c>
      <c r="D18" t="s">
        <v>3984</v>
      </c>
      <c r="H18" t="s">
        <v>3985</v>
      </c>
    </row>
    <row r="19" spans="3:8">
      <c r="C19">
        <v>16</v>
      </c>
      <c r="D19" t="s">
        <v>3986</v>
      </c>
      <c r="H19" t="s">
        <v>3987</v>
      </c>
    </row>
    <row r="20" spans="3:8">
      <c r="C20">
        <v>17</v>
      </c>
      <c r="D20" t="s">
        <v>3988</v>
      </c>
      <c r="H20" t="s">
        <v>3989</v>
      </c>
    </row>
    <row r="21" spans="3:8">
      <c r="C21">
        <v>18</v>
      </c>
      <c r="D21" t="s">
        <v>3990</v>
      </c>
      <c r="H21" t="s">
        <v>3991</v>
      </c>
    </row>
    <row r="22" spans="3:8">
      <c r="C22">
        <v>19</v>
      </c>
      <c r="D22" t="s">
        <v>3992</v>
      </c>
      <c r="H22" t="s">
        <v>3993</v>
      </c>
    </row>
    <row r="23" spans="3:8">
      <c r="C23">
        <v>20</v>
      </c>
      <c r="D23" t="s">
        <v>3994</v>
      </c>
    </row>
    <row r="24" spans="3:8">
      <c r="C24">
        <v>21</v>
      </c>
      <c r="D24" t="s">
        <v>3995</v>
      </c>
    </row>
    <row r="25" spans="3:8">
      <c r="C25">
        <v>22</v>
      </c>
      <c r="D25" t="s">
        <v>3996</v>
      </c>
      <c r="H25" t="s">
        <v>3997</v>
      </c>
    </row>
    <row r="26" spans="3:8">
      <c r="C26">
        <v>23</v>
      </c>
      <c r="D26" t="s">
        <v>3998</v>
      </c>
      <c r="H26" t="s">
        <v>3999</v>
      </c>
    </row>
    <row r="27" spans="3:8">
      <c r="C27">
        <v>24</v>
      </c>
      <c r="D27" t="s">
        <v>4000</v>
      </c>
      <c r="H27" t="s">
        <v>4001</v>
      </c>
    </row>
    <row r="28" spans="3:8">
      <c r="C28">
        <v>25</v>
      </c>
      <c r="D28" t="s">
        <v>4002</v>
      </c>
      <c r="H28" t="s">
        <v>4003</v>
      </c>
    </row>
    <row r="29" spans="3:8">
      <c r="C29">
        <v>26</v>
      </c>
      <c r="D29" t="s">
        <v>3858</v>
      </c>
      <c r="E29" t="s">
        <v>4004</v>
      </c>
    </row>
    <row r="30" spans="3:8">
      <c r="C30">
        <v>27</v>
      </c>
      <c r="D30" t="s">
        <v>4005</v>
      </c>
      <c r="H30" t="s">
        <v>4006</v>
      </c>
    </row>
    <row r="31" spans="3:8">
      <c r="C31">
        <v>28</v>
      </c>
      <c r="D31" t="s">
        <v>4007</v>
      </c>
      <c r="F31" t="s">
        <v>4008</v>
      </c>
    </row>
    <row r="32" spans="3:8">
      <c r="C32">
        <v>29</v>
      </c>
      <c r="D32" t="s">
        <v>4009</v>
      </c>
    </row>
    <row r="33" spans="3:9">
      <c r="C33">
        <v>30</v>
      </c>
      <c r="D33" t="s">
        <v>4010</v>
      </c>
    </row>
    <row r="34" spans="3:9">
      <c r="C34">
        <v>31</v>
      </c>
      <c r="D34" t="s">
        <v>4011</v>
      </c>
    </row>
    <row r="35" spans="3:9">
      <c r="C35">
        <v>32</v>
      </c>
      <c r="D35" t="s">
        <v>4012</v>
      </c>
    </row>
    <row r="36" spans="3:9">
      <c r="C36">
        <v>33</v>
      </c>
      <c r="D36" t="s">
        <v>4013</v>
      </c>
      <c r="E36" t="s">
        <v>4014</v>
      </c>
      <c r="F36" t="s">
        <v>4015</v>
      </c>
      <c r="G36" t="s">
        <v>4016</v>
      </c>
      <c r="H36" t="s">
        <v>976</v>
      </c>
      <c r="I36" t="s">
        <v>4017</v>
      </c>
    </row>
    <row r="37" spans="3:9">
      <c r="C37">
        <v>34</v>
      </c>
      <c r="D37" t="s">
        <v>4018</v>
      </c>
    </row>
    <row r="38" spans="3:9">
      <c r="C38">
        <v>35</v>
      </c>
      <c r="D38" t="s">
        <v>4019</v>
      </c>
    </row>
    <row r="39" spans="3:9">
      <c r="C39">
        <v>36</v>
      </c>
      <c r="D39" t="s">
        <v>4020</v>
      </c>
    </row>
    <row r="40" spans="3:9">
      <c r="C40">
        <v>37</v>
      </c>
      <c r="D40" t="s">
        <v>4021</v>
      </c>
    </row>
    <row r="41" spans="3:9">
      <c r="C41">
        <v>38</v>
      </c>
      <c r="D41" t="s">
        <v>4022</v>
      </c>
    </row>
    <row r="42" spans="3:9">
      <c r="C42">
        <v>39</v>
      </c>
      <c r="D42" t="s">
        <v>4023</v>
      </c>
      <c r="E42" t="s">
        <v>4024</v>
      </c>
    </row>
    <row r="43" spans="3:9">
      <c r="C43">
        <v>40</v>
      </c>
      <c r="D43" t="s">
        <v>357</v>
      </c>
      <c r="E43" t="s">
        <v>4025</v>
      </c>
      <c r="F43" t="s">
        <v>4026</v>
      </c>
      <c r="G43" t="s">
        <v>4027</v>
      </c>
    </row>
    <row r="44" spans="3:9">
      <c r="C44">
        <v>41</v>
      </c>
      <c r="D44" t="s">
        <v>4028</v>
      </c>
    </row>
    <row r="45" spans="3:9">
      <c r="C45">
        <v>42</v>
      </c>
      <c r="D45" t="s">
        <v>4029</v>
      </c>
    </row>
    <row r="46" spans="3:9">
      <c r="C46">
        <v>43</v>
      </c>
      <c r="D46" t="s">
        <v>4030</v>
      </c>
    </row>
    <row r="47" spans="3:9">
      <c r="C47">
        <v>44</v>
      </c>
      <c r="D47" t="s">
        <v>4031</v>
      </c>
    </row>
    <row r="48" spans="3:9">
      <c r="C48">
        <v>45</v>
      </c>
      <c r="D48" t="s">
        <v>4032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9963-7844-439C-AFE8-9B6BEDD10BB4}">
  <sheetPr codeName="Sheet10">
    <tabColor theme="0" tint="-0.34998626667073579"/>
  </sheetPr>
  <dimension ref="A1:N66"/>
  <sheetViews>
    <sheetView showGridLines="0" zoomScaleNormal="100" workbookViewId="0">
      <pane xSplit="1" ySplit="10" topLeftCell="B58" activePane="bottomRight" state="frozen"/>
      <selection pane="topRight"/>
      <selection pane="bottomLeft"/>
      <selection pane="bottomRight" activeCell="D7" sqref="D7"/>
    </sheetView>
  </sheetViews>
  <sheetFormatPr defaultColWidth="9.140625" defaultRowHeight="12.75"/>
  <cols>
    <col min="1" max="2" width="6.85546875" style="388" customWidth="1"/>
    <col min="3" max="3" width="16.85546875" style="388" customWidth="1"/>
    <col min="4" max="4" width="25.140625" style="388" bestFit="1" customWidth="1"/>
    <col min="5" max="14" width="13.85546875" style="388" customWidth="1"/>
    <col min="15" max="16384" width="9.140625" style="388"/>
  </cols>
  <sheetData>
    <row r="1" spans="1:14">
      <c r="A1" s="387"/>
      <c r="B1" s="387"/>
    </row>
    <row r="2" spans="1:14" ht="18" customHeight="1">
      <c r="A2" s="389"/>
      <c r="B2" s="389"/>
    </row>
    <row r="3" spans="1:14" s="389" customFormat="1" ht="25.5" customHeight="1">
      <c r="C3" s="395" t="s">
        <v>9</v>
      </c>
      <c r="D3" s="393" t="s">
        <v>10</v>
      </c>
      <c r="E3" s="393" t="s">
        <v>11</v>
      </c>
      <c r="F3" s="393" t="s">
        <v>12</v>
      </c>
      <c r="G3" s="393" t="s">
        <v>13</v>
      </c>
      <c r="H3" s="393" t="s">
        <v>14</v>
      </c>
      <c r="I3" s="393" t="s">
        <v>15</v>
      </c>
      <c r="J3" s="393" t="s">
        <v>16</v>
      </c>
      <c r="K3" s="393" t="s">
        <v>17</v>
      </c>
      <c r="L3" s="393" t="s">
        <v>18</v>
      </c>
      <c r="M3" s="394" t="s">
        <v>19</v>
      </c>
      <c r="N3" s="394" t="s">
        <v>20</v>
      </c>
    </row>
    <row r="4" spans="1:14" s="390" customFormat="1" ht="26.25" customHeight="1">
      <c r="A4" s="397"/>
      <c r="C4" s="392" t="s">
        <v>21</v>
      </c>
      <c r="D4" s="396" t="s">
        <v>22</v>
      </c>
      <c r="E4" s="396" t="s">
        <v>23</v>
      </c>
      <c r="F4" s="396" t="s">
        <v>24</v>
      </c>
      <c r="G4" s="396" t="s">
        <v>25</v>
      </c>
      <c r="H4" s="396" t="s">
        <v>26</v>
      </c>
      <c r="I4" s="396"/>
      <c r="J4" s="396"/>
      <c r="K4" s="396"/>
      <c r="L4" s="396"/>
      <c r="M4" s="396"/>
      <c r="N4" s="396"/>
    </row>
    <row r="5" spans="1:14" s="390" customFormat="1" ht="26.25" customHeight="1">
      <c r="C5" s="392" t="s">
        <v>27</v>
      </c>
      <c r="D5" s="396" t="s">
        <v>28</v>
      </c>
      <c r="E5" s="396" t="s">
        <v>29</v>
      </c>
      <c r="F5" s="396" t="s">
        <v>30</v>
      </c>
      <c r="G5" s="396" t="s">
        <v>31</v>
      </c>
      <c r="H5" s="396" t="s">
        <v>32</v>
      </c>
      <c r="I5" s="396" t="s">
        <v>33</v>
      </c>
      <c r="J5" s="396" t="s">
        <v>34</v>
      </c>
      <c r="K5" s="396" t="s">
        <v>35</v>
      </c>
      <c r="L5" s="396" t="s">
        <v>36</v>
      </c>
      <c r="M5" s="391"/>
      <c r="N5" s="396" t="s">
        <v>38</v>
      </c>
    </row>
    <row r="6" spans="1:14" s="390" customFormat="1" ht="26.25" customHeight="1">
      <c r="C6" s="392" t="s">
        <v>39</v>
      </c>
      <c r="D6" s="396"/>
      <c r="E6" s="396"/>
      <c r="F6" s="396"/>
      <c r="G6" s="396" t="s">
        <v>40</v>
      </c>
      <c r="H6" s="396"/>
      <c r="I6" s="396"/>
      <c r="J6" s="396"/>
      <c r="K6" s="396" t="s">
        <v>41</v>
      </c>
      <c r="L6" s="396" t="s">
        <v>42</v>
      </c>
      <c r="M6" s="396"/>
      <c r="N6" s="396"/>
    </row>
    <row r="7" spans="1:14" s="390" customFormat="1" ht="26.25" customHeight="1">
      <c r="C7" s="392" t="s">
        <v>43</v>
      </c>
      <c r="D7" s="396"/>
      <c r="E7" s="396"/>
      <c r="F7" s="396"/>
      <c r="G7" s="396"/>
      <c r="H7" s="396"/>
      <c r="I7" s="396"/>
      <c r="J7" s="396"/>
      <c r="K7" s="396"/>
      <c r="L7" s="396"/>
      <c r="M7" s="396" t="s">
        <v>37</v>
      </c>
      <c r="N7" s="396"/>
    </row>
    <row r="8" spans="1:14" s="390" customFormat="1"/>
    <row r="9" spans="1:14" s="390" customFormat="1"/>
    <row r="10" spans="1:14" s="390" customFormat="1" ht="25.5">
      <c r="C10" s="398" t="s">
        <v>3765</v>
      </c>
      <c r="D10" s="398" t="s">
        <v>3766</v>
      </c>
      <c r="E10" s="398" t="s">
        <v>432</v>
      </c>
      <c r="F10" s="398" t="s">
        <v>3767</v>
      </c>
      <c r="G10" s="398" t="s">
        <v>3768</v>
      </c>
      <c r="H10" s="398" t="s">
        <v>3769</v>
      </c>
      <c r="I10" s="398" t="s">
        <v>3770</v>
      </c>
      <c r="J10" s="398" t="s">
        <v>3771</v>
      </c>
      <c r="K10" s="388"/>
    </row>
    <row r="11" spans="1:14" s="390" customFormat="1">
      <c r="C11" s="399" t="s">
        <v>3847</v>
      </c>
      <c r="D11" s="399" t="s">
        <v>3772</v>
      </c>
      <c r="E11" s="399" t="s">
        <v>446</v>
      </c>
      <c r="F11" s="400">
        <v>36160</v>
      </c>
      <c r="G11" s="400">
        <v>37620</v>
      </c>
      <c r="H11" s="401">
        <v>4</v>
      </c>
      <c r="I11" s="402">
        <v>770</v>
      </c>
      <c r="J11" s="403">
        <v>52000</v>
      </c>
    </row>
    <row r="12" spans="1:14" s="390" customFormat="1">
      <c r="C12" s="399" t="s">
        <v>3848</v>
      </c>
      <c r="D12" s="399" t="s">
        <v>3773</v>
      </c>
      <c r="E12" s="399" t="s">
        <v>93</v>
      </c>
      <c r="F12" s="400">
        <v>36068</v>
      </c>
      <c r="G12" s="400">
        <v>37528</v>
      </c>
      <c r="H12" s="401">
        <v>4</v>
      </c>
      <c r="I12" s="402">
        <v>770</v>
      </c>
      <c r="J12" s="403">
        <v>52000</v>
      </c>
      <c r="K12" s="388"/>
    </row>
    <row r="13" spans="1:14" s="390" customFormat="1">
      <c r="C13" s="399" t="s">
        <v>3774</v>
      </c>
      <c r="D13" s="399" t="s">
        <v>3775</v>
      </c>
      <c r="E13" s="399" t="s">
        <v>3776</v>
      </c>
      <c r="F13" s="400">
        <v>36160</v>
      </c>
      <c r="G13" s="400">
        <v>37620</v>
      </c>
      <c r="H13" s="401">
        <v>4</v>
      </c>
      <c r="I13" s="402">
        <v>1405</v>
      </c>
      <c r="J13" s="403">
        <v>95000</v>
      </c>
    </row>
    <row r="14" spans="1:14" s="390" customFormat="1">
      <c r="C14" s="399" t="s">
        <v>3777</v>
      </c>
      <c r="D14" s="399" t="s">
        <v>3778</v>
      </c>
      <c r="E14" s="399" t="s">
        <v>3776</v>
      </c>
      <c r="F14" s="400">
        <v>36219</v>
      </c>
      <c r="G14" s="400">
        <v>37679</v>
      </c>
      <c r="H14" s="401">
        <v>4</v>
      </c>
      <c r="I14" s="402">
        <v>1405</v>
      </c>
      <c r="J14" s="403">
        <v>95000</v>
      </c>
    </row>
    <row r="15" spans="1:14" s="390" customFormat="1">
      <c r="C15" s="399" t="s">
        <v>3779</v>
      </c>
      <c r="D15" s="399" t="s">
        <v>3780</v>
      </c>
      <c r="E15" s="399" t="s">
        <v>3776</v>
      </c>
      <c r="F15" s="400">
        <v>36219</v>
      </c>
      <c r="G15" s="400">
        <v>37679</v>
      </c>
      <c r="H15" s="401">
        <v>4</v>
      </c>
      <c r="I15" s="402">
        <v>1405</v>
      </c>
      <c r="J15" s="403">
        <v>95000</v>
      </c>
    </row>
    <row r="16" spans="1:14" s="390" customFormat="1">
      <c r="C16" s="399" t="s">
        <v>3781</v>
      </c>
      <c r="D16" s="399" t="s">
        <v>3782</v>
      </c>
      <c r="E16" s="399" t="s">
        <v>3783</v>
      </c>
      <c r="F16" s="400">
        <v>36160</v>
      </c>
      <c r="G16" s="400">
        <v>37620</v>
      </c>
      <c r="H16" s="401">
        <v>4</v>
      </c>
      <c r="I16" s="402">
        <v>960</v>
      </c>
      <c r="J16" s="403">
        <v>65000</v>
      </c>
    </row>
    <row r="17" spans="3:10" s="390" customFormat="1">
      <c r="C17" s="399" t="s">
        <v>3784</v>
      </c>
      <c r="D17" s="399" t="s">
        <v>3785</v>
      </c>
      <c r="E17" s="399" t="s">
        <v>76</v>
      </c>
      <c r="F17" s="400">
        <v>36280</v>
      </c>
      <c r="G17" s="400">
        <v>37740</v>
      </c>
      <c r="H17" s="401">
        <v>4</v>
      </c>
      <c r="I17" s="402">
        <v>665</v>
      </c>
      <c r="J17" s="403">
        <v>45000</v>
      </c>
    </row>
    <row r="18" spans="3:10" s="390" customFormat="1">
      <c r="C18" s="399" t="s">
        <v>3786</v>
      </c>
      <c r="D18" s="399" t="s">
        <v>3785</v>
      </c>
      <c r="E18" s="399" t="s">
        <v>76</v>
      </c>
      <c r="F18" s="400">
        <v>36250</v>
      </c>
      <c r="G18" s="400">
        <v>37710</v>
      </c>
      <c r="H18" s="401">
        <v>4</v>
      </c>
      <c r="I18" s="402">
        <v>665</v>
      </c>
      <c r="J18" s="403">
        <v>45000</v>
      </c>
    </row>
    <row r="19" spans="3:10" s="390" customFormat="1">
      <c r="C19" s="399" t="s">
        <v>3787</v>
      </c>
      <c r="D19" s="399"/>
      <c r="E19" s="399" t="s">
        <v>76</v>
      </c>
      <c r="F19" s="400">
        <v>36250</v>
      </c>
      <c r="G19" s="400">
        <v>37710</v>
      </c>
      <c r="H19" s="401">
        <v>4</v>
      </c>
      <c r="I19" s="402">
        <v>665</v>
      </c>
      <c r="J19" s="403">
        <v>45000</v>
      </c>
    </row>
    <row r="20" spans="3:10" s="390" customFormat="1">
      <c r="C20" s="399" t="s">
        <v>3788</v>
      </c>
      <c r="D20" s="399" t="s">
        <v>3785</v>
      </c>
      <c r="E20" s="399" t="s">
        <v>76</v>
      </c>
      <c r="F20" s="400">
        <v>36311</v>
      </c>
      <c r="G20" s="400">
        <v>37771</v>
      </c>
      <c r="H20" s="401">
        <v>4</v>
      </c>
      <c r="I20" s="402">
        <v>665</v>
      </c>
      <c r="J20" s="403">
        <v>45000</v>
      </c>
    </row>
    <row r="21" spans="3:10" s="390" customFormat="1">
      <c r="C21" s="399" t="s">
        <v>3789</v>
      </c>
      <c r="D21" s="399" t="s">
        <v>3790</v>
      </c>
      <c r="E21" s="399" t="s">
        <v>76</v>
      </c>
      <c r="F21" s="400">
        <v>36250</v>
      </c>
      <c r="G21" s="400">
        <v>37710</v>
      </c>
      <c r="H21" s="401">
        <v>4</v>
      </c>
      <c r="I21" s="402">
        <v>445</v>
      </c>
      <c r="J21" s="403">
        <v>30000</v>
      </c>
    </row>
    <row r="22" spans="3:10" s="390" customFormat="1">
      <c r="C22" s="399" t="s">
        <v>3791</v>
      </c>
      <c r="D22" s="399" t="s">
        <v>3790</v>
      </c>
      <c r="E22" s="399" t="s">
        <v>76</v>
      </c>
      <c r="F22" s="400">
        <v>36038</v>
      </c>
      <c r="G22" s="400">
        <v>37498</v>
      </c>
      <c r="H22" s="401">
        <v>4</v>
      </c>
      <c r="I22" s="402">
        <v>445</v>
      </c>
      <c r="J22" s="403">
        <v>30000</v>
      </c>
    </row>
    <row r="23" spans="3:10" s="390" customFormat="1">
      <c r="C23" s="399" t="s">
        <v>3792</v>
      </c>
      <c r="D23" s="399" t="s">
        <v>3790</v>
      </c>
      <c r="E23" s="399" t="s">
        <v>76</v>
      </c>
      <c r="F23" s="400">
        <v>36250</v>
      </c>
      <c r="G23" s="400">
        <v>37710</v>
      </c>
      <c r="H23" s="401">
        <v>4</v>
      </c>
      <c r="I23" s="402">
        <v>445</v>
      </c>
      <c r="J23" s="403">
        <v>30000</v>
      </c>
    </row>
    <row r="24" spans="3:10" s="390" customFormat="1">
      <c r="C24" s="399" t="s">
        <v>3793</v>
      </c>
      <c r="D24" s="399" t="s">
        <v>3790</v>
      </c>
      <c r="E24" s="399" t="s">
        <v>76</v>
      </c>
      <c r="F24" s="400">
        <v>36038</v>
      </c>
      <c r="G24" s="400">
        <v>37498</v>
      </c>
      <c r="H24" s="401">
        <v>4</v>
      </c>
      <c r="I24" s="402">
        <v>445</v>
      </c>
      <c r="J24" s="403">
        <v>30000</v>
      </c>
    </row>
    <row r="25" spans="3:10" s="390" customFormat="1">
      <c r="C25" s="399" t="s">
        <v>3794</v>
      </c>
      <c r="D25" s="399" t="s">
        <v>3790</v>
      </c>
      <c r="E25" s="399" t="s">
        <v>76</v>
      </c>
      <c r="F25" s="400">
        <v>36341</v>
      </c>
      <c r="G25" s="400">
        <v>37801</v>
      </c>
      <c r="H25" s="401">
        <v>4</v>
      </c>
      <c r="I25" s="402">
        <v>445</v>
      </c>
      <c r="J25" s="403">
        <v>30000</v>
      </c>
    </row>
    <row r="26" spans="3:10" s="390" customFormat="1">
      <c r="C26" s="399" t="s">
        <v>3795</v>
      </c>
      <c r="D26" s="399" t="s">
        <v>3790</v>
      </c>
      <c r="E26" s="399" t="s">
        <v>76</v>
      </c>
      <c r="F26" s="400">
        <v>36038</v>
      </c>
      <c r="G26" s="400">
        <v>37498</v>
      </c>
      <c r="H26" s="401">
        <v>4</v>
      </c>
      <c r="I26" s="402">
        <v>445</v>
      </c>
      <c r="J26" s="403">
        <v>30000</v>
      </c>
    </row>
    <row r="27" spans="3:10" s="390" customFormat="1">
      <c r="C27" s="399" t="s">
        <v>3796</v>
      </c>
      <c r="D27" s="399" t="s">
        <v>3790</v>
      </c>
      <c r="E27" s="399" t="s">
        <v>76</v>
      </c>
      <c r="F27" s="400">
        <v>36341</v>
      </c>
      <c r="G27" s="400">
        <v>37801</v>
      </c>
      <c r="H27" s="401">
        <v>4</v>
      </c>
      <c r="I27" s="402">
        <v>445</v>
      </c>
      <c r="J27" s="403">
        <v>30000</v>
      </c>
    </row>
    <row r="28" spans="3:10" s="390" customFormat="1">
      <c r="C28" s="399" t="s">
        <v>3797</v>
      </c>
      <c r="D28" s="399" t="s">
        <v>3798</v>
      </c>
      <c r="E28" s="399" t="s">
        <v>3799</v>
      </c>
      <c r="F28" s="400">
        <v>36191</v>
      </c>
      <c r="G28" s="400">
        <v>37651</v>
      </c>
      <c r="H28" s="401">
        <v>4</v>
      </c>
      <c r="I28" s="402">
        <v>740</v>
      </c>
      <c r="J28" s="403">
        <v>50000</v>
      </c>
    </row>
    <row r="29" spans="3:10" s="390" customFormat="1">
      <c r="C29" s="399" t="s">
        <v>3800</v>
      </c>
      <c r="D29" s="399" t="s">
        <v>3801</v>
      </c>
      <c r="E29" s="399" t="s">
        <v>446</v>
      </c>
      <c r="F29" s="400">
        <v>36191</v>
      </c>
      <c r="G29" s="400">
        <v>37651</v>
      </c>
      <c r="H29" s="401">
        <v>4</v>
      </c>
      <c r="I29" s="402">
        <v>740</v>
      </c>
      <c r="J29" s="403">
        <v>50000</v>
      </c>
    </row>
    <row r="30" spans="3:10" s="390" customFormat="1">
      <c r="C30" s="399" t="s">
        <v>3802</v>
      </c>
      <c r="D30" s="399" t="s">
        <v>3798</v>
      </c>
      <c r="E30" s="399" t="s">
        <v>3799</v>
      </c>
      <c r="F30" s="400">
        <v>36464</v>
      </c>
      <c r="G30" s="400">
        <v>37924</v>
      </c>
      <c r="H30" s="401">
        <v>4</v>
      </c>
      <c r="I30" s="402">
        <v>710</v>
      </c>
      <c r="J30" s="403">
        <v>48000</v>
      </c>
    </row>
    <row r="31" spans="3:10" s="390" customFormat="1">
      <c r="C31" s="399" t="s">
        <v>3803</v>
      </c>
      <c r="D31" s="399" t="s">
        <v>3804</v>
      </c>
      <c r="E31" s="399" t="s">
        <v>3805</v>
      </c>
      <c r="F31" s="400">
        <v>36160</v>
      </c>
      <c r="G31" s="400">
        <v>37620</v>
      </c>
      <c r="H31" s="401">
        <v>4</v>
      </c>
      <c r="I31" s="402">
        <v>945</v>
      </c>
      <c r="J31" s="403">
        <v>64000</v>
      </c>
    </row>
    <row r="32" spans="3:10" s="390" customFormat="1">
      <c r="C32" s="399" t="s">
        <v>3806</v>
      </c>
      <c r="D32" s="399" t="s">
        <v>3790</v>
      </c>
      <c r="E32" s="399" t="s">
        <v>76</v>
      </c>
      <c r="F32" s="400">
        <v>36403</v>
      </c>
      <c r="G32" s="400">
        <v>37863</v>
      </c>
      <c r="H32" s="401">
        <v>4</v>
      </c>
      <c r="I32" s="402">
        <v>475</v>
      </c>
      <c r="J32" s="403">
        <v>32000</v>
      </c>
    </row>
    <row r="33" spans="3:10" s="390" customFormat="1">
      <c r="C33" s="399" t="s">
        <v>3807</v>
      </c>
      <c r="D33" s="399" t="s">
        <v>3790</v>
      </c>
      <c r="E33" s="399" t="s">
        <v>76</v>
      </c>
      <c r="F33" s="400">
        <v>35795</v>
      </c>
      <c r="G33" s="400">
        <v>37255</v>
      </c>
      <c r="H33" s="401">
        <v>4</v>
      </c>
      <c r="I33" s="402">
        <v>475</v>
      </c>
      <c r="J33" s="403">
        <v>32000</v>
      </c>
    </row>
    <row r="34" spans="3:10" s="390" customFormat="1">
      <c r="C34" s="399" t="s">
        <v>3808</v>
      </c>
      <c r="D34" s="399" t="s">
        <v>3790</v>
      </c>
      <c r="E34" s="399" t="s">
        <v>76</v>
      </c>
      <c r="F34" s="400">
        <v>35946</v>
      </c>
      <c r="G34" s="400">
        <v>37406</v>
      </c>
      <c r="H34" s="401">
        <v>4</v>
      </c>
      <c r="I34" s="402">
        <v>475</v>
      </c>
      <c r="J34" s="403">
        <v>32000</v>
      </c>
    </row>
    <row r="35" spans="3:10" s="390" customFormat="1">
      <c r="C35" s="399" t="s">
        <v>3809</v>
      </c>
      <c r="D35" s="399" t="s">
        <v>3790</v>
      </c>
      <c r="E35" s="399" t="s">
        <v>76</v>
      </c>
      <c r="F35" s="400">
        <v>36160</v>
      </c>
      <c r="G35" s="400">
        <v>37620</v>
      </c>
      <c r="H35" s="401">
        <v>4</v>
      </c>
      <c r="I35" s="402">
        <v>475</v>
      </c>
      <c r="J35" s="403">
        <v>32000</v>
      </c>
    </row>
    <row r="36" spans="3:10" s="390" customFormat="1">
      <c r="C36" s="399" t="s">
        <v>3810</v>
      </c>
      <c r="D36" s="399" t="s">
        <v>3790</v>
      </c>
      <c r="E36" s="399" t="s">
        <v>76</v>
      </c>
      <c r="F36" s="400">
        <v>36311</v>
      </c>
      <c r="G36" s="400">
        <v>37771</v>
      </c>
      <c r="H36" s="401">
        <v>4</v>
      </c>
      <c r="I36" s="402">
        <v>475</v>
      </c>
      <c r="J36" s="403">
        <v>32000</v>
      </c>
    </row>
    <row r="37" spans="3:10" s="390" customFormat="1">
      <c r="C37" s="399" t="s">
        <v>3811</v>
      </c>
      <c r="D37" s="399" t="s">
        <v>3790</v>
      </c>
      <c r="E37" s="399" t="s">
        <v>76</v>
      </c>
      <c r="F37" s="400">
        <v>36311</v>
      </c>
      <c r="G37" s="400">
        <v>37771</v>
      </c>
      <c r="H37" s="401">
        <v>4</v>
      </c>
      <c r="I37" s="402">
        <v>475</v>
      </c>
      <c r="J37" s="403">
        <v>32000</v>
      </c>
    </row>
    <row r="38" spans="3:10" s="390" customFormat="1">
      <c r="C38" s="399" t="s">
        <v>3812</v>
      </c>
      <c r="D38" s="399" t="s">
        <v>3790</v>
      </c>
      <c r="E38" s="399" t="s">
        <v>76</v>
      </c>
      <c r="F38" s="400">
        <v>35946</v>
      </c>
      <c r="G38" s="400">
        <v>37406</v>
      </c>
      <c r="H38" s="401">
        <v>4</v>
      </c>
      <c r="I38" s="402">
        <v>475</v>
      </c>
      <c r="J38" s="403">
        <v>32000</v>
      </c>
    </row>
    <row r="39" spans="3:10" s="390" customFormat="1">
      <c r="C39" s="399" t="s">
        <v>3813</v>
      </c>
      <c r="D39" s="399" t="s">
        <v>3790</v>
      </c>
      <c r="E39" s="399" t="s">
        <v>76</v>
      </c>
      <c r="F39" s="400">
        <v>35795</v>
      </c>
      <c r="G39" s="400">
        <v>37255</v>
      </c>
      <c r="H39" s="401">
        <v>4</v>
      </c>
      <c r="I39" s="402">
        <v>475</v>
      </c>
      <c r="J39" s="403">
        <v>32000</v>
      </c>
    </row>
    <row r="40" spans="3:10" s="390" customFormat="1">
      <c r="C40" s="399" t="s">
        <v>3814</v>
      </c>
      <c r="D40" s="399" t="s">
        <v>3790</v>
      </c>
      <c r="E40" s="399" t="s">
        <v>76</v>
      </c>
      <c r="F40" s="400">
        <v>36160</v>
      </c>
      <c r="G40" s="400">
        <v>37620</v>
      </c>
      <c r="H40" s="401">
        <v>4</v>
      </c>
      <c r="I40" s="402">
        <v>475</v>
      </c>
      <c r="J40" s="403">
        <v>32000</v>
      </c>
    </row>
    <row r="41" spans="3:10" s="390" customFormat="1">
      <c r="C41" s="399" t="s">
        <v>3815</v>
      </c>
      <c r="D41" s="399" t="s">
        <v>3816</v>
      </c>
      <c r="E41" s="399" t="s">
        <v>446</v>
      </c>
      <c r="F41" s="400">
        <v>36372</v>
      </c>
      <c r="G41" s="400">
        <v>37102</v>
      </c>
      <c r="H41" s="401">
        <v>3</v>
      </c>
      <c r="I41" s="402">
        <v>870</v>
      </c>
      <c r="J41" s="403">
        <v>46000</v>
      </c>
    </row>
    <row r="42" spans="3:10" s="390" customFormat="1">
      <c r="C42" s="399" t="s">
        <v>3817</v>
      </c>
      <c r="D42" s="399" t="s">
        <v>3798</v>
      </c>
      <c r="E42" s="399" t="s">
        <v>3799</v>
      </c>
      <c r="F42" s="400">
        <v>36433</v>
      </c>
      <c r="G42" s="400">
        <v>37163</v>
      </c>
      <c r="H42" s="401">
        <v>3</v>
      </c>
      <c r="I42" s="402">
        <v>870</v>
      </c>
      <c r="J42" s="403">
        <v>46000</v>
      </c>
    </row>
    <row r="43" spans="3:10" s="390" customFormat="1">
      <c r="C43" s="399" t="s">
        <v>3818</v>
      </c>
      <c r="D43" s="399" t="s">
        <v>3816</v>
      </c>
      <c r="E43" s="399" t="s">
        <v>446</v>
      </c>
      <c r="F43" s="400">
        <v>36403</v>
      </c>
      <c r="G43" s="400">
        <v>37133</v>
      </c>
      <c r="H43" s="401">
        <v>3</v>
      </c>
      <c r="I43" s="402">
        <v>870</v>
      </c>
      <c r="J43" s="403">
        <v>46000</v>
      </c>
    </row>
    <row r="44" spans="3:10" s="390" customFormat="1">
      <c r="C44" s="399" t="s">
        <v>3819</v>
      </c>
      <c r="D44" s="399" t="s">
        <v>3816</v>
      </c>
      <c r="E44" s="399" t="s">
        <v>446</v>
      </c>
      <c r="F44" s="400">
        <v>36311</v>
      </c>
      <c r="G44" s="400">
        <v>37041</v>
      </c>
      <c r="H44" s="401">
        <v>3</v>
      </c>
      <c r="I44" s="402">
        <v>870</v>
      </c>
      <c r="J44" s="403">
        <v>46000</v>
      </c>
    </row>
    <row r="45" spans="3:10" s="390" customFormat="1">
      <c r="C45" s="399" t="s">
        <v>3820</v>
      </c>
      <c r="D45" s="399" t="s">
        <v>3821</v>
      </c>
      <c r="E45" s="399" t="s">
        <v>76</v>
      </c>
      <c r="F45" s="400">
        <v>36191</v>
      </c>
      <c r="G45" s="400">
        <v>37651</v>
      </c>
      <c r="H45" s="401">
        <v>4</v>
      </c>
      <c r="I45" s="402">
        <v>620</v>
      </c>
      <c r="J45" s="403">
        <v>42000</v>
      </c>
    </row>
    <row r="46" spans="3:10" s="390" customFormat="1">
      <c r="C46" s="399" t="s">
        <v>3822</v>
      </c>
      <c r="D46" s="399" t="s">
        <v>3821</v>
      </c>
      <c r="E46" s="399" t="s">
        <v>76</v>
      </c>
      <c r="F46" s="400">
        <v>36280</v>
      </c>
      <c r="G46" s="400">
        <v>37740</v>
      </c>
      <c r="H46" s="401">
        <v>4</v>
      </c>
      <c r="I46" s="402">
        <v>620</v>
      </c>
      <c r="J46" s="403">
        <v>42000</v>
      </c>
    </row>
    <row r="47" spans="3:10" s="390" customFormat="1">
      <c r="C47" s="399" t="s">
        <v>3823</v>
      </c>
      <c r="D47" s="399" t="s">
        <v>3824</v>
      </c>
      <c r="E47" s="399" t="s">
        <v>3776</v>
      </c>
      <c r="F47" s="400">
        <v>35826</v>
      </c>
      <c r="G47" s="400">
        <v>37286</v>
      </c>
      <c r="H47" s="401">
        <v>4</v>
      </c>
      <c r="I47" s="402">
        <v>2295</v>
      </c>
      <c r="J47" s="403">
        <v>155000</v>
      </c>
    </row>
    <row r="48" spans="3:10" s="390" customFormat="1">
      <c r="C48" s="399" t="s">
        <v>3825</v>
      </c>
      <c r="D48" s="399" t="s">
        <v>3790</v>
      </c>
      <c r="E48" s="399" t="s">
        <v>76</v>
      </c>
      <c r="F48" s="400">
        <v>35885</v>
      </c>
      <c r="G48" s="400">
        <v>36615</v>
      </c>
      <c r="H48" s="401">
        <v>3</v>
      </c>
      <c r="I48" s="402">
        <v>550</v>
      </c>
      <c r="J48" s="403">
        <v>29000</v>
      </c>
    </row>
    <row r="49" spans="3:10" s="390" customFormat="1">
      <c r="C49" s="399" t="s">
        <v>3826</v>
      </c>
      <c r="D49" s="399" t="s">
        <v>3790</v>
      </c>
      <c r="E49" s="399" t="s">
        <v>76</v>
      </c>
      <c r="F49" s="400">
        <v>35885</v>
      </c>
      <c r="G49" s="400">
        <v>36615</v>
      </c>
      <c r="H49" s="401">
        <v>3</v>
      </c>
      <c r="I49" s="402">
        <v>550</v>
      </c>
      <c r="J49" s="403">
        <v>29000</v>
      </c>
    </row>
    <row r="50" spans="3:10" s="390" customFormat="1">
      <c r="C50" s="399" t="s">
        <v>3827</v>
      </c>
      <c r="D50" s="399" t="s">
        <v>3790</v>
      </c>
      <c r="E50" s="399" t="s">
        <v>76</v>
      </c>
      <c r="F50" s="400">
        <v>35976</v>
      </c>
      <c r="G50" s="400">
        <v>36706</v>
      </c>
      <c r="H50" s="401">
        <v>3</v>
      </c>
      <c r="I50" s="402">
        <v>550</v>
      </c>
      <c r="J50" s="403">
        <v>29000</v>
      </c>
    </row>
    <row r="51" spans="3:10" s="390" customFormat="1">
      <c r="C51" s="399" t="s">
        <v>3828</v>
      </c>
      <c r="D51" s="399" t="s">
        <v>3790</v>
      </c>
      <c r="E51" s="399" t="s">
        <v>76</v>
      </c>
      <c r="F51" s="400">
        <v>36068</v>
      </c>
      <c r="G51" s="400">
        <v>36798</v>
      </c>
      <c r="H51" s="401">
        <v>3</v>
      </c>
      <c r="I51" s="402">
        <v>550</v>
      </c>
      <c r="J51" s="403">
        <v>29000</v>
      </c>
    </row>
    <row r="52" spans="3:10" s="390" customFormat="1">
      <c r="C52" s="399" t="s">
        <v>3829</v>
      </c>
      <c r="D52" s="399" t="s">
        <v>3790</v>
      </c>
      <c r="E52" s="399" t="s">
        <v>76</v>
      </c>
      <c r="F52" s="400">
        <v>36068</v>
      </c>
      <c r="G52" s="400">
        <v>36798</v>
      </c>
      <c r="H52" s="401">
        <v>3</v>
      </c>
      <c r="I52" s="402">
        <v>550</v>
      </c>
      <c r="J52" s="403">
        <v>29000</v>
      </c>
    </row>
    <row r="53" spans="3:10">
      <c r="C53" s="399" t="s">
        <v>3830</v>
      </c>
      <c r="D53" s="399" t="s">
        <v>3790</v>
      </c>
      <c r="E53" s="399" t="s">
        <v>76</v>
      </c>
      <c r="F53" s="400">
        <v>35976</v>
      </c>
      <c r="G53" s="400">
        <v>36706</v>
      </c>
      <c r="H53" s="401">
        <v>3</v>
      </c>
      <c r="I53" s="402">
        <v>550</v>
      </c>
      <c r="J53" s="403">
        <v>29000</v>
      </c>
    </row>
    <row r="54" spans="3:10">
      <c r="C54" s="399" t="s">
        <v>3831</v>
      </c>
      <c r="D54" s="399" t="s">
        <v>3790</v>
      </c>
      <c r="E54" s="399" t="s">
        <v>76</v>
      </c>
      <c r="F54" s="400">
        <v>35826</v>
      </c>
      <c r="G54" s="400">
        <v>36556</v>
      </c>
      <c r="H54" s="401">
        <v>3</v>
      </c>
      <c r="I54" s="402">
        <v>550</v>
      </c>
      <c r="J54" s="403">
        <v>29000</v>
      </c>
    </row>
    <row r="55" spans="3:10">
      <c r="C55" s="399" t="s">
        <v>3832</v>
      </c>
      <c r="D55" s="399" t="s">
        <v>3790</v>
      </c>
      <c r="E55" s="399" t="s">
        <v>76</v>
      </c>
      <c r="F55" s="400">
        <v>35826</v>
      </c>
      <c r="G55" s="400">
        <v>36556</v>
      </c>
      <c r="H55" s="401">
        <v>3</v>
      </c>
      <c r="I55" s="402">
        <v>550</v>
      </c>
      <c r="J55" s="403">
        <v>29000</v>
      </c>
    </row>
    <row r="56" spans="3:10">
      <c r="C56" s="399" t="s">
        <v>3833</v>
      </c>
      <c r="D56" s="399" t="s">
        <v>3834</v>
      </c>
      <c r="E56" s="399" t="s">
        <v>3805</v>
      </c>
      <c r="F56" s="400">
        <v>36311</v>
      </c>
      <c r="G56" s="400">
        <v>37041</v>
      </c>
      <c r="H56" s="401">
        <v>3</v>
      </c>
      <c r="I56" s="402">
        <v>755</v>
      </c>
      <c r="J56" s="403">
        <v>40000</v>
      </c>
    </row>
    <row r="57" spans="3:10">
      <c r="C57" s="399" t="s">
        <v>3835</v>
      </c>
      <c r="D57" s="399" t="s">
        <v>3834</v>
      </c>
      <c r="E57" s="399" t="s">
        <v>3805</v>
      </c>
      <c r="F57" s="400">
        <v>36311</v>
      </c>
      <c r="G57" s="400">
        <v>37041</v>
      </c>
      <c r="H57" s="401">
        <v>3</v>
      </c>
      <c r="I57" s="402">
        <v>755</v>
      </c>
      <c r="J57" s="403">
        <v>40000</v>
      </c>
    </row>
    <row r="58" spans="3:10">
      <c r="C58" s="399" t="s">
        <v>3836</v>
      </c>
      <c r="D58" s="399" t="s">
        <v>3821</v>
      </c>
      <c r="E58" s="399" t="s">
        <v>76</v>
      </c>
      <c r="F58" s="400">
        <v>36311</v>
      </c>
      <c r="G58" s="400">
        <v>37041</v>
      </c>
      <c r="H58" s="401">
        <v>3</v>
      </c>
      <c r="I58" s="402">
        <v>755</v>
      </c>
      <c r="J58" s="403">
        <v>40000</v>
      </c>
    </row>
    <row r="59" spans="3:10">
      <c r="C59" s="399" t="s">
        <v>3837</v>
      </c>
      <c r="D59" s="399" t="s">
        <v>3821</v>
      </c>
      <c r="E59" s="399" t="s">
        <v>76</v>
      </c>
      <c r="F59" s="400">
        <v>36311</v>
      </c>
      <c r="G59" s="400">
        <v>37041</v>
      </c>
      <c r="H59" s="401">
        <v>3</v>
      </c>
      <c r="I59" s="402">
        <v>755</v>
      </c>
      <c r="J59" s="403">
        <v>40000</v>
      </c>
    </row>
    <row r="60" spans="3:10">
      <c r="C60" s="399" t="s">
        <v>3838</v>
      </c>
      <c r="D60" s="399" t="s">
        <v>3834</v>
      </c>
      <c r="E60" s="399" t="s">
        <v>3805</v>
      </c>
      <c r="F60" s="400">
        <v>36311</v>
      </c>
      <c r="G60" s="400">
        <v>37041</v>
      </c>
      <c r="H60" s="401">
        <v>3</v>
      </c>
      <c r="I60" s="402">
        <v>755</v>
      </c>
      <c r="J60" s="403">
        <v>40000</v>
      </c>
    </row>
    <row r="61" spans="3:10">
      <c r="C61" s="399" t="s">
        <v>3839</v>
      </c>
      <c r="D61" s="399" t="s">
        <v>3821</v>
      </c>
      <c r="E61" s="399" t="s">
        <v>76</v>
      </c>
      <c r="F61" s="400">
        <v>36311</v>
      </c>
      <c r="G61" s="400">
        <v>37041</v>
      </c>
      <c r="H61" s="401">
        <v>3</v>
      </c>
      <c r="I61" s="402">
        <v>755</v>
      </c>
      <c r="J61" s="403">
        <v>40000</v>
      </c>
    </row>
    <row r="62" spans="3:10">
      <c r="C62" s="399" t="s">
        <v>3840</v>
      </c>
      <c r="D62" s="399" t="s">
        <v>3834</v>
      </c>
      <c r="E62" s="399" t="s">
        <v>3805</v>
      </c>
      <c r="F62" s="400">
        <v>36311</v>
      </c>
      <c r="G62" s="400">
        <v>37041</v>
      </c>
      <c r="H62" s="401">
        <v>3</v>
      </c>
      <c r="I62" s="402">
        <v>755</v>
      </c>
      <c r="J62" s="403">
        <v>40000</v>
      </c>
    </row>
    <row r="63" spans="3:10">
      <c r="C63" s="399" t="s">
        <v>3841</v>
      </c>
      <c r="D63" s="399" t="s">
        <v>3801</v>
      </c>
      <c r="E63" s="399" t="s">
        <v>446</v>
      </c>
      <c r="F63" s="400">
        <v>36038</v>
      </c>
      <c r="G63" s="400">
        <v>37498</v>
      </c>
      <c r="H63" s="401">
        <v>4</v>
      </c>
      <c r="I63" s="402">
        <v>740</v>
      </c>
      <c r="J63" s="403">
        <v>50000</v>
      </c>
    </row>
    <row r="64" spans="3:10">
      <c r="C64" s="399" t="s">
        <v>3842</v>
      </c>
      <c r="D64" s="399" t="s">
        <v>3843</v>
      </c>
      <c r="E64" s="399" t="s">
        <v>76</v>
      </c>
      <c r="F64" s="400">
        <v>36038</v>
      </c>
      <c r="G64" s="400">
        <v>37498</v>
      </c>
      <c r="H64" s="401">
        <v>4</v>
      </c>
      <c r="I64" s="402">
        <v>740</v>
      </c>
      <c r="J64" s="403">
        <v>50000</v>
      </c>
    </row>
    <row r="65" spans="3:10">
      <c r="C65" s="399" t="s">
        <v>3844</v>
      </c>
      <c r="D65" s="399" t="s">
        <v>3845</v>
      </c>
      <c r="E65" s="399" t="s">
        <v>3799</v>
      </c>
      <c r="F65" s="400">
        <v>36038</v>
      </c>
      <c r="G65" s="400">
        <v>37498</v>
      </c>
      <c r="H65" s="401">
        <v>4</v>
      </c>
      <c r="I65" s="402">
        <v>740</v>
      </c>
      <c r="J65" s="403">
        <v>50000</v>
      </c>
    </row>
    <row r="66" spans="3:10">
      <c r="C66" s="399" t="s">
        <v>3846</v>
      </c>
      <c r="D66" s="399" t="s">
        <v>3845</v>
      </c>
      <c r="E66" s="399" t="s">
        <v>3799</v>
      </c>
      <c r="F66" s="400">
        <v>36038</v>
      </c>
      <c r="G66" s="400">
        <v>37498</v>
      </c>
      <c r="H66" s="401">
        <v>4</v>
      </c>
      <c r="I66" s="402">
        <v>740</v>
      </c>
      <c r="J66" s="403">
        <v>50000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tabColor theme="0" tint="-0.34998626667073579"/>
  </sheetPr>
  <dimension ref="C3:O22"/>
  <sheetViews>
    <sheetView zoomScale="115" zoomScaleNormal="115" workbookViewId="0">
      <selection activeCell="F16" sqref="F16"/>
    </sheetView>
  </sheetViews>
  <sheetFormatPr defaultRowHeight="15"/>
  <cols>
    <col min="1" max="1" width="2.5703125" customWidth="1"/>
    <col min="2" max="2" width="8.7109375" customWidth="1"/>
    <col min="3" max="3" width="20.140625" customWidth="1"/>
    <col min="4" max="4" width="10.42578125" bestFit="1" customWidth="1"/>
    <col min="5" max="5" width="10.5703125" customWidth="1"/>
    <col min="6" max="6" width="38.7109375" bestFit="1" customWidth="1"/>
    <col min="7" max="7" width="10.5703125" customWidth="1"/>
    <col min="8" max="8" width="25.28515625" bestFit="1" customWidth="1"/>
    <col min="12" max="12" width="26.85546875" bestFit="1" customWidth="1"/>
    <col min="13" max="13" width="12.42578125" bestFit="1" customWidth="1"/>
    <col min="14" max="14" width="9.5703125" bestFit="1" customWidth="1"/>
    <col min="257" max="257" width="2.5703125" customWidth="1"/>
    <col min="258" max="258" width="13.5703125" bestFit="1" customWidth="1"/>
    <col min="260" max="260" width="40.42578125" bestFit="1" customWidth="1"/>
    <col min="261" max="261" width="1.5703125" customWidth="1"/>
    <col min="262" max="262" width="41" customWidth="1"/>
    <col min="263" max="263" width="0.85546875" customWidth="1"/>
    <col min="268" max="268" width="26.85546875" bestFit="1" customWidth="1"/>
    <col min="513" max="513" width="2.5703125" customWidth="1"/>
    <col min="514" max="514" width="13.5703125" bestFit="1" customWidth="1"/>
    <col min="516" max="516" width="40.42578125" bestFit="1" customWidth="1"/>
    <col min="517" max="517" width="1.5703125" customWidth="1"/>
    <col min="518" max="518" width="41" customWidth="1"/>
    <col min="519" max="519" width="0.85546875" customWidth="1"/>
    <col min="524" max="524" width="26.85546875" bestFit="1" customWidth="1"/>
    <col min="769" max="769" width="2.5703125" customWidth="1"/>
    <col min="770" max="770" width="13.5703125" bestFit="1" customWidth="1"/>
    <col min="772" max="772" width="40.42578125" bestFit="1" customWidth="1"/>
    <col min="773" max="773" width="1.5703125" customWidth="1"/>
    <col min="774" max="774" width="41" customWidth="1"/>
    <col min="775" max="775" width="0.85546875" customWidth="1"/>
    <col min="780" max="780" width="26.85546875" bestFit="1" customWidth="1"/>
    <col min="1025" max="1025" width="2.5703125" customWidth="1"/>
    <col min="1026" max="1026" width="13.5703125" bestFit="1" customWidth="1"/>
    <col min="1028" max="1028" width="40.42578125" bestFit="1" customWidth="1"/>
    <col min="1029" max="1029" width="1.5703125" customWidth="1"/>
    <col min="1030" max="1030" width="41" customWidth="1"/>
    <col min="1031" max="1031" width="0.85546875" customWidth="1"/>
    <col min="1036" max="1036" width="26.85546875" bestFit="1" customWidth="1"/>
    <col min="1281" max="1281" width="2.5703125" customWidth="1"/>
    <col min="1282" max="1282" width="13.5703125" bestFit="1" customWidth="1"/>
    <col min="1284" max="1284" width="40.42578125" bestFit="1" customWidth="1"/>
    <col min="1285" max="1285" width="1.5703125" customWidth="1"/>
    <col min="1286" max="1286" width="41" customWidth="1"/>
    <col min="1287" max="1287" width="0.85546875" customWidth="1"/>
    <col min="1292" max="1292" width="26.85546875" bestFit="1" customWidth="1"/>
    <col min="1537" max="1537" width="2.5703125" customWidth="1"/>
    <col min="1538" max="1538" width="13.5703125" bestFit="1" customWidth="1"/>
    <col min="1540" max="1540" width="40.42578125" bestFit="1" customWidth="1"/>
    <col min="1541" max="1541" width="1.5703125" customWidth="1"/>
    <col min="1542" max="1542" width="41" customWidth="1"/>
    <col min="1543" max="1543" width="0.85546875" customWidth="1"/>
    <col min="1548" max="1548" width="26.85546875" bestFit="1" customWidth="1"/>
    <col min="1793" max="1793" width="2.5703125" customWidth="1"/>
    <col min="1794" max="1794" width="13.5703125" bestFit="1" customWidth="1"/>
    <col min="1796" max="1796" width="40.42578125" bestFit="1" customWidth="1"/>
    <col min="1797" max="1797" width="1.5703125" customWidth="1"/>
    <col min="1798" max="1798" width="41" customWidth="1"/>
    <col min="1799" max="1799" width="0.85546875" customWidth="1"/>
    <col min="1804" max="1804" width="26.85546875" bestFit="1" customWidth="1"/>
    <col min="2049" max="2049" width="2.5703125" customWidth="1"/>
    <col min="2050" max="2050" width="13.5703125" bestFit="1" customWidth="1"/>
    <col min="2052" max="2052" width="40.42578125" bestFit="1" customWidth="1"/>
    <col min="2053" max="2053" width="1.5703125" customWidth="1"/>
    <col min="2054" max="2054" width="41" customWidth="1"/>
    <col min="2055" max="2055" width="0.85546875" customWidth="1"/>
    <col min="2060" max="2060" width="26.85546875" bestFit="1" customWidth="1"/>
    <col min="2305" max="2305" width="2.5703125" customWidth="1"/>
    <col min="2306" max="2306" width="13.5703125" bestFit="1" customWidth="1"/>
    <col min="2308" max="2308" width="40.42578125" bestFit="1" customWidth="1"/>
    <col min="2309" max="2309" width="1.5703125" customWidth="1"/>
    <col min="2310" max="2310" width="41" customWidth="1"/>
    <col min="2311" max="2311" width="0.85546875" customWidth="1"/>
    <col min="2316" max="2316" width="26.85546875" bestFit="1" customWidth="1"/>
    <col min="2561" max="2561" width="2.5703125" customWidth="1"/>
    <col min="2562" max="2562" width="13.5703125" bestFit="1" customWidth="1"/>
    <col min="2564" max="2564" width="40.42578125" bestFit="1" customWidth="1"/>
    <col min="2565" max="2565" width="1.5703125" customWidth="1"/>
    <col min="2566" max="2566" width="41" customWidth="1"/>
    <col min="2567" max="2567" width="0.85546875" customWidth="1"/>
    <col min="2572" max="2572" width="26.85546875" bestFit="1" customWidth="1"/>
    <col min="2817" max="2817" width="2.5703125" customWidth="1"/>
    <col min="2818" max="2818" width="13.5703125" bestFit="1" customWidth="1"/>
    <col min="2820" max="2820" width="40.42578125" bestFit="1" customWidth="1"/>
    <col min="2821" max="2821" width="1.5703125" customWidth="1"/>
    <col min="2822" max="2822" width="41" customWidth="1"/>
    <col min="2823" max="2823" width="0.85546875" customWidth="1"/>
    <col min="2828" max="2828" width="26.85546875" bestFit="1" customWidth="1"/>
    <col min="3073" max="3073" width="2.5703125" customWidth="1"/>
    <col min="3074" max="3074" width="13.5703125" bestFit="1" customWidth="1"/>
    <col min="3076" max="3076" width="40.42578125" bestFit="1" customWidth="1"/>
    <col min="3077" max="3077" width="1.5703125" customWidth="1"/>
    <col min="3078" max="3078" width="41" customWidth="1"/>
    <col min="3079" max="3079" width="0.85546875" customWidth="1"/>
    <col min="3084" max="3084" width="26.85546875" bestFit="1" customWidth="1"/>
    <col min="3329" max="3329" width="2.5703125" customWidth="1"/>
    <col min="3330" max="3330" width="13.5703125" bestFit="1" customWidth="1"/>
    <col min="3332" max="3332" width="40.42578125" bestFit="1" customWidth="1"/>
    <col min="3333" max="3333" width="1.5703125" customWidth="1"/>
    <col min="3334" max="3334" width="41" customWidth="1"/>
    <col min="3335" max="3335" width="0.85546875" customWidth="1"/>
    <col min="3340" max="3340" width="26.85546875" bestFit="1" customWidth="1"/>
    <col min="3585" max="3585" width="2.5703125" customWidth="1"/>
    <col min="3586" max="3586" width="13.5703125" bestFit="1" customWidth="1"/>
    <col min="3588" max="3588" width="40.42578125" bestFit="1" customWidth="1"/>
    <col min="3589" max="3589" width="1.5703125" customWidth="1"/>
    <col min="3590" max="3590" width="41" customWidth="1"/>
    <col min="3591" max="3591" width="0.85546875" customWidth="1"/>
    <col min="3596" max="3596" width="26.85546875" bestFit="1" customWidth="1"/>
    <col min="3841" max="3841" width="2.5703125" customWidth="1"/>
    <col min="3842" max="3842" width="13.5703125" bestFit="1" customWidth="1"/>
    <col min="3844" max="3844" width="40.42578125" bestFit="1" customWidth="1"/>
    <col min="3845" max="3845" width="1.5703125" customWidth="1"/>
    <col min="3846" max="3846" width="41" customWidth="1"/>
    <col min="3847" max="3847" width="0.85546875" customWidth="1"/>
    <col min="3852" max="3852" width="26.85546875" bestFit="1" customWidth="1"/>
    <col min="4097" max="4097" width="2.5703125" customWidth="1"/>
    <col min="4098" max="4098" width="13.5703125" bestFit="1" customWidth="1"/>
    <col min="4100" max="4100" width="40.42578125" bestFit="1" customWidth="1"/>
    <col min="4101" max="4101" width="1.5703125" customWidth="1"/>
    <col min="4102" max="4102" width="41" customWidth="1"/>
    <col min="4103" max="4103" width="0.85546875" customWidth="1"/>
    <col min="4108" max="4108" width="26.85546875" bestFit="1" customWidth="1"/>
    <col min="4353" max="4353" width="2.5703125" customWidth="1"/>
    <col min="4354" max="4354" width="13.5703125" bestFit="1" customWidth="1"/>
    <col min="4356" max="4356" width="40.42578125" bestFit="1" customWidth="1"/>
    <col min="4357" max="4357" width="1.5703125" customWidth="1"/>
    <col min="4358" max="4358" width="41" customWidth="1"/>
    <col min="4359" max="4359" width="0.85546875" customWidth="1"/>
    <col min="4364" max="4364" width="26.85546875" bestFit="1" customWidth="1"/>
    <col min="4609" max="4609" width="2.5703125" customWidth="1"/>
    <col min="4610" max="4610" width="13.5703125" bestFit="1" customWidth="1"/>
    <col min="4612" max="4612" width="40.42578125" bestFit="1" customWidth="1"/>
    <col min="4613" max="4613" width="1.5703125" customWidth="1"/>
    <col min="4614" max="4614" width="41" customWidth="1"/>
    <col min="4615" max="4615" width="0.85546875" customWidth="1"/>
    <col min="4620" max="4620" width="26.85546875" bestFit="1" customWidth="1"/>
    <col min="4865" max="4865" width="2.5703125" customWidth="1"/>
    <col min="4866" max="4866" width="13.5703125" bestFit="1" customWidth="1"/>
    <col min="4868" max="4868" width="40.42578125" bestFit="1" customWidth="1"/>
    <col min="4869" max="4869" width="1.5703125" customWidth="1"/>
    <col min="4870" max="4870" width="41" customWidth="1"/>
    <col min="4871" max="4871" width="0.85546875" customWidth="1"/>
    <col min="4876" max="4876" width="26.85546875" bestFit="1" customWidth="1"/>
    <col min="5121" max="5121" width="2.5703125" customWidth="1"/>
    <col min="5122" max="5122" width="13.5703125" bestFit="1" customWidth="1"/>
    <col min="5124" max="5124" width="40.42578125" bestFit="1" customWidth="1"/>
    <col min="5125" max="5125" width="1.5703125" customWidth="1"/>
    <col min="5126" max="5126" width="41" customWidth="1"/>
    <col min="5127" max="5127" width="0.85546875" customWidth="1"/>
    <col min="5132" max="5132" width="26.85546875" bestFit="1" customWidth="1"/>
    <col min="5377" max="5377" width="2.5703125" customWidth="1"/>
    <col min="5378" max="5378" width="13.5703125" bestFit="1" customWidth="1"/>
    <col min="5380" max="5380" width="40.42578125" bestFit="1" customWidth="1"/>
    <col min="5381" max="5381" width="1.5703125" customWidth="1"/>
    <col min="5382" max="5382" width="41" customWidth="1"/>
    <col min="5383" max="5383" width="0.85546875" customWidth="1"/>
    <col min="5388" max="5388" width="26.85546875" bestFit="1" customWidth="1"/>
    <col min="5633" max="5633" width="2.5703125" customWidth="1"/>
    <col min="5634" max="5634" width="13.5703125" bestFit="1" customWidth="1"/>
    <col min="5636" max="5636" width="40.42578125" bestFit="1" customWidth="1"/>
    <col min="5637" max="5637" width="1.5703125" customWidth="1"/>
    <col min="5638" max="5638" width="41" customWidth="1"/>
    <col min="5639" max="5639" width="0.85546875" customWidth="1"/>
    <col min="5644" max="5644" width="26.85546875" bestFit="1" customWidth="1"/>
    <col min="5889" max="5889" width="2.5703125" customWidth="1"/>
    <col min="5890" max="5890" width="13.5703125" bestFit="1" customWidth="1"/>
    <col min="5892" max="5892" width="40.42578125" bestFit="1" customWidth="1"/>
    <col min="5893" max="5893" width="1.5703125" customWidth="1"/>
    <col min="5894" max="5894" width="41" customWidth="1"/>
    <col min="5895" max="5895" width="0.85546875" customWidth="1"/>
    <col min="5900" max="5900" width="26.85546875" bestFit="1" customWidth="1"/>
    <col min="6145" max="6145" width="2.5703125" customWidth="1"/>
    <col min="6146" max="6146" width="13.5703125" bestFit="1" customWidth="1"/>
    <col min="6148" max="6148" width="40.42578125" bestFit="1" customWidth="1"/>
    <col min="6149" max="6149" width="1.5703125" customWidth="1"/>
    <col min="6150" max="6150" width="41" customWidth="1"/>
    <col min="6151" max="6151" width="0.85546875" customWidth="1"/>
    <col min="6156" max="6156" width="26.85546875" bestFit="1" customWidth="1"/>
    <col min="6401" max="6401" width="2.5703125" customWidth="1"/>
    <col min="6402" max="6402" width="13.5703125" bestFit="1" customWidth="1"/>
    <col min="6404" max="6404" width="40.42578125" bestFit="1" customWidth="1"/>
    <col min="6405" max="6405" width="1.5703125" customWidth="1"/>
    <col min="6406" max="6406" width="41" customWidth="1"/>
    <col min="6407" max="6407" width="0.85546875" customWidth="1"/>
    <col min="6412" max="6412" width="26.85546875" bestFit="1" customWidth="1"/>
    <col min="6657" max="6657" width="2.5703125" customWidth="1"/>
    <col min="6658" max="6658" width="13.5703125" bestFit="1" customWidth="1"/>
    <col min="6660" max="6660" width="40.42578125" bestFit="1" customWidth="1"/>
    <col min="6661" max="6661" width="1.5703125" customWidth="1"/>
    <col min="6662" max="6662" width="41" customWidth="1"/>
    <col min="6663" max="6663" width="0.85546875" customWidth="1"/>
    <col min="6668" max="6668" width="26.85546875" bestFit="1" customWidth="1"/>
    <col min="6913" max="6913" width="2.5703125" customWidth="1"/>
    <col min="6914" max="6914" width="13.5703125" bestFit="1" customWidth="1"/>
    <col min="6916" max="6916" width="40.42578125" bestFit="1" customWidth="1"/>
    <col min="6917" max="6917" width="1.5703125" customWidth="1"/>
    <col min="6918" max="6918" width="41" customWidth="1"/>
    <col min="6919" max="6919" width="0.85546875" customWidth="1"/>
    <col min="6924" max="6924" width="26.85546875" bestFit="1" customWidth="1"/>
    <col min="7169" max="7169" width="2.5703125" customWidth="1"/>
    <col min="7170" max="7170" width="13.5703125" bestFit="1" customWidth="1"/>
    <col min="7172" max="7172" width="40.42578125" bestFit="1" customWidth="1"/>
    <col min="7173" max="7173" width="1.5703125" customWidth="1"/>
    <col min="7174" max="7174" width="41" customWidth="1"/>
    <col min="7175" max="7175" width="0.85546875" customWidth="1"/>
    <col min="7180" max="7180" width="26.85546875" bestFit="1" customWidth="1"/>
    <col min="7425" max="7425" width="2.5703125" customWidth="1"/>
    <col min="7426" max="7426" width="13.5703125" bestFit="1" customWidth="1"/>
    <col min="7428" max="7428" width="40.42578125" bestFit="1" customWidth="1"/>
    <col min="7429" max="7429" width="1.5703125" customWidth="1"/>
    <col min="7430" max="7430" width="41" customWidth="1"/>
    <col min="7431" max="7431" width="0.85546875" customWidth="1"/>
    <col min="7436" max="7436" width="26.85546875" bestFit="1" customWidth="1"/>
    <col min="7681" max="7681" width="2.5703125" customWidth="1"/>
    <col min="7682" max="7682" width="13.5703125" bestFit="1" customWidth="1"/>
    <col min="7684" max="7684" width="40.42578125" bestFit="1" customWidth="1"/>
    <col min="7685" max="7685" width="1.5703125" customWidth="1"/>
    <col min="7686" max="7686" width="41" customWidth="1"/>
    <col min="7687" max="7687" width="0.85546875" customWidth="1"/>
    <col min="7692" max="7692" width="26.85546875" bestFit="1" customWidth="1"/>
    <col min="7937" max="7937" width="2.5703125" customWidth="1"/>
    <col min="7938" max="7938" width="13.5703125" bestFit="1" customWidth="1"/>
    <col min="7940" max="7940" width="40.42578125" bestFit="1" customWidth="1"/>
    <col min="7941" max="7941" width="1.5703125" customWidth="1"/>
    <col min="7942" max="7942" width="41" customWidth="1"/>
    <col min="7943" max="7943" width="0.85546875" customWidth="1"/>
    <col min="7948" max="7948" width="26.85546875" bestFit="1" customWidth="1"/>
    <col min="8193" max="8193" width="2.5703125" customWidth="1"/>
    <col min="8194" max="8194" width="13.5703125" bestFit="1" customWidth="1"/>
    <col min="8196" max="8196" width="40.42578125" bestFit="1" customWidth="1"/>
    <col min="8197" max="8197" width="1.5703125" customWidth="1"/>
    <col min="8198" max="8198" width="41" customWidth="1"/>
    <col min="8199" max="8199" width="0.85546875" customWidth="1"/>
    <col min="8204" max="8204" width="26.85546875" bestFit="1" customWidth="1"/>
    <col min="8449" max="8449" width="2.5703125" customWidth="1"/>
    <col min="8450" max="8450" width="13.5703125" bestFit="1" customWidth="1"/>
    <col min="8452" max="8452" width="40.42578125" bestFit="1" customWidth="1"/>
    <col min="8453" max="8453" width="1.5703125" customWidth="1"/>
    <col min="8454" max="8454" width="41" customWidth="1"/>
    <col min="8455" max="8455" width="0.85546875" customWidth="1"/>
    <col min="8460" max="8460" width="26.85546875" bestFit="1" customWidth="1"/>
    <col min="8705" max="8705" width="2.5703125" customWidth="1"/>
    <col min="8706" max="8706" width="13.5703125" bestFit="1" customWidth="1"/>
    <col min="8708" max="8708" width="40.42578125" bestFit="1" customWidth="1"/>
    <col min="8709" max="8709" width="1.5703125" customWidth="1"/>
    <col min="8710" max="8710" width="41" customWidth="1"/>
    <col min="8711" max="8711" width="0.85546875" customWidth="1"/>
    <col min="8716" max="8716" width="26.85546875" bestFit="1" customWidth="1"/>
    <col min="8961" max="8961" width="2.5703125" customWidth="1"/>
    <col min="8962" max="8962" width="13.5703125" bestFit="1" customWidth="1"/>
    <col min="8964" max="8964" width="40.42578125" bestFit="1" customWidth="1"/>
    <col min="8965" max="8965" width="1.5703125" customWidth="1"/>
    <col min="8966" max="8966" width="41" customWidth="1"/>
    <col min="8967" max="8967" width="0.85546875" customWidth="1"/>
    <col min="8972" max="8972" width="26.85546875" bestFit="1" customWidth="1"/>
    <col min="9217" max="9217" width="2.5703125" customWidth="1"/>
    <col min="9218" max="9218" width="13.5703125" bestFit="1" customWidth="1"/>
    <col min="9220" max="9220" width="40.42578125" bestFit="1" customWidth="1"/>
    <col min="9221" max="9221" width="1.5703125" customWidth="1"/>
    <col min="9222" max="9222" width="41" customWidth="1"/>
    <col min="9223" max="9223" width="0.85546875" customWidth="1"/>
    <col min="9228" max="9228" width="26.85546875" bestFit="1" customWidth="1"/>
    <col min="9473" max="9473" width="2.5703125" customWidth="1"/>
    <col min="9474" max="9474" width="13.5703125" bestFit="1" customWidth="1"/>
    <col min="9476" max="9476" width="40.42578125" bestFit="1" customWidth="1"/>
    <col min="9477" max="9477" width="1.5703125" customWidth="1"/>
    <col min="9478" max="9478" width="41" customWidth="1"/>
    <col min="9479" max="9479" width="0.85546875" customWidth="1"/>
    <col min="9484" max="9484" width="26.85546875" bestFit="1" customWidth="1"/>
    <col min="9729" max="9729" width="2.5703125" customWidth="1"/>
    <col min="9730" max="9730" width="13.5703125" bestFit="1" customWidth="1"/>
    <col min="9732" max="9732" width="40.42578125" bestFit="1" customWidth="1"/>
    <col min="9733" max="9733" width="1.5703125" customWidth="1"/>
    <col min="9734" max="9734" width="41" customWidth="1"/>
    <col min="9735" max="9735" width="0.85546875" customWidth="1"/>
    <col min="9740" max="9740" width="26.85546875" bestFit="1" customWidth="1"/>
    <col min="9985" max="9985" width="2.5703125" customWidth="1"/>
    <col min="9986" max="9986" width="13.5703125" bestFit="1" customWidth="1"/>
    <col min="9988" max="9988" width="40.42578125" bestFit="1" customWidth="1"/>
    <col min="9989" max="9989" width="1.5703125" customWidth="1"/>
    <col min="9990" max="9990" width="41" customWidth="1"/>
    <col min="9991" max="9991" width="0.85546875" customWidth="1"/>
    <col min="9996" max="9996" width="26.85546875" bestFit="1" customWidth="1"/>
    <col min="10241" max="10241" width="2.5703125" customWidth="1"/>
    <col min="10242" max="10242" width="13.5703125" bestFit="1" customWidth="1"/>
    <col min="10244" max="10244" width="40.42578125" bestFit="1" customWidth="1"/>
    <col min="10245" max="10245" width="1.5703125" customWidth="1"/>
    <col min="10246" max="10246" width="41" customWidth="1"/>
    <col min="10247" max="10247" width="0.85546875" customWidth="1"/>
    <col min="10252" max="10252" width="26.85546875" bestFit="1" customWidth="1"/>
    <col min="10497" max="10497" width="2.5703125" customWidth="1"/>
    <col min="10498" max="10498" width="13.5703125" bestFit="1" customWidth="1"/>
    <col min="10500" max="10500" width="40.42578125" bestFit="1" customWidth="1"/>
    <col min="10501" max="10501" width="1.5703125" customWidth="1"/>
    <col min="10502" max="10502" width="41" customWidth="1"/>
    <col min="10503" max="10503" width="0.85546875" customWidth="1"/>
    <col min="10508" max="10508" width="26.85546875" bestFit="1" customWidth="1"/>
    <col min="10753" max="10753" width="2.5703125" customWidth="1"/>
    <col min="10754" max="10754" width="13.5703125" bestFit="1" customWidth="1"/>
    <col min="10756" max="10756" width="40.42578125" bestFit="1" customWidth="1"/>
    <col min="10757" max="10757" width="1.5703125" customWidth="1"/>
    <col min="10758" max="10758" width="41" customWidth="1"/>
    <col min="10759" max="10759" width="0.85546875" customWidth="1"/>
    <col min="10764" max="10764" width="26.85546875" bestFit="1" customWidth="1"/>
    <col min="11009" max="11009" width="2.5703125" customWidth="1"/>
    <col min="11010" max="11010" width="13.5703125" bestFit="1" customWidth="1"/>
    <col min="11012" max="11012" width="40.42578125" bestFit="1" customWidth="1"/>
    <col min="11013" max="11013" width="1.5703125" customWidth="1"/>
    <col min="11014" max="11014" width="41" customWidth="1"/>
    <col min="11015" max="11015" width="0.85546875" customWidth="1"/>
    <col min="11020" max="11020" width="26.85546875" bestFit="1" customWidth="1"/>
    <col min="11265" max="11265" width="2.5703125" customWidth="1"/>
    <col min="11266" max="11266" width="13.5703125" bestFit="1" customWidth="1"/>
    <col min="11268" max="11268" width="40.42578125" bestFit="1" customWidth="1"/>
    <col min="11269" max="11269" width="1.5703125" customWidth="1"/>
    <col min="11270" max="11270" width="41" customWidth="1"/>
    <col min="11271" max="11271" width="0.85546875" customWidth="1"/>
    <col min="11276" max="11276" width="26.85546875" bestFit="1" customWidth="1"/>
    <col min="11521" max="11521" width="2.5703125" customWidth="1"/>
    <col min="11522" max="11522" width="13.5703125" bestFit="1" customWidth="1"/>
    <col min="11524" max="11524" width="40.42578125" bestFit="1" customWidth="1"/>
    <col min="11525" max="11525" width="1.5703125" customWidth="1"/>
    <col min="11526" max="11526" width="41" customWidth="1"/>
    <col min="11527" max="11527" width="0.85546875" customWidth="1"/>
    <col min="11532" max="11532" width="26.85546875" bestFit="1" customWidth="1"/>
    <col min="11777" max="11777" width="2.5703125" customWidth="1"/>
    <col min="11778" max="11778" width="13.5703125" bestFit="1" customWidth="1"/>
    <col min="11780" max="11780" width="40.42578125" bestFit="1" customWidth="1"/>
    <col min="11781" max="11781" width="1.5703125" customWidth="1"/>
    <col min="11782" max="11782" width="41" customWidth="1"/>
    <col min="11783" max="11783" width="0.85546875" customWidth="1"/>
    <col min="11788" max="11788" width="26.85546875" bestFit="1" customWidth="1"/>
    <col min="12033" max="12033" width="2.5703125" customWidth="1"/>
    <col min="12034" max="12034" width="13.5703125" bestFit="1" customWidth="1"/>
    <col min="12036" max="12036" width="40.42578125" bestFit="1" customWidth="1"/>
    <col min="12037" max="12037" width="1.5703125" customWidth="1"/>
    <col min="12038" max="12038" width="41" customWidth="1"/>
    <col min="12039" max="12039" width="0.85546875" customWidth="1"/>
    <col min="12044" max="12044" width="26.85546875" bestFit="1" customWidth="1"/>
    <col min="12289" max="12289" width="2.5703125" customWidth="1"/>
    <col min="12290" max="12290" width="13.5703125" bestFit="1" customWidth="1"/>
    <col min="12292" max="12292" width="40.42578125" bestFit="1" customWidth="1"/>
    <col min="12293" max="12293" width="1.5703125" customWidth="1"/>
    <col min="12294" max="12294" width="41" customWidth="1"/>
    <col min="12295" max="12295" width="0.85546875" customWidth="1"/>
    <col min="12300" max="12300" width="26.85546875" bestFit="1" customWidth="1"/>
    <col min="12545" max="12545" width="2.5703125" customWidth="1"/>
    <col min="12546" max="12546" width="13.5703125" bestFit="1" customWidth="1"/>
    <col min="12548" max="12548" width="40.42578125" bestFit="1" customWidth="1"/>
    <col min="12549" max="12549" width="1.5703125" customWidth="1"/>
    <col min="12550" max="12550" width="41" customWidth="1"/>
    <col min="12551" max="12551" width="0.85546875" customWidth="1"/>
    <col min="12556" max="12556" width="26.85546875" bestFit="1" customWidth="1"/>
    <col min="12801" max="12801" width="2.5703125" customWidth="1"/>
    <col min="12802" max="12802" width="13.5703125" bestFit="1" customWidth="1"/>
    <col min="12804" max="12804" width="40.42578125" bestFit="1" customWidth="1"/>
    <col min="12805" max="12805" width="1.5703125" customWidth="1"/>
    <col min="12806" max="12806" width="41" customWidth="1"/>
    <col min="12807" max="12807" width="0.85546875" customWidth="1"/>
    <col min="12812" max="12812" width="26.85546875" bestFit="1" customWidth="1"/>
    <col min="13057" max="13057" width="2.5703125" customWidth="1"/>
    <col min="13058" max="13058" width="13.5703125" bestFit="1" customWidth="1"/>
    <col min="13060" max="13060" width="40.42578125" bestFit="1" customWidth="1"/>
    <col min="13061" max="13061" width="1.5703125" customWidth="1"/>
    <col min="13062" max="13062" width="41" customWidth="1"/>
    <col min="13063" max="13063" width="0.85546875" customWidth="1"/>
    <col min="13068" max="13068" width="26.85546875" bestFit="1" customWidth="1"/>
    <col min="13313" max="13313" width="2.5703125" customWidth="1"/>
    <col min="13314" max="13314" width="13.5703125" bestFit="1" customWidth="1"/>
    <col min="13316" max="13316" width="40.42578125" bestFit="1" customWidth="1"/>
    <col min="13317" max="13317" width="1.5703125" customWidth="1"/>
    <col min="13318" max="13318" width="41" customWidth="1"/>
    <col min="13319" max="13319" width="0.85546875" customWidth="1"/>
    <col min="13324" max="13324" width="26.85546875" bestFit="1" customWidth="1"/>
    <col min="13569" max="13569" width="2.5703125" customWidth="1"/>
    <col min="13570" max="13570" width="13.5703125" bestFit="1" customWidth="1"/>
    <col min="13572" max="13572" width="40.42578125" bestFit="1" customWidth="1"/>
    <col min="13573" max="13573" width="1.5703125" customWidth="1"/>
    <col min="13574" max="13574" width="41" customWidth="1"/>
    <col min="13575" max="13575" width="0.85546875" customWidth="1"/>
    <col min="13580" max="13580" width="26.85546875" bestFit="1" customWidth="1"/>
    <col min="13825" max="13825" width="2.5703125" customWidth="1"/>
    <col min="13826" max="13826" width="13.5703125" bestFit="1" customWidth="1"/>
    <col min="13828" max="13828" width="40.42578125" bestFit="1" customWidth="1"/>
    <col min="13829" max="13829" width="1.5703125" customWidth="1"/>
    <col min="13830" max="13830" width="41" customWidth="1"/>
    <col min="13831" max="13831" width="0.85546875" customWidth="1"/>
    <col min="13836" max="13836" width="26.85546875" bestFit="1" customWidth="1"/>
    <col min="14081" max="14081" width="2.5703125" customWidth="1"/>
    <col min="14082" max="14082" width="13.5703125" bestFit="1" customWidth="1"/>
    <col min="14084" max="14084" width="40.42578125" bestFit="1" customWidth="1"/>
    <col min="14085" max="14085" width="1.5703125" customWidth="1"/>
    <col min="14086" max="14086" width="41" customWidth="1"/>
    <col min="14087" max="14087" width="0.85546875" customWidth="1"/>
    <col min="14092" max="14092" width="26.85546875" bestFit="1" customWidth="1"/>
    <col min="14337" max="14337" width="2.5703125" customWidth="1"/>
    <col min="14338" max="14338" width="13.5703125" bestFit="1" customWidth="1"/>
    <col min="14340" max="14340" width="40.42578125" bestFit="1" customWidth="1"/>
    <col min="14341" max="14341" width="1.5703125" customWidth="1"/>
    <col min="14342" max="14342" width="41" customWidth="1"/>
    <col min="14343" max="14343" width="0.85546875" customWidth="1"/>
    <col min="14348" max="14348" width="26.85546875" bestFit="1" customWidth="1"/>
    <col min="14593" max="14593" width="2.5703125" customWidth="1"/>
    <col min="14594" max="14594" width="13.5703125" bestFit="1" customWidth="1"/>
    <col min="14596" max="14596" width="40.42578125" bestFit="1" customWidth="1"/>
    <col min="14597" max="14597" width="1.5703125" customWidth="1"/>
    <col min="14598" max="14598" width="41" customWidth="1"/>
    <col min="14599" max="14599" width="0.85546875" customWidth="1"/>
    <col min="14604" max="14604" width="26.85546875" bestFit="1" customWidth="1"/>
    <col min="14849" max="14849" width="2.5703125" customWidth="1"/>
    <col min="14850" max="14850" width="13.5703125" bestFit="1" customWidth="1"/>
    <col min="14852" max="14852" width="40.42578125" bestFit="1" customWidth="1"/>
    <col min="14853" max="14853" width="1.5703125" customWidth="1"/>
    <col min="14854" max="14854" width="41" customWidth="1"/>
    <col min="14855" max="14855" width="0.85546875" customWidth="1"/>
    <col min="14860" max="14860" width="26.85546875" bestFit="1" customWidth="1"/>
    <col min="15105" max="15105" width="2.5703125" customWidth="1"/>
    <col min="15106" max="15106" width="13.5703125" bestFit="1" customWidth="1"/>
    <col min="15108" max="15108" width="40.42578125" bestFit="1" customWidth="1"/>
    <col min="15109" max="15109" width="1.5703125" customWidth="1"/>
    <col min="15110" max="15110" width="41" customWidth="1"/>
    <col min="15111" max="15111" width="0.85546875" customWidth="1"/>
    <col min="15116" max="15116" width="26.85546875" bestFit="1" customWidth="1"/>
    <col min="15361" max="15361" width="2.5703125" customWidth="1"/>
    <col min="15362" max="15362" width="13.5703125" bestFit="1" customWidth="1"/>
    <col min="15364" max="15364" width="40.42578125" bestFit="1" customWidth="1"/>
    <col min="15365" max="15365" width="1.5703125" customWidth="1"/>
    <col min="15366" max="15366" width="41" customWidth="1"/>
    <col min="15367" max="15367" width="0.85546875" customWidth="1"/>
    <col min="15372" max="15372" width="26.85546875" bestFit="1" customWidth="1"/>
    <col min="15617" max="15617" width="2.5703125" customWidth="1"/>
    <col min="15618" max="15618" width="13.5703125" bestFit="1" customWidth="1"/>
    <col min="15620" max="15620" width="40.42578125" bestFit="1" customWidth="1"/>
    <col min="15621" max="15621" width="1.5703125" customWidth="1"/>
    <col min="15622" max="15622" width="41" customWidth="1"/>
    <col min="15623" max="15623" width="0.85546875" customWidth="1"/>
    <col min="15628" max="15628" width="26.85546875" bestFit="1" customWidth="1"/>
    <col min="15873" max="15873" width="2.5703125" customWidth="1"/>
    <col min="15874" max="15874" width="13.5703125" bestFit="1" customWidth="1"/>
    <col min="15876" max="15876" width="40.42578125" bestFit="1" customWidth="1"/>
    <col min="15877" max="15877" width="1.5703125" customWidth="1"/>
    <col min="15878" max="15878" width="41" customWidth="1"/>
    <col min="15879" max="15879" width="0.85546875" customWidth="1"/>
    <col min="15884" max="15884" width="26.85546875" bestFit="1" customWidth="1"/>
    <col min="16129" max="16129" width="2.5703125" customWidth="1"/>
    <col min="16130" max="16130" width="13.5703125" bestFit="1" customWidth="1"/>
    <col min="16132" max="16132" width="40.42578125" bestFit="1" customWidth="1"/>
    <col min="16133" max="16133" width="1.5703125" customWidth="1"/>
    <col min="16134" max="16134" width="41" customWidth="1"/>
    <col min="16135" max="16135" width="0.85546875" customWidth="1"/>
    <col min="16140" max="16140" width="26.85546875" bestFit="1" customWidth="1"/>
  </cols>
  <sheetData>
    <row r="3" spans="3:15">
      <c r="C3" s="32" t="s">
        <v>0</v>
      </c>
      <c r="D3" s="32"/>
      <c r="E3" s="32"/>
      <c r="F3" s="32" t="s">
        <v>2</v>
      </c>
      <c r="G3" s="32"/>
      <c r="H3" s="32" t="s">
        <v>3</v>
      </c>
      <c r="I3" s="32"/>
      <c r="L3" s="105" t="s">
        <v>4</v>
      </c>
      <c r="M3" s="18" t="s">
        <v>5</v>
      </c>
      <c r="N3" s="18" t="s">
        <v>6</v>
      </c>
    </row>
    <row r="4" spans="3:15">
      <c r="C4">
        <v>150</v>
      </c>
      <c r="F4" s="200"/>
      <c r="H4">
        <v>100</v>
      </c>
      <c r="L4" s="106">
        <v>2001</v>
      </c>
      <c r="M4" s="18">
        <v>100</v>
      </c>
      <c r="N4" s="107"/>
    </row>
    <row r="5" spans="3:15">
      <c r="F5" s="200"/>
      <c r="L5" s="106"/>
      <c r="M5" s="18"/>
      <c r="N5" s="107"/>
    </row>
    <row r="6" spans="3:15">
      <c r="C6" t="s">
        <v>3850</v>
      </c>
      <c r="F6" s="200"/>
      <c r="H6">
        <v>200</v>
      </c>
      <c r="L6" s="106">
        <v>2002</v>
      </c>
      <c r="M6" s="18">
        <v>125</v>
      </c>
      <c r="N6" s="186">
        <f>(M6-M4)/M4</f>
        <v>0.25</v>
      </c>
      <c r="O6" s="267">
        <f>M6/M4-1</f>
        <v>0.25</v>
      </c>
    </row>
    <row r="7" spans="3:15">
      <c r="F7" s="200"/>
      <c r="L7" s="106"/>
      <c r="M7" s="18"/>
      <c r="N7" s="186"/>
      <c r="O7" s="267"/>
    </row>
    <row r="8" spans="3:15">
      <c r="C8">
        <v>350</v>
      </c>
      <c r="F8" s="200"/>
      <c r="H8">
        <v>300</v>
      </c>
      <c r="L8" s="106">
        <v>2003</v>
      </c>
      <c r="M8" s="18">
        <v>150</v>
      </c>
      <c r="N8" s="186">
        <f>(M8-M6)/M6</f>
        <v>0.2</v>
      </c>
      <c r="O8" s="267">
        <f>M8/M6-1</f>
        <v>0.19999999999999996</v>
      </c>
    </row>
    <row r="9" spans="3:15">
      <c r="C9">
        <v>450</v>
      </c>
      <c r="F9" s="200"/>
      <c r="H9">
        <v>400</v>
      </c>
      <c r="L9" s="106">
        <v>2004</v>
      </c>
      <c r="M9" s="18">
        <v>180</v>
      </c>
      <c r="N9" s="186">
        <f t="shared" ref="N9" si="0">(M9-M8)/M8</f>
        <v>0.2</v>
      </c>
      <c r="O9" s="267">
        <f t="shared" ref="O9" si="1">M9/M8-1</f>
        <v>0.19999999999999996</v>
      </c>
    </row>
    <row r="10" spans="3:15">
      <c r="C10" t="s">
        <v>3851</v>
      </c>
      <c r="F10" s="200"/>
      <c r="H10" s="108"/>
    </row>
    <row r="11" spans="3:15">
      <c r="C11" s="199"/>
    </row>
    <row r="13" spans="3:15">
      <c r="N13">
        <f>(125-100)/100</f>
        <v>0.25</v>
      </c>
    </row>
    <row r="16" spans="3:15">
      <c r="D16" s="406">
        <v>10000</v>
      </c>
    </row>
    <row r="17" spans="4:4">
      <c r="D17" s="406">
        <v>20000</v>
      </c>
    </row>
    <row r="18" spans="4:4">
      <c r="D18" s="406"/>
    </row>
    <row r="19" spans="4:4">
      <c r="D19" s="406">
        <v>30000</v>
      </c>
    </row>
    <row r="20" spans="4:4">
      <c r="D20" s="406">
        <v>40000</v>
      </c>
    </row>
    <row r="22" spans="4:4">
      <c r="D22" s="405">
        <f>SUM(D16:D21)</f>
        <v>100000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2" tint="-9.9978637043366805E-2"/>
  </sheetPr>
  <dimension ref="B1:M6"/>
  <sheetViews>
    <sheetView workbookViewId="0">
      <pane xSplit="2" ySplit="2" topLeftCell="C3" activePane="bottomRight" state="frozen"/>
      <selection pane="topRight"/>
      <selection pane="bottomLeft"/>
      <selection pane="bottomRight" activeCell="B9" sqref="B9"/>
    </sheetView>
  </sheetViews>
  <sheetFormatPr defaultRowHeight="15"/>
  <cols>
    <col min="1" max="1" width="2.140625" customWidth="1"/>
    <col min="2" max="2" width="18.5703125" bestFit="1" customWidth="1"/>
    <col min="3" max="3" width="24.42578125" bestFit="1" customWidth="1"/>
    <col min="4" max="4" width="14.7109375" bestFit="1" customWidth="1"/>
    <col min="5" max="5" width="12.5703125" customWidth="1"/>
    <col min="6" max="6" width="12.7109375" bestFit="1" customWidth="1"/>
    <col min="7" max="7" width="11.7109375" customWidth="1"/>
    <col min="8" max="8" width="11.28515625" bestFit="1" customWidth="1"/>
    <col min="9" max="11" width="10" bestFit="1" customWidth="1"/>
    <col min="12" max="12" width="12.5703125" bestFit="1" customWidth="1"/>
    <col min="13" max="13" width="12.5703125" customWidth="1"/>
    <col min="257" max="257" width="2.140625" customWidth="1"/>
    <col min="258" max="258" width="18.28515625" customWidth="1"/>
    <col min="259" max="259" width="11.7109375" customWidth="1"/>
    <col min="260" max="260" width="16.42578125" customWidth="1"/>
    <col min="261" max="261" width="12.5703125" customWidth="1"/>
    <col min="262" max="262" width="13.85546875" customWidth="1"/>
    <col min="263" max="263" width="11.7109375" customWidth="1"/>
    <col min="264" max="264" width="14" customWidth="1"/>
    <col min="268" max="268" width="10.7109375" customWidth="1"/>
    <col min="269" max="269" width="12.5703125" customWidth="1"/>
    <col min="513" max="513" width="2.140625" customWidth="1"/>
    <col min="514" max="514" width="18.28515625" customWidth="1"/>
    <col min="515" max="515" width="11.7109375" customWidth="1"/>
    <col min="516" max="516" width="16.42578125" customWidth="1"/>
    <col min="517" max="517" width="12.5703125" customWidth="1"/>
    <col min="518" max="518" width="13.85546875" customWidth="1"/>
    <col min="519" max="519" width="11.7109375" customWidth="1"/>
    <col min="520" max="520" width="14" customWidth="1"/>
    <col min="524" max="524" width="10.7109375" customWidth="1"/>
    <col min="525" max="525" width="12.5703125" customWidth="1"/>
    <col min="769" max="769" width="2.140625" customWidth="1"/>
    <col min="770" max="770" width="18.28515625" customWidth="1"/>
    <col min="771" max="771" width="11.7109375" customWidth="1"/>
    <col min="772" max="772" width="16.42578125" customWidth="1"/>
    <col min="773" max="773" width="12.5703125" customWidth="1"/>
    <col min="774" max="774" width="13.85546875" customWidth="1"/>
    <col min="775" max="775" width="11.7109375" customWidth="1"/>
    <col min="776" max="776" width="14" customWidth="1"/>
    <col min="780" max="780" width="10.7109375" customWidth="1"/>
    <col min="781" max="781" width="12.5703125" customWidth="1"/>
    <col min="1025" max="1025" width="2.140625" customWidth="1"/>
    <col min="1026" max="1026" width="18.28515625" customWidth="1"/>
    <col min="1027" max="1027" width="11.7109375" customWidth="1"/>
    <col min="1028" max="1028" width="16.42578125" customWidth="1"/>
    <col min="1029" max="1029" width="12.5703125" customWidth="1"/>
    <col min="1030" max="1030" width="13.85546875" customWidth="1"/>
    <col min="1031" max="1031" width="11.7109375" customWidth="1"/>
    <col min="1032" max="1032" width="14" customWidth="1"/>
    <col min="1036" max="1036" width="10.7109375" customWidth="1"/>
    <col min="1037" max="1037" width="12.5703125" customWidth="1"/>
    <col min="1281" max="1281" width="2.140625" customWidth="1"/>
    <col min="1282" max="1282" width="18.28515625" customWidth="1"/>
    <col min="1283" max="1283" width="11.7109375" customWidth="1"/>
    <col min="1284" max="1284" width="16.42578125" customWidth="1"/>
    <col min="1285" max="1285" width="12.5703125" customWidth="1"/>
    <col min="1286" max="1286" width="13.85546875" customWidth="1"/>
    <col min="1287" max="1287" width="11.7109375" customWidth="1"/>
    <col min="1288" max="1288" width="14" customWidth="1"/>
    <col min="1292" max="1292" width="10.7109375" customWidth="1"/>
    <col min="1293" max="1293" width="12.5703125" customWidth="1"/>
    <col min="1537" max="1537" width="2.140625" customWidth="1"/>
    <col min="1538" max="1538" width="18.28515625" customWidth="1"/>
    <col min="1539" max="1539" width="11.7109375" customWidth="1"/>
    <col min="1540" max="1540" width="16.42578125" customWidth="1"/>
    <col min="1541" max="1541" width="12.5703125" customWidth="1"/>
    <col min="1542" max="1542" width="13.85546875" customWidth="1"/>
    <col min="1543" max="1543" width="11.7109375" customWidth="1"/>
    <col min="1544" max="1544" width="14" customWidth="1"/>
    <col min="1548" max="1548" width="10.7109375" customWidth="1"/>
    <col min="1549" max="1549" width="12.5703125" customWidth="1"/>
    <col min="1793" max="1793" width="2.140625" customWidth="1"/>
    <col min="1794" max="1794" width="18.28515625" customWidth="1"/>
    <col min="1795" max="1795" width="11.7109375" customWidth="1"/>
    <col min="1796" max="1796" width="16.42578125" customWidth="1"/>
    <col min="1797" max="1797" width="12.5703125" customWidth="1"/>
    <col min="1798" max="1798" width="13.85546875" customWidth="1"/>
    <col min="1799" max="1799" width="11.7109375" customWidth="1"/>
    <col min="1800" max="1800" width="14" customWidth="1"/>
    <col min="1804" max="1804" width="10.7109375" customWidth="1"/>
    <col min="1805" max="1805" width="12.5703125" customWidth="1"/>
    <col min="2049" max="2049" width="2.140625" customWidth="1"/>
    <col min="2050" max="2050" width="18.28515625" customWidth="1"/>
    <col min="2051" max="2051" width="11.7109375" customWidth="1"/>
    <col min="2052" max="2052" width="16.42578125" customWidth="1"/>
    <col min="2053" max="2053" width="12.5703125" customWidth="1"/>
    <col min="2054" max="2054" width="13.85546875" customWidth="1"/>
    <col min="2055" max="2055" width="11.7109375" customWidth="1"/>
    <col min="2056" max="2056" width="14" customWidth="1"/>
    <col min="2060" max="2060" width="10.7109375" customWidth="1"/>
    <col min="2061" max="2061" width="12.5703125" customWidth="1"/>
    <col min="2305" max="2305" width="2.140625" customWidth="1"/>
    <col min="2306" max="2306" width="18.28515625" customWidth="1"/>
    <col min="2307" max="2307" width="11.7109375" customWidth="1"/>
    <col min="2308" max="2308" width="16.42578125" customWidth="1"/>
    <col min="2309" max="2309" width="12.5703125" customWidth="1"/>
    <col min="2310" max="2310" width="13.85546875" customWidth="1"/>
    <col min="2311" max="2311" width="11.7109375" customWidth="1"/>
    <col min="2312" max="2312" width="14" customWidth="1"/>
    <col min="2316" max="2316" width="10.7109375" customWidth="1"/>
    <col min="2317" max="2317" width="12.5703125" customWidth="1"/>
    <col min="2561" max="2561" width="2.140625" customWidth="1"/>
    <col min="2562" max="2562" width="18.28515625" customWidth="1"/>
    <col min="2563" max="2563" width="11.7109375" customWidth="1"/>
    <col min="2564" max="2564" width="16.42578125" customWidth="1"/>
    <col min="2565" max="2565" width="12.5703125" customWidth="1"/>
    <col min="2566" max="2566" width="13.85546875" customWidth="1"/>
    <col min="2567" max="2567" width="11.7109375" customWidth="1"/>
    <col min="2568" max="2568" width="14" customWidth="1"/>
    <col min="2572" max="2572" width="10.7109375" customWidth="1"/>
    <col min="2573" max="2573" width="12.5703125" customWidth="1"/>
    <col min="2817" max="2817" width="2.140625" customWidth="1"/>
    <col min="2818" max="2818" width="18.28515625" customWidth="1"/>
    <col min="2819" max="2819" width="11.7109375" customWidth="1"/>
    <col min="2820" max="2820" width="16.42578125" customWidth="1"/>
    <col min="2821" max="2821" width="12.5703125" customWidth="1"/>
    <col min="2822" max="2822" width="13.85546875" customWidth="1"/>
    <col min="2823" max="2823" width="11.7109375" customWidth="1"/>
    <col min="2824" max="2824" width="14" customWidth="1"/>
    <col min="2828" max="2828" width="10.7109375" customWidth="1"/>
    <col min="2829" max="2829" width="12.5703125" customWidth="1"/>
    <col min="3073" max="3073" width="2.140625" customWidth="1"/>
    <col min="3074" max="3074" width="18.28515625" customWidth="1"/>
    <col min="3075" max="3075" width="11.7109375" customWidth="1"/>
    <col min="3076" max="3076" width="16.42578125" customWidth="1"/>
    <col min="3077" max="3077" width="12.5703125" customWidth="1"/>
    <col min="3078" max="3078" width="13.85546875" customWidth="1"/>
    <col min="3079" max="3079" width="11.7109375" customWidth="1"/>
    <col min="3080" max="3080" width="14" customWidth="1"/>
    <col min="3084" max="3084" width="10.7109375" customWidth="1"/>
    <col min="3085" max="3085" width="12.5703125" customWidth="1"/>
    <col min="3329" max="3329" width="2.140625" customWidth="1"/>
    <col min="3330" max="3330" width="18.28515625" customWidth="1"/>
    <col min="3331" max="3331" width="11.7109375" customWidth="1"/>
    <col min="3332" max="3332" width="16.42578125" customWidth="1"/>
    <col min="3333" max="3333" width="12.5703125" customWidth="1"/>
    <col min="3334" max="3334" width="13.85546875" customWidth="1"/>
    <col min="3335" max="3335" width="11.7109375" customWidth="1"/>
    <col min="3336" max="3336" width="14" customWidth="1"/>
    <col min="3340" max="3340" width="10.7109375" customWidth="1"/>
    <col min="3341" max="3341" width="12.5703125" customWidth="1"/>
    <col min="3585" max="3585" width="2.140625" customWidth="1"/>
    <col min="3586" max="3586" width="18.28515625" customWidth="1"/>
    <col min="3587" max="3587" width="11.7109375" customWidth="1"/>
    <col min="3588" max="3588" width="16.42578125" customWidth="1"/>
    <col min="3589" max="3589" width="12.5703125" customWidth="1"/>
    <col min="3590" max="3590" width="13.85546875" customWidth="1"/>
    <col min="3591" max="3591" width="11.7109375" customWidth="1"/>
    <col min="3592" max="3592" width="14" customWidth="1"/>
    <col min="3596" max="3596" width="10.7109375" customWidth="1"/>
    <col min="3597" max="3597" width="12.5703125" customWidth="1"/>
    <col min="3841" max="3841" width="2.140625" customWidth="1"/>
    <col min="3842" max="3842" width="18.28515625" customWidth="1"/>
    <col min="3843" max="3843" width="11.7109375" customWidth="1"/>
    <col min="3844" max="3844" width="16.42578125" customWidth="1"/>
    <col min="3845" max="3845" width="12.5703125" customWidth="1"/>
    <col min="3846" max="3846" width="13.85546875" customWidth="1"/>
    <col min="3847" max="3847" width="11.7109375" customWidth="1"/>
    <col min="3848" max="3848" width="14" customWidth="1"/>
    <col min="3852" max="3852" width="10.7109375" customWidth="1"/>
    <col min="3853" max="3853" width="12.5703125" customWidth="1"/>
    <col min="4097" max="4097" width="2.140625" customWidth="1"/>
    <col min="4098" max="4098" width="18.28515625" customWidth="1"/>
    <col min="4099" max="4099" width="11.7109375" customWidth="1"/>
    <col min="4100" max="4100" width="16.42578125" customWidth="1"/>
    <col min="4101" max="4101" width="12.5703125" customWidth="1"/>
    <col min="4102" max="4102" width="13.85546875" customWidth="1"/>
    <col min="4103" max="4103" width="11.7109375" customWidth="1"/>
    <col min="4104" max="4104" width="14" customWidth="1"/>
    <col min="4108" max="4108" width="10.7109375" customWidth="1"/>
    <col min="4109" max="4109" width="12.5703125" customWidth="1"/>
    <col min="4353" max="4353" width="2.140625" customWidth="1"/>
    <col min="4354" max="4354" width="18.28515625" customWidth="1"/>
    <col min="4355" max="4355" width="11.7109375" customWidth="1"/>
    <col min="4356" max="4356" width="16.42578125" customWidth="1"/>
    <col min="4357" max="4357" width="12.5703125" customWidth="1"/>
    <col min="4358" max="4358" width="13.85546875" customWidth="1"/>
    <col min="4359" max="4359" width="11.7109375" customWidth="1"/>
    <col min="4360" max="4360" width="14" customWidth="1"/>
    <col min="4364" max="4364" width="10.7109375" customWidth="1"/>
    <col min="4365" max="4365" width="12.5703125" customWidth="1"/>
    <col min="4609" max="4609" width="2.140625" customWidth="1"/>
    <col min="4610" max="4610" width="18.28515625" customWidth="1"/>
    <col min="4611" max="4611" width="11.7109375" customWidth="1"/>
    <col min="4612" max="4612" width="16.42578125" customWidth="1"/>
    <col min="4613" max="4613" width="12.5703125" customWidth="1"/>
    <col min="4614" max="4614" width="13.85546875" customWidth="1"/>
    <col min="4615" max="4615" width="11.7109375" customWidth="1"/>
    <col min="4616" max="4616" width="14" customWidth="1"/>
    <col min="4620" max="4620" width="10.7109375" customWidth="1"/>
    <col min="4621" max="4621" width="12.5703125" customWidth="1"/>
    <col min="4865" max="4865" width="2.140625" customWidth="1"/>
    <col min="4866" max="4866" width="18.28515625" customWidth="1"/>
    <col min="4867" max="4867" width="11.7109375" customWidth="1"/>
    <col min="4868" max="4868" width="16.42578125" customWidth="1"/>
    <col min="4869" max="4869" width="12.5703125" customWidth="1"/>
    <col min="4870" max="4870" width="13.85546875" customWidth="1"/>
    <col min="4871" max="4871" width="11.7109375" customWidth="1"/>
    <col min="4872" max="4872" width="14" customWidth="1"/>
    <col min="4876" max="4876" width="10.7109375" customWidth="1"/>
    <col min="4877" max="4877" width="12.5703125" customWidth="1"/>
    <col min="5121" max="5121" width="2.140625" customWidth="1"/>
    <col min="5122" max="5122" width="18.28515625" customWidth="1"/>
    <col min="5123" max="5123" width="11.7109375" customWidth="1"/>
    <col min="5124" max="5124" width="16.42578125" customWidth="1"/>
    <col min="5125" max="5125" width="12.5703125" customWidth="1"/>
    <col min="5126" max="5126" width="13.85546875" customWidth="1"/>
    <col min="5127" max="5127" width="11.7109375" customWidth="1"/>
    <col min="5128" max="5128" width="14" customWidth="1"/>
    <col min="5132" max="5132" width="10.7109375" customWidth="1"/>
    <col min="5133" max="5133" width="12.5703125" customWidth="1"/>
    <col min="5377" max="5377" width="2.140625" customWidth="1"/>
    <col min="5378" max="5378" width="18.28515625" customWidth="1"/>
    <col min="5379" max="5379" width="11.7109375" customWidth="1"/>
    <col min="5380" max="5380" width="16.42578125" customWidth="1"/>
    <col min="5381" max="5381" width="12.5703125" customWidth="1"/>
    <col min="5382" max="5382" width="13.85546875" customWidth="1"/>
    <col min="5383" max="5383" width="11.7109375" customWidth="1"/>
    <col min="5384" max="5384" width="14" customWidth="1"/>
    <col min="5388" max="5388" width="10.7109375" customWidth="1"/>
    <col min="5389" max="5389" width="12.5703125" customWidth="1"/>
    <col min="5633" max="5633" width="2.140625" customWidth="1"/>
    <col min="5634" max="5634" width="18.28515625" customWidth="1"/>
    <col min="5635" max="5635" width="11.7109375" customWidth="1"/>
    <col min="5636" max="5636" width="16.42578125" customWidth="1"/>
    <col min="5637" max="5637" width="12.5703125" customWidth="1"/>
    <col min="5638" max="5638" width="13.85546875" customWidth="1"/>
    <col min="5639" max="5639" width="11.7109375" customWidth="1"/>
    <col min="5640" max="5640" width="14" customWidth="1"/>
    <col min="5644" max="5644" width="10.7109375" customWidth="1"/>
    <col min="5645" max="5645" width="12.5703125" customWidth="1"/>
    <col min="5889" max="5889" width="2.140625" customWidth="1"/>
    <col min="5890" max="5890" width="18.28515625" customWidth="1"/>
    <col min="5891" max="5891" width="11.7109375" customWidth="1"/>
    <col min="5892" max="5892" width="16.42578125" customWidth="1"/>
    <col min="5893" max="5893" width="12.5703125" customWidth="1"/>
    <col min="5894" max="5894" width="13.85546875" customWidth="1"/>
    <col min="5895" max="5895" width="11.7109375" customWidth="1"/>
    <col min="5896" max="5896" width="14" customWidth="1"/>
    <col min="5900" max="5900" width="10.7109375" customWidth="1"/>
    <col min="5901" max="5901" width="12.5703125" customWidth="1"/>
    <col min="6145" max="6145" width="2.140625" customWidth="1"/>
    <col min="6146" max="6146" width="18.28515625" customWidth="1"/>
    <col min="6147" max="6147" width="11.7109375" customWidth="1"/>
    <col min="6148" max="6148" width="16.42578125" customWidth="1"/>
    <col min="6149" max="6149" width="12.5703125" customWidth="1"/>
    <col min="6150" max="6150" width="13.85546875" customWidth="1"/>
    <col min="6151" max="6151" width="11.7109375" customWidth="1"/>
    <col min="6152" max="6152" width="14" customWidth="1"/>
    <col min="6156" max="6156" width="10.7109375" customWidth="1"/>
    <col min="6157" max="6157" width="12.5703125" customWidth="1"/>
    <col min="6401" max="6401" width="2.140625" customWidth="1"/>
    <col min="6402" max="6402" width="18.28515625" customWidth="1"/>
    <col min="6403" max="6403" width="11.7109375" customWidth="1"/>
    <col min="6404" max="6404" width="16.42578125" customWidth="1"/>
    <col min="6405" max="6405" width="12.5703125" customWidth="1"/>
    <col min="6406" max="6406" width="13.85546875" customWidth="1"/>
    <col min="6407" max="6407" width="11.7109375" customWidth="1"/>
    <col min="6408" max="6408" width="14" customWidth="1"/>
    <col min="6412" max="6412" width="10.7109375" customWidth="1"/>
    <col min="6413" max="6413" width="12.5703125" customWidth="1"/>
    <col min="6657" max="6657" width="2.140625" customWidth="1"/>
    <col min="6658" max="6658" width="18.28515625" customWidth="1"/>
    <col min="6659" max="6659" width="11.7109375" customWidth="1"/>
    <col min="6660" max="6660" width="16.42578125" customWidth="1"/>
    <col min="6661" max="6661" width="12.5703125" customWidth="1"/>
    <col min="6662" max="6662" width="13.85546875" customWidth="1"/>
    <col min="6663" max="6663" width="11.7109375" customWidth="1"/>
    <col min="6664" max="6664" width="14" customWidth="1"/>
    <col min="6668" max="6668" width="10.7109375" customWidth="1"/>
    <col min="6669" max="6669" width="12.5703125" customWidth="1"/>
    <col min="6913" max="6913" width="2.140625" customWidth="1"/>
    <col min="6914" max="6914" width="18.28515625" customWidth="1"/>
    <col min="6915" max="6915" width="11.7109375" customWidth="1"/>
    <col min="6916" max="6916" width="16.42578125" customWidth="1"/>
    <col min="6917" max="6917" width="12.5703125" customWidth="1"/>
    <col min="6918" max="6918" width="13.85546875" customWidth="1"/>
    <col min="6919" max="6919" width="11.7109375" customWidth="1"/>
    <col min="6920" max="6920" width="14" customWidth="1"/>
    <col min="6924" max="6924" width="10.7109375" customWidth="1"/>
    <col min="6925" max="6925" width="12.5703125" customWidth="1"/>
    <col min="7169" max="7169" width="2.140625" customWidth="1"/>
    <col min="7170" max="7170" width="18.28515625" customWidth="1"/>
    <col min="7171" max="7171" width="11.7109375" customWidth="1"/>
    <col min="7172" max="7172" width="16.42578125" customWidth="1"/>
    <col min="7173" max="7173" width="12.5703125" customWidth="1"/>
    <col min="7174" max="7174" width="13.85546875" customWidth="1"/>
    <col min="7175" max="7175" width="11.7109375" customWidth="1"/>
    <col min="7176" max="7176" width="14" customWidth="1"/>
    <col min="7180" max="7180" width="10.7109375" customWidth="1"/>
    <col min="7181" max="7181" width="12.5703125" customWidth="1"/>
    <col min="7425" max="7425" width="2.140625" customWidth="1"/>
    <col min="7426" max="7426" width="18.28515625" customWidth="1"/>
    <col min="7427" max="7427" width="11.7109375" customWidth="1"/>
    <col min="7428" max="7428" width="16.42578125" customWidth="1"/>
    <col min="7429" max="7429" width="12.5703125" customWidth="1"/>
    <col min="7430" max="7430" width="13.85546875" customWidth="1"/>
    <col min="7431" max="7431" width="11.7109375" customWidth="1"/>
    <col min="7432" max="7432" width="14" customWidth="1"/>
    <col min="7436" max="7436" width="10.7109375" customWidth="1"/>
    <col min="7437" max="7437" width="12.5703125" customWidth="1"/>
    <col min="7681" max="7681" width="2.140625" customWidth="1"/>
    <col min="7682" max="7682" width="18.28515625" customWidth="1"/>
    <col min="7683" max="7683" width="11.7109375" customWidth="1"/>
    <col min="7684" max="7684" width="16.42578125" customWidth="1"/>
    <col min="7685" max="7685" width="12.5703125" customWidth="1"/>
    <col min="7686" max="7686" width="13.85546875" customWidth="1"/>
    <col min="7687" max="7687" width="11.7109375" customWidth="1"/>
    <col min="7688" max="7688" width="14" customWidth="1"/>
    <col min="7692" max="7692" width="10.7109375" customWidth="1"/>
    <col min="7693" max="7693" width="12.5703125" customWidth="1"/>
    <col min="7937" max="7937" width="2.140625" customWidth="1"/>
    <col min="7938" max="7938" width="18.28515625" customWidth="1"/>
    <col min="7939" max="7939" width="11.7109375" customWidth="1"/>
    <col min="7940" max="7940" width="16.42578125" customWidth="1"/>
    <col min="7941" max="7941" width="12.5703125" customWidth="1"/>
    <col min="7942" max="7942" width="13.85546875" customWidth="1"/>
    <col min="7943" max="7943" width="11.7109375" customWidth="1"/>
    <col min="7944" max="7944" width="14" customWidth="1"/>
    <col min="7948" max="7948" width="10.7109375" customWidth="1"/>
    <col min="7949" max="7949" width="12.5703125" customWidth="1"/>
    <col min="8193" max="8193" width="2.140625" customWidth="1"/>
    <col min="8194" max="8194" width="18.28515625" customWidth="1"/>
    <col min="8195" max="8195" width="11.7109375" customWidth="1"/>
    <col min="8196" max="8196" width="16.42578125" customWidth="1"/>
    <col min="8197" max="8197" width="12.5703125" customWidth="1"/>
    <col min="8198" max="8198" width="13.85546875" customWidth="1"/>
    <col min="8199" max="8199" width="11.7109375" customWidth="1"/>
    <col min="8200" max="8200" width="14" customWidth="1"/>
    <col min="8204" max="8204" width="10.7109375" customWidth="1"/>
    <col min="8205" max="8205" width="12.5703125" customWidth="1"/>
    <col min="8449" max="8449" width="2.140625" customWidth="1"/>
    <col min="8450" max="8450" width="18.28515625" customWidth="1"/>
    <col min="8451" max="8451" width="11.7109375" customWidth="1"/>
    <col min="8452" max="8452" width="16.42578125" customWidth="1"/>
    <col min="8453" max="8453" width="12.5703125" customWidth="1"/>
    <col min="8454" max="8454" width="13.85546875" customWidth="1"/>
    <col min="8455" max="8455" width="11.7109375" customWidth="1"/>
    <col min="8456" max="8456" width="14" customWidth="1"/>
    <col min="8460" max="8460" width="10.7109375" customWidth="1"/>
    <col min="8461" max="8461" width="12.5703125" customWidth="1"/>
    <col min="8705" max="8705" width="2.140625" customWidth="1"/>
    <col min="8706" max="8706" width="18.28515625" customWidth="1"/>
    <col min="8707" max="8707" width="11.7109375" customWidth="1"/>
    <col min="8708" max="8708" width="16.42578125" customWidth="1"/>
    <col min="8709" max="8709" width="12.5703125" customWidth="1"/>
    <col min="8710" max="8710" width="13.85546875" customWidth="1"/>
    <col min="8711" max="8711" width="11.7109375" customWidth="1"/>
    <col min="8712" max="8712" width="14" customWidth="1"/>
    <col min="8716" max="8716" width="10.7109375" customWidth="1"/>
    <col min="8717" max="8717" width="12.5703125" customWidth="1"/>
    <col min="8961" max="8961" width="2.140625" customWidth="1"/>
    <col min="8962" max="8962" width="18.28515625" customWidth="1"/>
    <col min="8963" max="8963" width="11.7109375" customWidth="1"/>
    <col min="8964" max="8964" width="16.42578125" customWidth="1"/>
    <col min="8965" max="8965" width="12.5703125" customWidth="1"/>
    <col min="8966" max="8966" width="13.85546875" customWidth="1"/>
    <col min="8967" max="8967" width="11.7109375" customWidth="1"/>
    <col min="8968" max="8968" width="14" customWidth="1"/>
    <col min="8972" max="8972" width="10.7109375" customWidth="1"/>
    <col min="8973" max="8973" width="12.5703125" customWidth="1"/>
    <col min="9217" max="9217" width="2.140625" customWidth="1"/>
    <col min="9218" max="9218" width="18.28515625" customWidth="1"/>
    <col min="9219" max="9219" width="11.7109375" customWidth="1"/>
    <col min="9220" max="9220" width="16.42578125" customWidth="1"/>
    <col min="9221" max="9221" width="12.5703125" customWidth="1"/>
    <col min="9222" max="9222" width="13.85546875" customWidth="1"/>
    <col min="9223" max="9223" width="11.7109375" customWidth="1"/>
    <col min="9224" max="9224" width="14" customWidth="1"/>
    <col min="9228" max="9228" width="10.7109375" customWidth="1"/>
    <col min="9229" max="9229" width="12.5703125" customWidth="1"/>
    <col min="9473" max="9473" width="2.140625" customWidth="1"/>
    <col min="9474" max="9474" width="18.28515625" customWidth="1"/>
    <col min="9475" max="9475" width="11.7109375" customWidth="1"/>
    <col min="9476" max="9476" width="16.42578125" customWidth="1"/>
    <col min="9477" max="9477" width="12.5703125" customWidth="1"/>
    <col min="9478" max="9478" width="13.85546875" customWidth="1"/>
    <col min="9479" max="9479" width="11.7109375" customWidth="1"/>
    <col min="9480" max="9480" width="14" customWidth="1"/>
    <col min="9484" max="9484" width="10.7109375" customWidth="1"/>
    <col min="9485" max="9485" width="12.5703125" customWidth="1"/>
    <col min="9729" max="9729" width="2.140625" customWidth="1"/>
    <col min="9730" max="9730" width="18.28515625" customWidth="1"/>
    <col min="9731" max="9731" width="11.7109375" customWidth="1"/>
    <col min="9732" max="9732" width="16.42578125" customWidth="1"/>
    <col min="9733" max="9733" width="12.5703125" customWidth="1"/>
    <col min="9734" max="9734" width="13.85546875" customWidth="1"/>
    <col min="9735" max="9735" width="11.7109375" customWidth="1"/>
    <col min="9736" max="9736" width="14" customWidth="1"/>
    <col min="9740" max="9740" width="10.7109375" customWidth="1"/>
    <col min="9741" max="9741" width="12.5703125" customWidth="1"/>
    <col min="9985" max="9985" width="2.140625" customWidth="1"/>
    <col min="9986" max="9986" width="18.28515625" customWidth="1"/>
    <col min="9987" max="9987" width="11.7109375" customWidth="1"/>
    <col min="9988" max="9988" width="16.42578125" customWidth="1"/>
    <col min="9989" max="9989" width="12.5703125" customWidth="1"/>
    <col min="9990" max="9990" width="13.85546875" customWidth="1"/>
    <col min="9991" max="9991" width="11.7109375" customWidth="1"/>
    <col min="9992" max="9992" width="14" customWidth="1"/>
    <col min="9996" max="9996" width="10.7109375" customWidth="1"/>
    <col min="9997" max="9997" width="12.5703125" customWidth="1"/>
    <col min="10241" max="10241" width="2.140625" customWidth="1"/>
    <col min="10242" max="10242" width="18.28515625" customWidth="1"/>
    <col min="10243" max="10243" width="11.7109375" customWidth="1"/>
    <col min="10244" max="10244" width="16.42578125" customWidth="1"/>
    <col min="10245" max="10245" width="12.5703125" customWidth="1"/>
    <col min="10246" max="10246" width="13.85546875" customWidth="1"/>
    <col min="10247" max="10247" width="11.7109375" customWidth="1"/>
    <col min="10248" max="10248" width="14" customWidth="1"/>
    <col min="10252" max="10252" width="10.7109375" customWidth="1"/>
    <col min="10253" max="10253" width="12.5703125" customWidth="1"/>
    <col min="10497" max="10497" width="2.140625" customWidth="1"/>
    <col min="10498" max="10498" width="18.28515625" customWidth="1"/>
    <col min="10499" max="10499" width="11.7109375" customWidth="1"/>
    <col min="10500" max="10500" width="16.42578125" customWidth="1"/>
    <col min="10501" max="10501" width="12.5703125" customWidth="1"/>
    <col min="10502" max="10502" width="13.85546875" customWidth="1"/>
    <col min="10503" max="10503" width="11.7109375" customWidth="1"/>
    <col min="10504" max="10504" width="14" customWidth="1"/>
    <col min="10508" max="10508" width="10.7109375" customWidth="1"/>
    <col min="10509" max="10509" width="12.5703125" customWidth="1"/>
    <col min="10753" max="10753" width="2.140625" customWidth="1"/>
    <col min="10754" max="10754" width="18.28515625" customWidth="1"/>
    <col min="10755" max="10755" width="11.7109375" customWidth="1"/>
    <col min="10756" max="10756" width="16.42578125" customWidth="1"/>
    <col min="10757" max="10757" width="12.5703125" customWidth="1"/>
    <col min="10758" max="10758" width="13.85546875" customWidth="1"/>
    <col min="10759" max="10759" width="11.7109375" customWidth="1"/>
    <col min="10760" max="10760" width="14" customWidth="1"/>
    <col min="10764" max="10764" width="10.7109375" customWidth="1"/>
    <col min="10765" max="10765" width="12.5703125" customWidth="1"/>
    <col min="11009" max="11009" width="2.140625" customWidth="1"/>
    <col min="11010" max="11010" width="18.28515625" customWidth="1"/>
    <col min="11011" max="11011" width="11.7109375" customWidth="1"/>
    <col min="11012" max="11012" width="16.42578125" customWidth="1"/>
    <col min="11013" max="11013" width="12.5703125" customWidth="1"/>
    <col min="11014" max="11014" width="13.85546875" customWidth="1"/>
    <col min="11015" max="11015" width="11.7109375" customWidth="1"/>
    <col min="11016" max="11016" width="14" customWidth="1"/>
    <col min="11020" max="11020" width="10.7109375" customWidth="1"/>
    <col min="11021" max="11021" width="12.5703125" customWidth="1"/>
    <col min="11265" max="11265" width="2.140625" customWidth="1"/>
    <col min="11266" max="11266" width="18.28515625" customWidth="1"/>
    <col min="11267" max="11267" width="11.7109375" customWidth="1"/>
    <col min="11268" max="11268" width="16.42578125" customWidth="1"/>
    <col min="11269" max="11269" width="12.5703125" customWidth="1"/>
    <col min="11270" max="11270" width="13.85546875" customWidth="1"/>
    <col min="11271" max="11271" width="11.7109375" customWidth="1"/>
    <col min="11272" max="11272" width="14" customWidth="1"/>
    <col min="11276" max="11276" width="10.7109375" customWidth="1"/>
    <col min="11277" max="11277" width="12.5703125" customWidth="1"/>
    <col min="11521" max="11521" width="2.140625" customWidth="1"/>
    <col min="11522" max="11522" width="18.28515625" customWidth="1"/>
    <col min="11523" max="11523" width="11.7109375" customWidth="1"/>
    <col min="11524" max="11524" width="16.42578125" customWidth="1"/>
    <col min="11525" max="11525" width="12.5703125" customWidth="1"/>
    <col min="11526" max="11526" width="13.85546875" customWidth="1"/>
    <col min="11527" max="11527" width="11.7109375" customWidth="1"/>
    <col min="11528" max="11528" width="14" customWidth="1"/>
    <col min="11532" max="11532" width="10.7109375" customWidth="1"/>
    <col min="11533" max="11533" width="12.5703125" customWidth="1"/>
    <col min="11777" max="11777" width="2.140625" customWidth="1"/>
    <col min="11778" max="11778" width="18.28515625" customWidth="1"/>
    <col min="11779" max="11779" width="11.7109375" customWidth="1"/>
    <col min="11780" max="11780" width="16.42578125" customWidth="1"/>
    <col min="11781" max="11781" width="12.5703125" customWidth="1"/>
    <col min="11782" max="11782" width="13.85546875" customWidth="1"/>
    <col min="11783" max="11783" width="11.7109375" customWidth="1"/>
    <col min="11784" max="11784" width="14" customWidth="1"/>
    <col min="11788" max="11788" width="10.7109375" customWidth="1"/>
    <col min="11789" max="11789" width="12.5703125" customWidth="1"/>
    <col min="12033" max="12033" width="2.140625" customWidth="1"/>
    <col min="12034" max="12034" width="18.28515625" customWidth="1"/>
    <col min="12035" max="12035" width="11.7109375" customWidth="1"/>
    <col min="12036" max="12036" width="16.42578125" customWidth="1"/>
    <col min="12037" max="12037" width="12.5703125" customWidth="1"/>
    <col min="12038" max="12038" width="13.85546875" customWidth="1"/>
    <col min="12039" max="12039" width="11.7109375" customWidth="1"/>
    <col min="12040" max="12040" width="14" customWidth="1"/>
    <col min="12044" max="12044" width="10.7109375" customWidth="1"/>
    <col min="12045" max="12045" width="12.5703125" customWidth="1"/>
    <col min="12289" max="12289" width="2.140625" customWidth="1"/>
    <col min="12290" max="12290" width="18.28515625" customWidth="1"/>
    <col min="12291" max="12291" width="11.7109375" customWidth="1"/>
    <col min="12292" max="12292" width="16.42578125" customWidth="1"/>
    <col min="12293" max="12293" width="12.5703125" customWidth="1"/>
    <col min="12294" max="12294" width="13.85546875" customWidth="1"/>
    <col min="12295" max="12295" width="11.7109375" customWidth="1"/>
    <col min="12296" max="12296" width="14" customWidth="1"/>
    <col min="12300" max="12300" width="10.7109375" customWidth="1"/>
    <col min="12301" max="12301" width="12.5703125" customWidth="1"/>
    <col min="12545" max="12545" width="2.140625" customWidth="1"/>
    <col min="12546" max="12546" width="18.28515625" customWidth="1"/>
    <col min="12547" max="12547" width="11.7109375" customWidth="1"/>
    <col min="12548" max="12548" width="16.42578125" customWidth="1"/>
    <col min="12549" max="12549" width="12.5703125" customWidth="1"/>
    <col min="12550" max="12550" width="13.85546875" customWidth="1"/>
    <col min="12551" max="12551" width="11.7109375" customWidth="1"/>
    <col min="12552" max="12552" width="14" customWidth="1"/>
    <col min="12556" max="12556" width="10.7109375" customWidth="1"/>
    <col min="12557" max="12557" width="12.5703125" customWidth="1"/>
    <col min="12801" max="12801" width="2.140625" customWidth="1"/>
    <col min="12802" max="12802" width="18.28515625" customWidth="1"/>
    <col min="12803" max="12803" width="11.7109375" customWidth="1"/>
    <col min="12804" max="12804" width="16.42578125" customWidth="1"/>
    <col min="12805" max="12805" width="12.5703125" customWidth="1"/>
    <col min="12806" max="12806" width="13.85546875" customWidth="1"/>
    <col min="12807" max="12807" width="11.7109375" customWidth="1"/>
    <col min="12808" max="12808" width="14" customWidth="1"/>
    <col min="12812" max="12812" width="10.7109375" customWidth="1"/>
    <col min="12813" max="12813" width="12.5703125" customWidth="1"/>
    <col min="13057" max="13057" width="2.140625" customWidth="1"/>
    <col min="13058" max="13058" width="18.28515625" customWidth="1"/>
    <col min="13059" max="13059" width="11.7109375" customWidth="1"/>
    <col min="13060" max="13060" width="16.42578125" customWidth="1"/>
    <col min="13061" max="13061" width="12.5703125" customWidth="1"/>
    <col min="13062" max="13062" width="13.85546875" customWidth="1"/>
    <col min="13063" max="13063" width="11.7109375" customWidth="1"/>
    <col min="13064" max="13064" width="14" customWidth="1"/>
    <col min="13068" max="13068" width="10.7109375" customWidth="1"/>
    <col min="13069" max="13069" width="12.5703125" customWidth="1"/>
    <col min="13313" max="13313" width="2.140625" customWidth="1"/>
    <col min="13314" max="13314" width="18.28515625" customWidth="1"/>
    <col min="13315" max="13315" width="11.7109375" customWidth="1"/>
    <col min="13316" max="13316" width="16.42578125" customWidth="1"/>
    <col min="13317" max="13317" width="12.5703125" customWidth="1"/>
    <col min="13318" max="13318" width="13.85546875" customWidth="1"/>
    <col min="13319" max="13319" width="11.7109375" customWidth="1"/>
    <col min="13320" max="13320" width="14" customWidth="1"/>
    <col min="13324" max="13324" width="10.7109375" customWidth="1"/>
    <col min="13325" max="13325" width="12.5703125" customWidth="1"/>
    <col min="13569" max="13569" width="2.140625" customWidth="1"/>
    <col min="13570" max="13570" width="18.28515625" customWidth="1"/>
    <col min="13571" max="13571" width="11.7109375" customWidth="1"/>
    <col min="13572" max="13572" width="16.42578125" customWidth="1"/>
    <col min="13573" max="13573" width="12.5703125" customWidth="1"/>
    <col min="13574" max="13574" width="13.85546875" customWidth="1"/>
    <col min="13575" max="13575" width="11.7109375" customWidth="1"/>
    <col min="13576" max="13576" width="14" customWidth="1"/>
    <col min="13580" max="13580" width="10.7109375" customWidth="1"/>
    <col min="13581" max="13581" width="12.5703125" customWidth="1"/>
    <col min="13825" max="13825" width="2.140625" customWidth="1"/>
    <col min="13826" max="13826" width="18.28515625" customWidth="1"/>
    <col min="13827" max="13827" width="11.7109375" customWidth="1"/>
    <col min="13828" max="13828" width="16.42578125" customWidth="1"/>
    <col min="13829" max="13829" width="12.5703125" customWidth="1"/>
    <col min="13830" max="13830" width="13.85546875" customWidth="1"/>
    <col min="13831" max="13831" width="11.7109375" customWidth="1"/>
    <col min="13832" max="13832" width="14" customWidth="1"/>
    <col min="13836" max="13836" width="10.7109375" customWidth="1"/>
    <col min="13837" max="13837" width="12.5703125" customWidth="1"/>
    <col min="14081" max="14081" width="2.140625" customWidth="1"/>
    <col min="14082" max="14082" width="18.28515625" customWidth="1"/>
    <col min="14083" max="14083" width="11.7109375" customWidth="1"/>
    <col min="14084" max="14084" width="16.42578125" customWidth="1"/>
    <col min="14085" max="14085" width="12.5703125" customWidth="1"/>
    <col min="14086" max="14086" width="13.85546875" customWidth="1"/>
    <col min="14087" max="14087" width="11.7109375" customWidth="1"/>
    <col min="14088" max="14088" width="14" customWidth="1"/>
    <col min="14092" max="14092" width="10.7109375" customWidth="1"/>
    <col min="14093" max="14093" width="12.5703125" customWidth="1"/>
    <col min="14337" max="14337" width="2.140625" customWidth="1"/>
    <col min="14338" max="14338" width="18.28515625" customWidth="1"/>
    <col min="14339" max="14339" width="11.7109375" customWidth="1"/>
    <col min="14340" max="14340" width="16.42578125" customWidth="1"/>
    <col min="14341" max="14341" width="12.5703125" customWidth="1"/>
    <col min="14342" max="14342" width="13.85546875" customWidth="1"/>
    <col min="14343" max="14343" width="11.7109375" customWidth="1"/>
    <col min="14344" max="14344" width="14" customWidth="1"/>
    <col min="14348" max="14348" width="10.7109375" customWidth="1"/>
    <col min="14349" max="14349" width="12.5703125" customWidth="1"/>
    <col min="14593" max="14593" width="2.140625" customWidth="1"/>
    <col min="14594" max="14594" width="18.28515625" customWidth="1"/>
    <col min="14595" max="14595" width="11.7109375" customWidth="1"/>
    <col min="14596" max="14596" width="16.42578125" customWidth="1"/>
    <col min="14597" max="14597" width="12.5703125" customWidth="1"/>
    <col min="14598" max="14598" width="13.85546875" customWidth="1"/>
    <col min="14599" max="14599" width="11.7109375" customWidth="1"/>
    <col min="14600" max="14600" width="14" customWidth="1"/>
    <col min="14604" max="14604" width="10.7109375" customWidth="1"/>
    <col min="14605" max="14605" width="12.5703125" customWidth="1"/>
    <col min="14849" max="14849" width="2.140625" customWidth="1"/>
    <col min="14850" max="14850" width="18.28515625" customWidth="1"/>
    <col min="14851" max="14851" width="11.7109375" customWidth="1"/>
    <col min="14852" max="14852" width="16.42578125" customWidth="1"/>
    <col min="14853" max="14853" width="12.5703125" customWidth="1"/>
    <col min="14854" max="14854" width="13.85546875" customWidth="1"/>
    <col min="14855" max="14855" width="11.7109375" customWidth="1"/>
    <col min="14856" max="14856" width="14" customWidth="1"/>
    <col min="14860" max="14860" width="10.7109375" customWidth="1"/>
    <col min="14861" max="14861" width="12.5703125" customWidth="1"/>
    <col min="15105" max="15105" width="2.140625" customWidth="1"/>
    <col min="15106" max="15106" width="18.28515625" customWidth="1"/>
    <col min="15107" max="15107" width="11.7109375" customWidth="1"/>
    <col min="15108" max="15108" width="16.42578125" customWidth="1"/>
    <col min="15109" max="15109" width="12.5703125" customWidth="1"/>
    <col min="15110" max="15110" width="13.85546875" customWidth="1"/>
    <col min="15111" max="15111" width="11.7109375" customWidth="1"/>
    <col min="15112" max="15112" width="14" customWidth="1"/>
    <col min="15116" max="15116" width="10.7109375" customWidth="1"/>
    <col min="15117" max="15117" width="12.5703125" customWidth="1"/>
    <col min="15361" max="15361" width="2.140625" customWidth="1"/>
    <col min="15362" max="15362" width="18.28515625" customWidth="1"/>
    <col min="15363" max="15363" width="11.7109375" customWidth="1"/>
    <col min="15364" max="15364" width="16.42578125" customWidth="1"/>
    <col min="15365" max="15365" width="12.5703125" customWidth="1"/>
    <col min="15366" max="15366" width="13.85546875" customWidth="1"/>
    <col min="15367" max="15367" width="11.7109375" customWidth="1"/>
    <col min="15368" max="15368" width="14" customWidth="1"/>
    <col min="15372" max="15372" width="10.7109375" customWidth="1"/>
    <col min="15373" max="15373" width="12.5703125" customWidth="1"/>
    <col min="15617" max="15617" width="2.140625" customWidth="1"/>
    <col min="15618" max="15618" width="18.28515625" customWidth="1"/>
    <col min="15619" max="15619" width="11.7109375" customWidth="1"/>
    <col min="15620" max="15620" width="16.42578125" customWidth="1"/>
    <col min="15621" max="15621" width="12.5703125" customWidth="1"/>
    <col min="15622" max="15622" width="13.85546875" customWidth="1"/>
    <col min="15623" max="15623" width="11.7109375" customWidth="1"/>
    <col min="15624" max="15624" width="14" customWidth="1"/>
    <col min="15628" max="15628" width="10.7109375" customWidth="1"/>
    <col min="15629" max="15629" width="12.5703125" customWidth="1"/>
    <col min="15873" max="15873" width="2.140625" customWidth="1"/>
    <col min="15874" max="15874" width="18.28515625" customWidth="1"/>
    <col min="15875" max="15875" width="11.7109375" customWidth="1"/>
    <col min="15876" max="15876" width="16.42578125" customWidth="1"/>
    <col min="15877" max="15877" width="12.5703125" customWidth="1"/>
    <col min="15878" max="15878" width="13.85546875" customWidth="1"/>
    <col min="15879" max="15879" width="11.7109375" customWidth="1"/>
    <col min="15880" max="15880" width="14" customWidth="1"/>
    <col min="15884" max="15884" width="10.7109375" customWidth="1"/>
    <col min="15885" max="15885" width="12.5703125" customWidth="1"/>
    <col min="16129" max="16129" width="2.140625" customWidth="1"/>
    <col min="16130" max="16130" width="18.28515625" customWidth="1"/>
    <col min="16131" max="16131" width="11.7109375" customWidth="1"/>
    <col min="16132" max="16132" width="16.42578125" customWidth="1"/>
    <col min="16133" max="16133" width="12.5703125" customWidth="1"/>
    <col min="16134" max="16134" width="13.85546875" customWidth="1"/>
    <col min="16135" max="16135" width="11.7109375" customWidth="1"/>
    <col min="16136" max="16136" width="14" customWidth="1"/>
    <col min="16140" max="16140" width="10.7109375" customWidth="1"/>
    <col min="16141" max="16141" width="12.5703125" customWidth="1"/>
  </cols>
  <sheetData>
    <row r="1" spans="2:13" ht="15.75" thickBot="1"/>
    <row r="2" spans="2:13" ht="25.5">
      <c r="B2" s="158" t="s">
        <v>9</v>
      </c>
      <c r="C2" s="159" t="s">
        <v>10</v>
      </c>
      <c r="D2" s="159" t="s">
        <v>11</v>
      </c>
      <c r="E2" s="159" t="s">
        <v>12</v>
      </c>
      <c r="F2" s="159" t="s">
        <v>13</v>
      </c>
      <c r="G2" s="159" t="s">
        <v>14</v>
      </c>
      <c r="H2" s="159" t="s">
        <v>15</v>
      </c>
      <c r="I2" s="159" t="s">
        <v>16</v>
      </c>
      <c r="J2" s="159" t="s">
        <v>17</v>
      </c>
      <c r="K2" s="159" t="s">
        <v>18</v>
      </c>
      <c r="L2" s="160" t="s">
        <v>19</v>
      </c>
      <c r="M2" s="161" t="s">
        <v>20</v>
      </c>
    </row>
    <row r="3" spans="2:13">
      <c r="B3" s="162" t="s">
        <v>21</v>
      </c>
      <c r="C3" s="163" t="s">
        <v>22</v>
      </c>
      <c r="D3" s="163" t="s">
        <v>23</v>
      </c>
      <c r="E3" s="163" t="s">
        <v>24</v>
      </c>
      <c r="F3" s="163" t="s">
        <v>25</v>
      </c>
      <c r="G3" s="163" t="s">
        <v>26</v>
      </c>
      <c r="H3" s="163"/>
      <c r="I3" s="163"/>
      <c r="J3" s="163"/>
      <c r="K3" s="163"/>
      <c r="L3" s="163"/>
      <c r="M3" s="164"/>
    </row>
    <row r="4" spans="2:13" ht="26.25">
      <c r="B4" s="162" t="s">
        <v>27</v>
      </c>
      <c r="C4" s="163" t="s">
        <v>28</v>
      </c>
      <c r="D4" s="163" t="s">
        <v>29</v>
      </c>
      <c r="E4" s="163" t="s">
        <v>30</v>
      </c>
      <c r="F4" s="163" t="s">
        <v>31</v>
      </c>
      <c r="G4" s="163" t="s">
        <v>32</v>
      </c>
      <c r="H4" s="163" t="s">
        <v>33</v>
      </c>
      <c r="I4" s="163" t="s">
        <v>34</v>
      </c>
      <c r="J4" s="163" t="s">
        <v>35</v>
      </c>
      <c r="K4" s="163" t="s">
        <v>36</v>
      </c>
      <c r="L4" s="163" t="s">
        <v>37</v>
      </c>
      <c r="M4" s="164" t="s">
        <v>38</v>
      </c>
    </row>
    <row r="5" spans="2:13" ht="26.25">
      <c r="B5" s="162" t="s">
        <v>39</v>
      </c>
      <c r="C5" s="163"/>
      <c r="D5" s="163"/>
      <c r="E5" s="163"/>
      <c r="F5" s="163" t="s">
        <v>40</v>
      </c>
      <c r="G5" s="163"/>
      <c r="H5" s="163"/>
      <c r="I5" s="163"/>
      <c r="J5" s="163" t="s">
        <v>41</v>
      </c>
      <c r="K5" s="163" t="s">
        <v>42</v>
      </c>
      <c r="L5" s="163"/>
      <c r="M5" s="164"/>
    </row>
    <row r="6" spans="2:13" ht="15.75" thickBot="1">
      <c r="B6" s="165" t="s">
        <v>43</v>
      </c>
      <c r="C6" s="166"/>
      <c r="D6" s="166"/>
      <c r="E6" s="166"/>
      <c r="F6" s="166"/>
      <c r="G6" s="166" t="s">
        <v>44</v>
      </c>
      <c r="H6" s="166"/>
      <c r="I6" s="166"/>
      <c r="J6" s="166"/>
      <c r="K6" s="166"/>
      <c r="L6" s="166"/>
      <c r="M6" s="167"/>
    </row>
  </sheetData>
  <pageMargins left="0.7" right="0.7" top="0.75" bottom="0.75" header="0.3" footer="0.3"/>
  <pageSetup orientation="portrait" horizontalDpi="15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0" tint="-0.34998626667073579"/>
  </sheetPr>
  <dimension ref="B3:N2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/>
  <cols>
    <col min="1" max="1" width="2.5703125" customWidth="1"/>
    <col min="2" max="2" width="22" bestFit="1" customWidth="1"/>
    <col min="3" max="3" width="31.28515625" bestFit="1" customWidth="1"/>
    <col min="4" max="4" width="40.5703125" bestFit="1" customWidth="1"/>
    <col min="5" max="5" width="10.5703125" customWidth="1"/>
    <col min="6" max="6" width="38.7109375" bestFit="1" customWidth="1"/>
    <col min="7" max="7" width="10.5703125" customWidth="1"/>
    <col min="8" max="8" width="25.28515625" bestFit="1" customWidth="1"/>
    <col min="12" max="12" width="26.85546875" bestFit="1" customWidth="1"/>
    <col min="13" max="13" width="12.42578125" bestFit="1" customWidth="1"/>
    <col min="14" max="14" width="9.5703125" bestFit="1" customWidth="1"/>
    <col min="257" max="257" width="2.5703125" customWidth="1"/>
    <col min="258" max="258" width="13.5703125" bestFit="1" customWidth="1"/>
    <col min="260" max="260" width="40.42578125" bestFit="1" customWidth="1"/>
    <col min="261" max="261" width="1.5703125" customWidth="1"/>
    <col min="262" max="262" width="41" customWidth="1"/>
    <col min="263" max="263" width="0.85546875" customWidth="1"/>
    <col min="268" max="268" width="26.85546875" bestFit="1" customWidth="1"/>
    <col min="513" max="513" width="2.5703125" customWidth="1"/>
    <col min="514" max="514" width="13.5703125" bestFit="1" customWidth="1"/>
    <col min="516" max="516" width="40.42578125" bestFit="1" customWidth="1"/>
    <col min="517" max="517" width="1.5703125" customWidth="1"/>
    <col min="518" max="518" width="41" customWidth="1"/>
    <col min="519" max="519" width="0.85546875" customWidth="1"/>
    <col min="524" max="524" width="26.85546875" bestFit="1" customWidth="1"/>
    <col min="769" max="769" width="2.5703125" customWidth="1"/>
    <col min="770" max="770" width="13.5703125" bestFit="1" customWidth="1"/>
    <col min="772" max="772" width="40.42578125" bestFit="1" customWidth="1"/>
    <col min="773" max="773" width="1.5703125" customWidth="1"/>
    <col min="774" max="774" width="41" customWidth="1"/>
    <col min="775" max="775" width="0.85546875" customWidth="1"/>
    <col min="780" max="780" width="26.85546875" bestFit="1" customWidth="1"/>
    <col min="1025" max="1025" width="2.5703125" customWidth="1"/>
    <col min="1026" max="1026" width="13.5703125" bestFit="1" customWidth="1"/>
    <col min="1028" max="1028" width="40.42578125" bestFit="1" customWidth="1"/>
    <col min="1029" max="1029" width="1.5703125" customWidth="1"/>
    <col min="1030" max="1030" width="41" customWidth="1"/>
    <col min="1031" max="1031" width="0.85546875" customWidth="1"/>
    <col min="1036" max="1036" width="26.85546875" bestFit="1" customWidth="1"/>
    <col min="1281" max="1281" width="2.5703125" customWidth="1"/>
    <col min="1282" max="1282" width="13.5703125" bestFit="1" customWidth="1"/>
    <col min="1284" max="1284" width="40.42578125" bestFit="1" customWidth="1"/>
    <col min="1285" max="1285" width="1.5703125" customWidth="1"/>
    <col min="1286" max="1286" width="41" customWidth="1"/>
    <col min="1287" max="1287" width="0.85546875" customWidth="1"/>
    <col min="1292" max="1292" width="26.85546875" bestFit="1" customWidth="1"/>
    <col min="1537" max="1537" width="2.5703125" customWidth="1"/>
    <col min="1538" max="1538" width="13.5703125" bestFit="1" customWidth="1"/>
    <col min="1540" max="1540" width="40.42578125" bestFit="1" customWidth="1"/>
    <col min="1541" max="1541" width="1.5703125" customWidth="1"/>
    <col min="1542" max="1542" width="41" customWidth="1"/>
    <col min="1543" max="1543" width="0.85546875" customWidth="1"/>
    <col min="1548" max="1548" width="26.85546875" bestFit="1" customWidth="1"/>
    <col min="1793" max="1793" width="2.5703125" customWidth="1"/>
    <col min="1794" max="1794" width="13.5703125" bestFit="1" customWidth="1"/>
    <col min="1796" max="1796" width="40.42578125" bestFit="1" customWidth="1"/>
    <col min="1797" max="1797" width="1.5703125" customWidth="1"/>
    <col min="1798" max="1798" width="41" customWidth="1"/>
    <col min="1799" max="1799" width="0.85546875" customWidth="1"/>
    <col min="1804" max="1804" width="26.85546875" bestFit="1" customWidth="1"/>
    <col min="2049" max="2049" width="2.5703125" customWidth="1"/>
    <col min="2050" max="2050" width="13.5703125" bestFit="1" customWidth="1"/>
    <col min="2052" max="2052" width="40.42578125" bestFit="1" customWidth="1"/>
    <col min="2053" max="2053" width="1.5703125" customWidth="1"/>
    <col min="2054" max="2054" width="41" customWidth="1"/>
    <col min="2055" max="2055" width="0.85546875" customWidth="1"/>
    <col min="2060" max="2060" width="26.85546875" bestFit="1" customWidth="1"/>
    <col min="2305" max="2305" width="2.5703125" customWidth="1"/>
    <col min="2306" max="2306" width="13.5703125" bestFit="1" customWidth="1"/>
    <col min="2308" max="2308" width="40.42578125" bestFit="1" customWidth="1"/>
    <col min="2309" max="2309" width="1.5703125" customWidth="1"/>
    <col min="2310" max="2310" width="41" customWidth="1"/>
    <col min="2311" max="2311" width="0.85546875" customWidth="1"/>
    <col min="2316" max="2316" width="26.85546875" bestFit="1" customWidth="1"/>
    <col min="2561" max="2561" width="2.5703125" customWidth="1"/>
    <col min="2562" max="2562" width="13.5703125" bestFit="1" customWidth="1"/>
    <col min="2564" max="2564" width="40.42578125" bestFit="1" customWidth="1"/>
    <col min="2565" max="2565" width="1.5703125" customWidth="1"/>
    <col min="2566" max="2566" width="41" customWidth="1"/>
    <col min="2567" max="2567" width="0.85546875" customWidth="1"/>
    <col min="2572" max="2572" width="26.85546875" bestFit="1" customWidth="1"/>
    <col min="2817" max="2817" width="2.5703125" customWidth="1"/>
    <col min="2818" max="2818" width="13.5703125" bestFit="1" customWidth="1"/>
    <col min="2820" max="2820" width="40.42578125" bestFit="1" customWidth="1"/>
    <col min="2821" max="2821" width="1.5703125" customWidth="1"/>
    <col min="2822" max="2822" width="41" customWidth="1"/>
    <col min="2823" max="2823" width="0.85546875" customWidth="1"/>
    <col min="2828" max="2828" width="26.85546875" bestFit="1" customWidth="1"/>
    <col min="3073" max="3073" width="2.5703125" customWidth="1"/>
    <col min="3074" max="3074" width="13.5703125" bestFit="1" customWidth="1"/>
    <col min="3076" max="3076" width="40.42578125" bestFit="1" customWidth="1"/>
    <col min="3077" max="3077" width="1.5703125" customWidth="1"/>
    <col min="3078" max="3078" width="41" customWidth="1"/>
    <col min="3079" max="3079" width="0.85546875" customWidth="1"/>
    <col min="3084" max="3084" width="26.85546875" bestFit="1" customWidth="1"/>
    <col min="3329" max="3329" width="2.5703125" customWidth="1"/>
    <col min="3330" max="3330" width="13.5703125" bestFit="1" customWidth="1"/>
    <col min="3332" max="3332" width="40.42578125" bestFit="1" customWidth="1"/>
    <col min="3333" max="3333" width="1.5703125" customWidth="1"/>
    <col min="3334" max="3334" width="41" customWidth="1"/>
    <col min="3335" max="3335" width="0.85546875" customWidth="1"/>
    <col min="3340" max="3340" width="26.85546875" bestFit="1" customWidth="1"/>
    <col min="3585" max="3585" width="2.5703125" customWidth="1"/>
    <col min="3586" max="3586" width="13.5703125" bestFit="1" customWidth="1"/>
    <col min="3588" max="3588" width="40.42578125" bestFit="1" customWidth="1"/>
    <col min="3589" max="3589" width="1.5703125" customWidth="1"/>
    <col min="3590" max="3590" width="41" customWidth="1"/>
    <col min="3591" max="3591" width="0.85546875" customWidth="1"/>
    <col min="3596" max="3596" width="26.85546875" bestFit="1" customWidth="1"/>
    <col min="3841" max="3841" width="2.5703125" customWidth="1"/>
    <col min="3842" max="3842" width="13.5703125" bestFit="1" customWidth="1"/>
    <col min="3844" max="3844" width="40.42578125" bestFit="1" customWidth="1"/>
    <col min="3845" max="3845" width="1.5703125" customWidth="1"/>
    <col min="3846" max="3846" width="41" customWidth="1"/>
    <col min="3847" max="3847" width="0.85546875" customWidth="1"/>
    <col min="3852" max="3852" width="26.85546875" bestFit="1" customWidth="1"/>
    <col min="4097" max="4097" width="2.5703125" customWidth="1"/>
    <col min="4098" max="4098" width="13.5703125" bestFit="1" customWidth="1"/>
    <col min="4100" max="4100" width="40.42578125" bestFit="1" customWidth="1"/>
    <col min="4101" max="4101" width="1.5703125" customWidth="1"/>
    <col min="4102" max="4102" width="41" customWidth="1"/>
    <col min="4103" max="4103" width="0.85546875" customWidth="1"/>
    <col min="4108" max="4108" width="26.85546875" bestFit="1" customWidth="1"/>
    <col min="4353" max="4353" width="2.5703125" customWidth="1"/>
    <col min="4354" max="4354" width="13.5703125" bestFit="1" customWidth="1"/>
    <col min="4356" max="4356" width="40.42578125" bestFit="1" customWidth="1"/>
    <col min="4357" max="4357" width="1.5703125" customWidth="1"/>
    <col min="4358" max="4358" width="41" customWidth="1"/>
    <col min="4359" max="4359" width="0.85546875" customWidth="1"/>
    <col min="4364" max="4364" width="26.85546875" bestFit="1" customWidth="1"/>
    <col min="4609" max="4609" width="2.5703125" customWidth="1"/>
    <col min="4610" max="4610" width="13.5703125" bestFit="1" customWidth="1"/>
    <col min="4612" max="4612" width="40.42578125" bestFit="1" customWidth="1"/>
    <col min="4613" max="4613" width="1.5703125" customWidth="1"/>
    <col min="4614" max="4614" width="41" customWidth="1"/>
    <col min="4615" max="4615" width="0.85546875" customWidth="1"/>
    <col min="4620" max="4620" width="26.85546875" bestFit="1" customWidth="1"/>
    <col min="4865" max="4865" width="2.5703125" customWidth="1"/>
    <col min="4866" max="4866" width="13.5703125" bestFit="1" customWidth="1"/>
    <col min="4868" max="4868" width="40.42578125" bestFit="1" customWidth="1"/>
    <col min="4869" max="4869" width="1.5703125" customWidth="1"/>
    <col min="4870" max="4870" width="41" customWidth="1"/>
    <col min="4871" max="4871" width="0.85546875" customWidth="1"/>
    <col min="4876" max="4876" width="26.85546875" bestFit="1" customWidth="1"/>
    <col min="5121" max="5121" width="2.5703125" customWidth="1"/>
    <col min="5122" max="5122" width="13.5703125" bestFit="1" customWidth="1"/>
    <col min="5124" max="5124" width="40.42578125" bestFit="1" customWidth="1"/>
    <col min="5125" max="5125" width="1.5703125" customWidth="1"/>
    <col min="5126" max="5126" width="41" customWidth="1"/>
    <col min="5127" max="5127" width="0.85546875" customWidth="1"/>
    <col min="5132" max="5132" width="26.85546875" bestFit="1" customWidth="1"/>
    <col min="5377" max="5377" width="2.5703125" customWidth="1"/>
    <col min="5378" max="5378" width="13.5703125" bestFit="1" customWidth="1"/>
    <col min="5380" max="5380" width="40.42578125" bestFit="1" customWidth="1"/>
    <col min="5381" max="5381" width="1.5703125" customWidth="1"/>
    <col min="5382" max="5382" width="41" customWidth="1"/>
    <col min="5383" max="5383" width="0.85546875" customWidth="1"/>
    <col min="5388" max="5388" width="26.85546875" bestFit="1" customWidth="1"/>
    <col min="5633" max="5633" width="2.5703125" customWidth="1"/>
    <col min="5634" max="5634" width="13.5703125" bestFit="1" customWidth="1"/>
    <col min="5636" max="5636" width="40.42578125" bestFit="1" customWidth="1"/>
    <col min="5637" max="5637" width="1.5703125" customWidth="1"/>
    <col min="5638" max="5638" width="41" customWidth="1"/>
    <col min="5639" max="5639" width="0.85546875" customWidth="1"/>
    <col min="5644" max="5644" width="26.85546875" bestFit="1" customWidth="1"/>
    <col min="5889" max="5889" width="2.5703125" customWidth="1"/>
    <col min="5890" max="5890" width="13.5703125" bestFit="1" customWidth="1"/>
    <col min="5892" max="5892" width="40.42578125" bestFit="1" customWidth="1"/>
    <col min="5893" max="5893" width="1.5703125" customWidth="1"/>
    <col min="5894" max="5894" width="41" customWidth="1"/>
    <col min="5895" max="5895" width="0.85546875" customWidth="1"/>
    <col min="5900" max="5900" width="26.85546875" bestFit="1" customWidth="1"/>
    <col min="6145" max="6145" width="2.5703125" customWidth="1"/>
    <col min="6146" max="6146" width="13.5703125" bestFit="1" customWidth="1"/>
    <col min="6148" max="6148" width="40.42578125" bestFit="1" customWidth="1"/>
    <col min="6149" max="6149" width="1.5703125" customWidth="1"/>
    <col min="6150" max="6150" width="41" customWidth="1"/>
    <col min="6151" max="6151" width="0.85546875" customWidth="1"/>
    <col min="6156" max="6156" width="26.85546875" bestFit="1" customWidth="1"/>
    <col min="6401" max="6401" width="2.5703125" customWidth="1"/>
    <col min="6402" max="6402" width="13.5703125" bestFit="1" customWidth="1"/>
    <col min="6404" max="6404" width="40.42578125" bestFit="1" customWidth="1"/>
    <col min="6405" max="6405" width="1.5703125" customWidth="1"/>
    <col min="6406" max="6406" width="41" customWidth="1"/>
    <col min="6407" max="6407" width="0.85546875" customWidth="1"/>
    <col min="6412" max="6412" width="26.85546875" bestFit="1" customWidth="1"/>
    <col min="6657" max="6657" width="2.5703125" customWidth="1"/>
    <col min="6658" max="6658" width="13.5703125" bestFit="1" customWidth="1"/>
    <col min="6660" max="6660" width="40.42578125" bestFit="1" customWidth="1"/>
    <col min="6661" max="6661" width="1.5703125" customWidth="1"/>
    <col min="6662" max="6662" width="41" customWidth="1"/>
    <col min="6663" max="6663" width="0.85546875" customWidth="1"/>
    <col min="6668" max="6668" width="26.85546875" bestFit="1" customWidth="1"/>
    <col min="6913" max="6913" width="2.5703125" customWidth="1"/>
    <col min="6914" max="6914" width="13.5703125" bestFit="1" customWidth="1"/>
    <col min="6916" max="6916" width="40.42578125" bestFit="1" customWidth="1"/>
    <col min="6917" max="6917" width="1.5703125" customWidth="1"/>
    <col min="6918" max="6918" width="41" customWidth="1"/>
    <col min="6919" max="6919" width="0.85546875" customWidth="1"/>
    <col min="6924" max="6924" width="26.85546875" bestFit="1" customWidth="1"/>
    <col min="7169" max="7169" width="2.5703125" customWidth="1"/>
    <col min="7170" max="7170" width="13.5703125" bestFit="1" customWidth="1"/>
    <col min="7172" max="7172" width="40.42578125" bestFit="1" customWidth="1"/>
    <col min="7173" max="7173" width="1.5703125" customWidth="1"/>
    <col min="7174" max="7174" width="41" customWidth="1"/>
    <col min="7175" max="7175" width="0.85546875" customWidth="1"/>
    <col min="7180" max="7180" width="26.85546875" bestFit="1" customWidth="1"/>
    <col min="7425" max="7425" width="2.5703125" customWidth="1"/>
    <col min="7426" max="7426" width="13.5703125" bestFit="1" customWidth="1"/>
    <col min="7428" max="7428" width="40.42578125" bestFit="1" customWidth="1"/>
    <col min="7429" max="7429" width="1.5703125" customWidth="1"/>
    <col min="7430" max="7430" width="41" customWidth="1"/>
    <col min="7431" max="7431" width="0.85546875" customWidth="1"/>
    <col min="7436" max="7436" width="26.85546875" bestFit="1" customWidth="1"/>
    <col min="7681" max="7681" width="2.5703125" customWidth="1"/>
    <col min="7682" max="7682" width="13.5703125" bestFit="1" customWidth="1"/>
    <col min="7684" max="7684" width="40.42578125" bestFit="1" customWidth="1"/>
    <col min="7685" max="7685" width="1.5703125" customWidth="1"/>
    <col min="7686" max="7686" width="41" customWidth="1"/>
    <col min="7687" max="7687" width="0.85546875" customWidth="1"/>
    <col min="7692" max="7692" width="26.85546875" bestFit="1" customWidth="1"/>
    <col min="7937" max="7937" width="2.5703125" customWidth="1"/>
    <col min="7938" max="7938" width="13.5703125" bestFit="1" customWidth="1"/>
    <col min="7940" max="7940" width="40.42578125" bestFit="1" customWidth="1"/>
    <col min="7941" max="7941" width="1.5703125" customWidth="1"/>
    <col min="7942" max="7942" width="41" customWidth="1"/>
    <col min="7943" max="7943" width="0.85546875" customWidth="1"/>
    <col min="7948" max="7948" width="26.85546875" bestFit="1" customWidth="1"/>
    <col min="8193" max="8193" width="2.5703125" customWidth="1"/>
    <col min="8194" max="8194" width="13.5703125" bestFit="1" customWidth="1"/>
    <col min="8196" max="8196" width="40.42578125" bestFit="1" customWidth="1"/>
    <col min="8197" max="8197" width="1.5703125" customWidth="1"/>
    <col min="8198" max="8198" width="41" customWidth="1"/>
    <col min="8199" max="8199" width="0.85546875" customWidth="1"/>
    <col min="8204" max="8204" width="26.85546875" bestFit="1" customWidth="1"/>
    <col min="8449" max="8449" width="2.5703125" customWidth="1"/>
    <col min="8450" max="8450" width="13.5703125" bestFit="1" customWidth="1"/>
    <col min="8452" max="8452" width="40.42578125" bestFit="1" customWidth="1"/>
    <col min="8453" max="8453" width="1.5703125" customWidth="1"/>
    <col min="8454" max="8454" width="41" customWidth="1"/>
    <col min="8455" max="8455" width="0.85546875" customWidth="1"/>
    <col min="8460" max="8460" width="26.85546875" bestFit="1" customWidth="1"/>
    <col min="8705" max="8705" width="2.5703125" customWidth="1"/>
    <col min="8706" max="8706" width="13.5703125" bestFit="1" customWidth="1"/>
    <col min="8708" max="8708" width="40.42578125" bestFit="1" customWidth="1"/>
    <col min="8709" max="8709" width="1.5703125" customWidth="1"/>
    <col min="8710" max="8710" width="41" customWidth="1"/>
    <col min="8711" max="8711" width="0.85546875" customWidth="1"/>
    <col min="8716" max="8716" width="26.85546875" bestFit="1" customWidth="1"/>
    <col min="8961" max="8961" width="2.5703125" customWidth="1"/>
    <col min="8962" max="8962" width="13.5703125" bestFit="1" customWidth="1"/>
    <col min="8964" max="8964" width="40.42578125" bestFit="1" customWidth="1"/>
    <col min="8965" max="8965" width="1.5703125" customWidth="1"/>
    <col min="8966" max="8966" width="41" customWidth="1"/>
    <col min="8967" max="8967" width="0.85546875" customWidth="1"/>
    <col min="8972" max="8972" width="26.85546875" bestFit="1" customWidth="1"/>
    <col min="9217" max="9217" width="2.5703125" customWidth="1"/>
    <col min="9218" max="9218" width="13.5703125" bestFit="1" customWidth="1"/>
    <col min="9220" max="9220" width="40.42578125" bestFit="1" customWidth="1"/>
    <col min="9221" max="9221" width="1.5703125" customWidth="1"/>
    <col min="9222" max="9222" width="41" customWidth="1"/>
    <col min="9223" max="9223" width="0.85546875" customWidth="1"/>
    <col min="9228" max="9228" width="26.85546875" bestFit="1" customWidth="1"/>
    <col min="9473" max="9473" width="2.5703125" customWidth="1"/>
    <col min="9474" max="9474" width="13.5703125" bestFit="1" customWidth="1"/>
    <col min="9476" max="9476" width="40.42578125" bestFit="1" customWidth="1"/>
    <col min="9477" max="9477" width="1.5703125" customWidth="1"/>
    <col min="9478" max="9478" width="41" customWidth="1"/>
    <col min="9479" max="9479" width="0.85546875" customWidth="1"/>
    <col min="9484" max="9484" width="26.85546875" bestFit="1" customWidth="1"/>
    <col min="9729" max="9729" width="2.5703125" customWidth="1"/>
    <col min="9730" max="9730" width="13.5703125" bestFit="1" customWidth="1"/>
    <col min="9732" max="9732" width="40.42578125" bestFit="1" customWidth="1"/>
    <col min="9733" max="9733" width="1.5703125" customWidth="1"/>
    <col min="9734" max="9734" width="41" customWidth="1"/>
    <col min="9735" max="9735" width="0.85546875" customWidth="1"/>
    <col min="9740" max="9740" width="26.85546875" bestFit="1" customWidth="1"/>
    <col min="9985" max="9985" width="2.5703125" customWidth="1"/>
    <col min="9986" max="9986" width="13.5703125" bestFit="1" customWidth="1"/>
    <col min="9988" max="9988" width="40.42578125" bestFit="1" customWidth="1"/>
    <col min="9989" max="9989" width="1.5703125" customWidth="1"/>
    <col min="9990" max="9990" width="41" customWidth="1"/>
    <col min="9991" max="9991" width="0.85546875" customWidth="1"/>
    <col min="9996" max="9996" width="26.85546875" bestFit="1" customWidth="1"/>
    <col min="10241" max="10241" width="2.5703125" customWidth="1"/>
    <col min="10242" max="10242" width="13.5703125" bestFit="1" customWidth="1"/>
    <col min="10244" max="10244" width="40.42578125" bestFit="1" customWidth="1"/>
    <col min="10245" max="10245" width="1.5703125" customWidth="1"/>
    <col min="10246" max="10246" width="41" customWidth="1"/>
    <col min="10247" max="10247" width="0.85546875" customWidth="1"/>
    <col min="10252" max="10252" width="26.85546875" bestFit="1" customWidth="1"/>
    <col min="10497" max="10497" width="2.5703125" customWidth="1"/>
    <col min="10498" max="10498" width="13.5703125" bestFit="1" customWidth="1"/>
    <col min="10500" max="10500" width="40.42578125" bestFit="1" customWidth="1"/>
    <col min="10501" max="10501" width="1.5703125" customWidth="1"/>
    <col min="10502" max="10502" width="41" customWidth="1"/>
    <col min="10503" max="10503" width="0.85546875" customWidth="1"/>
    <col min="10508" max="10508" width="26.85546875" bestFit="1" customWidth="1"/>
    <col min="10753" max="10753" width="2.5703125" customWidth="1"/>
    <col min="10754" max="10754" width="13.5703125" bestFit="1" customWidth="1"/>
    <col min="10756" max="10756" width="40.42578125" bestFit="1" customWidth="1"/>
    <col min="10757" max="10757" width="1.5703125" customWidth="1"/>
    <col min="10758" max="10758" width="41" customWidth="1"/>
    <col min="10759" max="10759" width="0.85546875" customWidth="1"/>
    <col min="10764" max="10764" width="26.85546875" bestFit="1" customWidth="1"/>
    <col min="11009" max="11009" width="2.5703125" customWidth="1"/>
    <col min="11010" max="11010" width="13.5703125" bestFit="1" customWidth="1"/>
    <col min="11012" max="11012" width="40.42578125" bestFit="1" customWidth="1"/>
    <col min="11013" max="11013" width="1.5703125" customWidth="1"/>
    <col min="11014" max="11014" width="41" customWidth="1"/>
    <col min="11015" max="11015" width="0.85546875" customWidth="1"/>
    <col min="11020" max="11020" width="26.85546875" bestFit="1" customWidth="1"/>
    <col min="11265" max="11265" width="2.5703125" customWidth="1"/>
    <col min="11266" max="11266" width="13.5703125" bestFit="1" customWidth="1"/>
    <col min="11268" max="11268" width="40.42578125" bestFit="1" customWidth="1"/>
    <col min="11269" max="11269" width="1.5703125" customWidth="1"/>
    <col min="11270" max="11270" width="41" customWidth="1"/>
    <col min="11271" max="11271" width="0.85546875" customWidth="1"/>
    <col min="11276" max="11276" width="26.85546875" bestFit="1" customWidth="1"/>
    <col min="11521" max="11521" width="2.5703125" customWidth="1"/>
    <col min="11522" max="11522" width="13.5703125" bestFit="1" customWidth="1"/>
    <col min="11524" max="11524" width="40.42578125" bestFit="1" customWidth="1"/>
    <col min="11525" max="11525" width="1.5703125" customWidth="1"/>
    <col min="11526" max="11526" width="41" customWidth="1"/>
    <col min="11527" max="11527" width="0.85546875" customWidth="1"/>
    <col min="11532" max="11532" width="26.85546875" bestFit="1" customWidth="1"/>
    <col min="11777" max="11777" width="2.5703125" customWidth="1"/>
    <col min="11778" max="11778" width="13.5703125" bestFit="1" customWidth="1"/>
    <col min="11780" max="11780" width="40.42578125" bestFit="1" customWidth="1"/>
    <col min="11781" max="11781" width="1.5703125" customWidth="1"/>
    <col min="11782" max="11782" width="41" customWidth="1"/>
    <col min="11783" max="11783" width="0.85546875" customWidth="1"/>
    <col min="11788" max="11788" width="26.85546875" bestFit="1" customWidth="1"/>
    <col min="12033" max="12033" width="2.5703125" customWidth="1"/>
    <col min="12034" max="12034" width="13.5703125" bestFit="1" customWidth="1"/>
    <col min="12036" max="12036" width="40.42578125" bestFit="1" customWidth="1"/>
    <col min="12037" max="12037" width="1.5703125" customWidth="1"/>
    <col min="12038" max="12038" width="41" customWidth="1"/>
    <col min="12039" max="12039" width="0.85546875" customWidth="1"/>
    <col min="12044" max="12044" width="26.85546875" bestFit="1" customWidth="1"/>
    <col min="12289" max="12289" width="2.5703125" customWidth="1"/>
    <col min="12290" max="12290" width="13.5703125" bestFit="1" customWidth="1"/>
    <col min="12292" max="12292" width="40.42578125" bestFit="1" customWidth="1"/>
    <col min="12293" max="12293" width="1.5703125" customWidth="1"/>
    <col min="12294" max="12294" width="41" customWidth="1"/>
    <col min="12295" max="12295" width="0.85546875" customWidth="1"/>
    <col min="12300" max="12300" width="26.85546875" bestFit="1" customWidth="1"/>
    <col min="12545" max="12545" width="2.5703125" customWidth="1"/>
    <col min="12546" max="12546" width="13.5703125" bestFit="1" customWidth="1"/>
    <col min="12548" max="12548" width="40.42578125" bestFit="1" customWidth="1"/>
    <col min="12549" max="12549" width="1.5703125" customWidth="1"/>
    <col min="12550" max="12550" width="41" customWidth="1"/>
    <col min="12551" max="12551" width="0.85546875" customWidth="1"/>
    <col min="12556" max="12556" width="26.85546875" bestFit="1" customWidth="1"/>
    <col min="12801" max="12801" width="2.5703125" customWidth="1"/>
    <col min="12802" max="12802" width="13.5703125" bestFit="1" customWidth="1"/>
    <col min="12804" max="12804" width="40.42578125" bestFit="1" customWidth="1"/>
    <col min="12805" max="12805" width="1.5703125" customWidth="1"/>
    <col min="12806" max="12806" width="41" customWidth="1"/>
    <col min="12807" max="12807" width="0.85546875" customWidth="1"/>
    <col min="12812" max="12812" width="26.85546875" bestFit="1" customWidth="1"/>
    <col min="13057" max="13057" width="2.5703125" customWidth="1"/>
    <col min="13058" max="13058" width="13.5703125" bestFit="1" customWidth="1"/>
    <col min="13060" max="13060" width="40.42578125" bestFit="1" customWidth="1"/>
    <col min="13061" max="13061" width="1.5703125" customWidth="1"/>
    <col min="13062" max="13062" width="41" customWidth="1"/>
    <col min="13063" max="13063" width="0.85546875" customWidth="1"/>
    <col min="13068" max="13068" width="26.85546875" bestFit="1" customWidth="1"/>
    <col min="13313" max="13313" width="2.5703125" customWidth="1"/>
    <col min="13314" max="13314" width="13.5703125" bestFit="1" customWidth="1"/>
    <col min="13316" max="13316" width="40.42578125" bestFit="1" customWidth="1"/>
    <col min="13317" max="13317" width="1.5703125" customWidth="1"/>
    <col min="13318" max="13318" width="41" customWidth="1"/>
    <col min="13319" max="13319" width="0.85546875" customWidth="1"/>
    <col min="13324" max="13324" width="26.85546875" bestFit="1" customWidth="1"/>
    <col min="13569" max="13569" width="2.5703125" customWidth="1"/>
    <col min="13570" max="13570" width="13.5703125" bestFit="1" customWidth="1"/>
    <col min="13572" max="13572" width="40.42578125" bestFit="1" customWidth="1"/>
    <col min="13573" max="13573" width="1.5703125" customWidth="1"/>
    <col min="13574" max="13574" width="41" customWidth="1"/>
    <col min="13575" max="13575" width="0.85546875" customWidth="1"/>
    <col min="13580" max="13580" width="26.85546875" bestFit="1" customWidth="1"/>
    <col min="13825" max="13825" width="2.5703125" customWidth="1"/>
    <col min="13826" max="13826" width="13.5703125" bestFit="1" customWidth="1"/>
    <col min="13828" max="13828" width="40.42578125" bestFit="1" customWidth="1"/>
    <col min="13829" max="13829" width="1.5703125" customWidth="1"/>
    <col min="13830" max="13830" width="41" customWidth="1"/>
    <col min="13831" max="13831" width="0.85546875" customWidth="1"/>
    <col min="13836" max="13836" width="26.85546875" bestFit="1" customWidth="1"/>
    <col min="14081" max="14081" width="2.5703125" customWidth="1"/>
    <col min="14082" max="14082" width="13.5703125" bestFit="1" customWidth="1"/>
    <col min="14084" max="14084" width="40.42578125" bestFit="1" customWidth="1"/>
    <col min="14085" max="14085" width="1.5703125" customWidth="1"/>
    <col min="14086" max="14086" width="41" customWidth="1"/>
    <col min="14087" max="14087" width="0.85546875" customWidth="1"/>
    <col min="14092" max="14092" width="26.85546875" bestFit="1" customWidth="1"/>
    <col min="14337" max="14337" width="2.5703125" customWidth="1"/>
    <col min="14338" max="14338" width="13.5703125" bestFit="1" customWidth="1"/>
    <col min="14340" max="14340" width="40.42578125" bestFit="1" customWidth="1"/>
    <col min="14341" max="14341" width="1.5703125" customWidth="1"/>
    <col min="14342" max="14342" width="41" customWidth="1"/>
    <col min="14343" max="14343" width="0.85546875" customWidth="1"/>
    <col min="14348" max="14348" width="26.85546875" bestFit="1" customWidth="1"/>
    <col min="14593" max="14593" width="2.5703125" customWidth="1"/>
    <col min="14594" max="14594" width="13.5703125" bestFit="1" customWidth="1"/>
    <col min="14596" max="14596" width="40.42578125" bestFit="1" customWidth="1"/>
    <col min="14597" max="14597" width="1.5703125" customWidth="1"/>
    <col min="14598" max="14598" width="41" customWidth="1"/>
    <col min="14599" max="14599" width="0.85546875" customWidth="1"/>
    <col min="14604" max="14604" width="26.85546875" bestFit="1" customWidth="1"/>
    <col min="14849" max="14849" width="2.5703125" customWidth="1"/>
    <col min="14850" max="14850" width="13.5703125" bestFit="1" customWidth="1"/>
    <col min="14852" max="14852" width="40.42578125" bestFit="1" customWidth="1"/>
    <col min="14853" max="14853" width="1.5703125" customWidth="1"/>
    <col min="14854" max="14854" width="41" customWidth="1"/>
    <col min="14855" max="14855" width="0.85546875" customWidth="1"/>
    <col min="14860" max="14860" width="26.85546875" bestFit="1" customWidth="1"/>
    <col min="15105" max="15105" width="2.5703125" customWidth="1"/>
    <col min="15106" max="15106" width="13.5703125" bestFit="1" customWidth="1"/>
    <col min="15108" max="15108" width="40.42578125" bestFit="1" customWidth="1"/>
    <col min="15109" max="15109" width="1.5703125" customWidth="1"/>
    <col min="15110" max="15110" width="41" customWidth="1"/>
    <col min="15111" max="15111" width="0.85546875" customWidth="1"/>
    <col min="15116" max="15116" width="26.85546875" bestFit="1" customWidth="1"/>
    <col min="15361" max="15361" width="2.5703125" customWidth="1"/>
    <col min="15362" max="15362" width="13.5703125" bestFit="1" customWidth="1"/>
    <col min="15364" max="15364" width="40.42578125" bestFit="1" customWidth="1"/>
    <col min="15365" max="15365" width="1.5703125" customWidth="1"/>
    <col min="15366" max="15366" width="41" customWidth="1"/>
    <col min="15367" max="15367" width="0.85546875" customWidth="1"/>
    <col min="15372" max="15372" width="26.85546875" bestFit="1" customWidth="1"/>
    <col min="15617" max="15617" width="2.5703125" customWidth="1"/>
    <col min="15618" max="15618" width="13.5703125" bestFit="1" customWidth="1"/>
    <col min="15620" max="15620" width="40.42578125" bestFit="1" customWidth="1"/>
    <col min="15621" max="15621" width="1.5703125" customWidth="1"/>
    <col min="15622" max="15622" width="41" customWidth="1"/>
    <col min="15623" max="15623" width="0.85546875" customWidth="1"/>
    <col min="15628" max="15628" width="26.85546875" bestFit="1" customWidth="1"/>
    <col min="15873" max="15873" width="2.5703125" customWidth="1"/>
    <col min="15874" max="15874" width="13.5703125" bestFit="1" customWidth="1"/>
    <col min="15876" max="15876" width="40.42578125" bestFit="1" customWidth="1"/>
    <col min="15877" max="15877" width="1.5703125" customWidth="1"/>
    <col min="15878" max="15878" width="41" customWidth="1"/>
    <col min="15879" max="15879" width="0.85546875" customWidth="1"/>
    <col min="15884" max="15884" width="26.85546875" bestFit="1" customWidth="1"/>
    <col min="16129" max="16129" width="2.5703125" customWidth="1"/>
    <col min="16130" max="16130" width="13.5703125" bestFit="1" customWidth="1"/>
    <col min="16132" max="16132" width="40.42578125" bestFit="1" customWidth="1"/>
    <col min="16133" max="16133" width="1.5703125" customWidth="1"/>
    <col min="16134" max="16134" width="41" customWidth="1"/>
    <col min="16135" max="16135" width="0.85546875" customWidth="1"/>
    <col min="16140" max="16140" width="26.85546875" bestFit="1" customWidth="1"/>
  </cols>
  <sheetData>
    <row r="3" spans="2:14">
      <c r="B3" s="32" t="s">
        <v>0</v>
      </c>
      <c r="C3" s="32"/>
      <c r="D3" s="32" t="s">
        <v>1</v>
      </c>
      <c r="E3" s="32"/>
      <c r="F3" s="32" t="s">
        <v>2</v>
      </c>
      <c r="G3" s="32"/>
      <c r="H3" s="32" t="s">
        <v>3</v>
      </c>
      <c r="I3" s="32"/>
      <c r="L3" s="105" t="s">
        <v>4</v>
      </c>
      <c r="M3" s="18" t="s">
        <v>5</v>
      </c>
      <c r="N3" s="18" t="s">
        <v>6</v>
      </c>
    </row>
    <row r="4" spans="2:14">
      <c r="B4" s="199">
        <v>100</v>
      </c>
      <c r="D4" s="202"/>
      <c r="F4" s="200"/>
      <c r="H4">
        <v>100</v>
      </c>
      <c r="L4" s="106">
        <v>2001</v>
      </c>
      <c r="M4" s="18">
        <v>100</v>
      </c>
      <c r="N4" s="107"/>
    </row>
    <row r="5" spans="2:14">
      <c r="B5" s="199">
        <v>200</v>
      </c>
      <c r="D5" s="202"/>
      <c r="F5" s="200"/>
      <c r="H5">
        <v>200</v>
      </c>
      <c r="L5" s="106">
        <v>2002</v>
      </c>
      <c r="M5" s="18">
        <v>125</v>
      </c>
      <c r="N5" s="186"/>
    </row>
    <row r="6" spans="2:14">
      <c r="B6" s="199">
        <v>300</v>
      </c>
      <c r="D6" s="202"/>
      <c r="F6" s="200"/>
      <c r="H6">
        <v>300</v>
      </c>
      <c r="L6" s="106">
        <v>2003</v>
      </c>
      <c r="M6" s="18">
        <v>150</v>
      </c>
      <c r="N6" s="186"/>
    </row>
    <row r="7" spans="2:14">
      <c r="B7" s="199">
        <v>400</v>
      </c>
      <c r="D7" s="202"/>
      <c r="F7" s="200"/>
      <c r="H7">
        <v>400</v>
      </c>
      <c r="L7" s="106">
        <v>2004</v>
      </c>
      <c r="M7" s="18">
        <v>180</v>
      </c>
      <c r="N7" s="186"/>
    </row>
    <row r="8" spans="2:14">
      <c r="B8" s="199">
        <v>500</v>
      </c>
      <c r="D8" s="202"/>
      <c r="F8" s="200"/>
      <c r="H8" s="108"/>
    </row>
    <row r="12" spans="2:14">
      <c r="B12" s="201"/>
      <c r="C12" s="199"/>
      <c r="D12" s="199"/>
      <c r="E12" s="199"/>
      <c r="F12" s="199"/>
    </row>
    <row r="19" spans="2:2">
      <c r="B19" s="203"/>
    </row>
    <row r="20" spans="2:2">
      <c r="B20" s="203"/>
    </row>
    <row r="21" spans="2:2">
      <c r="B21" s="203"/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theme="0" tint="-0.34998626667073579"/>
  </sheetPr>
  <dimension ref="A5:S123"/>
  <sheetViews>
    <sheetView showGridLines="0" topLeftCell="A93" zoomScale="115" zoomScaleNormal="115" workbookViewId="0">
      <selection activeCell="H114" sqref="H114"/>
    </sheetView>
  </sheetViews>
  <sheetFormatPr defaultColWidth="9.140625" defaultRowHeight="12.75"/>
  <cols>
    <col min="1" max="1" width="12" style="1" customWidth="1"/>
    <col min="2" max="2" width="12.28515625" style="1" customWidth="1"/>
    <col min="3" max="3" width="12.42578125" style="1" customWidth="1"/>
    <col min="4" max="4" width="8.42578125" style="1" customWidth="1"/>
    <col min="5" max="5" width="8.85546875" style="1" customWidth="1"/>
    <col min="6" max="6" width="11" style="1" customWidth="1"/>
    <col min="7" max="7" width="11.28515625" style="1" customWidth="1"/>
    <col min="8" max="8" width="11.85546875" style="1" bestFit="1" customWidth="1"/>
    <col min="9" max="9" width="10.7109375" style="1" bestFit="1" customWidth="1"/>
    <col min="10" max="18" width="9.140625" style="1"/>
    <col min="19" max="19" width="13.140625" style="1" customWidth="1"/>
    <col min="20" max="16384" width="9.140625" style="1"/>
  </cols>
  <sheetData>
    <row r="5" spans="1:14" ht="15.75" thickBot="1">
      <c r="A5" s="326" t="s">
        <v>83</v>
      </c>
      <c r="B5" s="326" t="s">
        <v>84</v>
      </c>
      <c r="C5" s="326" t="s">
        <v>85</v>
      </c>
      <c r="D5" s="326" t="s">
        <v>86</v>
      </c>
      <c r="E5" s="326" t="s">
        <v>87</v>
      </c>
      <c r="F5" s="326" t="s">
        <v>88</v>
      </c>
      <c r="G5" s="326" t="s">
        <v>89</v>
      </c>
      <c r="H5" s="326" t="s">
        <v>90</v>
      </c>
    </row>
    <row r="6" spans="1:14">
      <c r="D6" s="1" t="s">
        <v>93</v>
      </c>
      <c r="E6" s="1" t="s">
        <v>103</v>
      </c>
    </row>
    <row r="7" spans="1:14">
      <c r="D7" s="1" t="s">
        <v>3852</v>
      </c>
      <c r="E7" s="1" t="s">
        <v>120</v>
      </c>
    </row>
    <row r="8" spans="1:14">
      <c r="D8" s="1" t="s">
        <v>3853</v>
      </c>
      <c r="E8" s="1" t="s">
        <v>94</v>
      </c>
    </row>
    <row r="9" spans="1:14">
      <c r="H9" s="408"/>
    </row>
    <row r="10" spans="1:14">
      <c r="H10" s="407"/>
    </row>
    <row r="11" spans="1:14" ht="15.75" thickBot="1">
      <c r="A11" s="326" t="s">
        <v>83</v>
      </c>
      <c r="B11" s="326" t="s">
        <v>84</v>
      </c>
      <c r="C11" s="326" t="s">
        <v>85</v>
      </c>
      <c r="D11" s="326" t="s">
        <v>86</v>
      </c>
      <c r="E11" s="326" t="s">
        <v>87</v>
      </c>
      <c r="F11" s="326" t="s">
        <v>88</v>
      </c>
      <c r="G11" s="326" t="s">
        <v>89</v>
      </c>
      <c r="H11" s="326" t="s">
        <v>90</v>
      </c>
      <c r="I11" s="315"/>
      <c r="J11" s="315"/>
      <c r="K11" s="315"/>
      <c r="L11" s="315"/>
      <c r="M11" s="315"/>
      <c r="N11" s="315"/>
    </row>
    <row r="12" spans="1:14" ht="14.25">
      <c r="A12" s="327">
        <v>3</v>
      </c>
      <c r="B12" s="4" t="s">
        <v>99</v>
      </c>
      <c r="C12" s="4" t="s">
        <v>96</v>
      </c>
      <c r="D12" s="4" t="s">
        <v>100</v>
      </c>
      <c r="E12" s="4" t="s">
        <v>94</v>
      </c>
      <c r="F12" s="5">
        <v>50</v>
      </c>
      <c r="G12" s="6">
        <v>33510</v>
      </c>
      <c r="H12" s="7">
        <v>5000</v>
      </c>
      <c r="I12" s="315"/>
      <c r="J12" s="315"/>
      <c r="K12" s="315"/>
      <c r="L12" s="315"/>
      <c r="M12" s="315"/>
      <c r="N12" s="315"/>
    </row>
    <row r="13" spans="1:14" ht="14.25">
      <c r="A13" s="327">
        <v>79</v>
      </c>
      <c r="B13" s="4" t="s">
        <v>236</v>
      </c>
      <c r="C13" s="4" t="s">
        <v>235</v>
      </c>
      <c r="D13" s="4" t="s">
        <v>125</v>
      </c>
      <c r="E13" s="4" t="s">
        <v>98</v>
      </c>
      <c r="F13" s="5">
        <v>30</v>
      </c>
      <c r="G13" s="6">
        <v>32438</v>
      </c>
      <c r="H13" s="7">
        <v>10000</v>
      </c>
      <c r="I13" s="315"/>
      <c r="J13" s="315"/>
      <c r="K13" s="315"/>
      <c r="L13" s="315"/>
      <c r="M13" s="315"/>
      <c r="N13" s="315"/>
    </row>
    <row r="14" spans="1:14" ht="14.25">
      <c r="A14" s="327">
        <v>21</v>
      </c>
      <c r="B14" s="4" t="s">
        <v>136</v>
      </c>
      <c r="C14" s="4" t="s">
        <v>135</v>
      </c>
      <c r="D14" s="4" t="s">
        <v>125</v>
      </c>
      <c r="E14" s="4" t="s">
        <v>94</v>
      </c>
      <c r="F14" s="5">
        <v>30</v>
      </c>
      <c r="G14" s="6">
        <v>32440</v>
      </c>
      <c r="H14" s="7">
        <v>10000</v>
      </c>
      <c r="I14" s="315"/>
      <c r="J14" s="315"/>
      <c r="K14" s="404"/>
      <c r="L14" s="315"/>
      <c r="M14" s="315"/>
      <c r="N14" s="315"/>
    </row>
    <row r="15" spans="1:14" ht="14.25">
      <c r="A15" s="327">
        <v>4</v>
      </c>
      <c r="B15" s="4" t="s">
        <v>101</v>
      </c>
      <c r="C15" s="4" t="s">
        <v>102</v>
      </c>
      <c r="D15" s="4" t="s">
        <v>100</v>
      </c>
      <c r="E15" s="4" t="s">
        <v>103</v>
      </c>
      <c r="F15" s="5">
        <v>50</v>
      </c>
      <c r="G15" s="6">
        <v>34761</v>
      </c>
      <c r="H15" s="7">
        <v>9000</v>
      </c>
      <c r="I15" s="315"/>
      <c r="J15" s="315"/>
      <c r="K15" s="404"/>
      <c r="L15" s="315"/>
      <c r="M15" s="315"/>
      <c r="N15" s="315"/>
    </row>
    <row r="16" spans="1:14" ht="14.25">
      <c r="A16" s="327">
        <v>13</v>
      </c>
      <c r="B16" s="4" t="s">
        <v>118</v>
      </c>
      <c r="C16" s="4" t="s">
        <v>119</v>
      </c>
      <c r="D16" s="4" t="s">
        <v>97</v>
      </c>
      <c r="E16" s="4" t="s">
        <v>120</v>
      </c>
      <c r="F16" s="5">
        <v>20</v>
      </c>
      <c r="G16" s="6">
        <v>35794</v>
      </c>
      <c r="H16" s="7">
        <v>4500</v>
      </c>
      <c r="I16" s="315"/>
      <c r="J16" s="315"/>
      <c r="K16" s="404"/>
      <c r="L16" s="315"/>
      <c r="M16" s="315"/>
      <c r="N16" s="315"/>
    </row>
    <row r="17" spans="1:19" ht="14.25">
      <c r="A17" s="327">
        <v>72</v>
      </c>
      <c r="B17" s="4" t="s">
        <v>225</v>
      </c>
      <c r="C17" s="4" t="s">
        <v>221</v>
      </c>
      <c r="D17" s="4" t="s">
        <v>93</v>
      </c>
      <c r="E17" s="4" t="s">
        <v>94</v>
      </c>
      <c r="F17" s="5">
        <v>70</v>
      </c>
      <c r="G17" s="6">
        <v>32180</v>
      </c>
      <c r="H17" s="7">
        <v>9000</v>
      </c>
      <c r="I17" s="315"/>
      <c r="J17" s="315"/>
      <c r="K17" s="404"/>
      <c r="L17" s="315"/>
      <c r="M17" s="315"/>
      <c r="N17" s="315"/>
    </row>
    <row r="18" spans="1:19" ht="15">
      <c r="A18" s="327">
        <v>43</v>
      </c>
      <c r="B18" s="4" t="s">
        <v>175</v>
      </c>
      <c r="C18" s="4" t="s">
        <v>176</v>
      </c>
      <c r="D18" s="4" t="s">
        <v>115</v>
      </c>
      <c r="E18" s="4" t="s">
        <v>98</v>
      </c>
      <c r="F18" s="5">
        <v>60</v>
      </c>
      <c r="G18" s="6">
        <v>32441</v>
      </c>
      <c r="H18" s="7">
        <v>10000</v>
      </c>
      <c r="I18" s="315"/>
      <c r="J18" s="315"/>
      <c r="K18" s="315"/>
      <c r="L18" s="315"/>
      <c r="M18" s="315"/>
      <c r="N18" s="315"/>
      <c r="O18" s="3"/>
      <c r="P18" s="3"/>
      <c r="Q18" s="3"/>
      <c r="R18" s="3"/>
      <c r="S18" s="3"/>
    </row>
    <row r="19" spans="1:19" ht="14.25">
      <c r="A19" s="327">
        <v>52</v>
      </c>
      <c r="B19" s="4" t="s">
        <v>194</v>
      </c>
      <c r="C19" s="4" t="s">
        <v>193</v>
      </c>
      <c r="D19" s="4" t="s">
        <v>115</v>
      </c>
      <c r="E19" s="4" t="s">
        <v>94</v>
      </c>
      <c r="F19" s="5">
        <v>60</v>
      </c>
      <c r="G19" s="6">
        <v>32444</v>
      </c>
      <c r="H19" s="7">
        <v>11500</v>
      </c>
      <c r="I19" s="315"/>
      <c r="J19" s="315"/>
      <c r="K19" s="315"/>
      <c r="L19" s="315"/>
      <c r="M19" s="315"/>
      <c r="N19" s="315"/>
      <c r="O19" s="11"/>
      <c r="P19" s="11"/>
      <c r="Q19" s="11"/>
      <c r="S19" s="10"/>
    </row>
    <row r="20" spans="1:19" ht="14.25">
      <c r="A20" s="327">
        <v>93</v>
      </c>
      <c r="B20" s="4" t="s">
        <v>261</v>
      </c>
      <c r="C20" s="4" t="s">
        <v>259</v>
      </c>
      <c r="D20" s="4" t="s">
        <v>100</v>
      </c>
      <c r="E20" s="4" t="s">
        <v>103</v>
      </c>
      <c r="F20" s="5">
        <v>50</v>
      </c>
      <c r="G20" s="6">
        <v>32442</v>
      </c>
      <c r="H20" s="7">
        <v>10000</v>
      </c>
      <c r="I20" s="315"/>
      <c r="J20" s="315"/>
      <c r="K20" s="315"/>
      <c r="L20" s="315"/>
      <c r="M20" s="315"/>
      <c r="N20" s="315"/>
      <c r="O20" s="11"/>
      <c r="P20" s="11"/>
      <c r="Q20" s="11"/>
      <c r="S20" s="10"/>
    </row>
    <row r="21" spans="1:19" ht="14.25">
      <c r="A21" s="327">
        <v>44</v>
      </c>
      <c r="B21" s="4" t="s">
        <v>177</v>
      </c>
      <c r="C21" s="4" t="s">
        <v>178</v>
      </c>
      <c r="D21" s="4" t="s">
        <v>76</v>
      </c>
      <c r="E21" s="4" t="s">
        <v>94</v>
      </c>
      <c r="F21" s="5">
        <v>10</v>
      </c>
      <c r="G21" s="6">
        <v>28907</v>
      </c>
      <c r="H21" s="7">
        <v>13000</v>
      </c>
      <c r="I21" s="315"/>
      <c r="J21" s="315"/>
      <c r="K21" s="404"/>
      <c r="L21" s="315"/>
      <c r="M21" s="315"/>
      <c r="N21" s="315"/>
      <c r="O21" s="11"/>
      <c r="P21" s="11"/>
      <c r="Q21" s="11"/>
      <c r="S21" s="10"/>
    </row>
    <row r="22" spans="1:19" ht="14.25">
      <c r="A22" s="327">
        <v>41</v>
      </c>
      <c r="B22" s="4" t="s">
        <v>171</v>
      </c>
      <c r="C22" s="4" t="s">
        <v>172</v>
      </c>
      <c r="D22" s="4" t="s">
        <v>100</v>
      </c>
      <c r="E22" s="4" t="s">
        <v>98</v>
      </c>
      <c r="F22" s="5">
        <v>50</v>
      </c>
      <c r="G22" s="6">
        <v>32447</v>
      </c>
      <c r="H22" s="7">
        <v>10000</v>
      </c>
      <c r="I22" s="315"/>
      <c r="J22" s="315"/>
      <c r="K22" s="404"/>
      <c r="L22" s="315"/>
      <c r="M22" s="315"/>
      <c r="N22" s="315"/>
      <c r="O22" s="11"/>
      <c r="P22" s="11"/>
      <c r="Q22" s="11"/>
      <c r="S22" s="10"/>
    </row>
    <row r="23" spans="1:19" ht="14.25">
      <c r="A23" s="327">
        <v>83</v>
      </c>
      <c r="B23" s="4" t="s">
        <v>242</v>
      </c>
      <c r="C23" s="4" t="s">
        <v>243</v>
      </c>
      <c r="D23" s="4" t="s">
        <v>100</v>
      </c>
      <c r="E23" s="4" t="s">
        <v>98</v>
      </c>
      <c r="F23" s="5">
        <v>50</v>
      </c>
      <c r="G23" s="6">
        <v>35618</v>
      </c>
      <c r="H23" s="7">
        <v>4000</v>
      </c>
      <c r="I23" s="315"/>
      <c r="J23" s="315"/>
      <c r="K23" s="404"/>
      <c r="L23" s="315"/>
      <c r="M23" s="315"/>
      <c r="N23" s="315"/>
      <c r="O23" s="11"/>
      <c r="P23" s="11"/>
      <c r="Q23" s="11"/>
      <c r="S23" s="10"/>
    </row>
    <row r="24" spans="1:19" ht="14.25">
      <c r="A24" s="327">
        <v>81</v>
      </c>
      <c r="B24" s="4" t="s">
        <v>238</v>
      </c>
      <c r="C24" s="4" t="s">
        <v>239</v>
      </c>
      <c r="D24" s="4" t="s">
        <v>125</v>
      </c>
      <c r="E24" s="4" t="s">
        <v>120</v>
      </c>
      <c r="F24" s="5">
        <v>30</v>
      </c>
      <c r="G24" s="6">
        <v>34763</v>
      </c>
      <c r="H24" s="7">
        <v>8000</v>
      </c>
      <c r="I24" s="315"/>
      <c r="J24" s="315"/>
      <c r="K24" s="315"/>
      <c r="L24" s="315"/>
      <c r="M24" s="315"/>
      <c r="N24" s="315"/>
      <c r="O24" s="11"/>
      <c r="P24" s="11"/>
      <c r="Q24" s="11"/>
      <c r="S24" s="10"/>
    </row>
    <row r="25" spans="1:19" ht="14.25">
      <c r="A25" s="327">
        <v>32</v>
      </c>
      <c r="B25" s="4" t="s">
        <v>153</v>
      </c>
      <c r="C25" s="4" t="s">
        <v>154</v>
      </c>
      <c r="D25" s="4" t="s">
        <v>93</v>
      </c>
      <c r="E25" s="4" t="s">
        <v>103</v>
      </c>
      <c r="F25" s="5">
        <v>70</v>
      </c>
      <c r="G25" s="6">
        <v>32441</v>
      </c>
      <c r="H25" s="7">
        <v>10000</v>
      </c>
      <c r="I25" s="315"/>
      <c r="J25" s="315"/>
      <c r="K25" s="315"/>
      <c r="L25" s="315"/>
      <c r="M25" s="315"/>
      <c r="N25" s="315"/>
      <c r="O25" s="11"/>
      <c r="P25" s="11"/>
      <c r="Q25" s="11"/>
      <c r="S25" s="10"/>
    </row>
    <row r="26" spans="1:19" ht="14.25">
      <c r="A26" s="327">
        <v>16</v>
      </c>
      <c r="B26" s="4" t="s">
        <v>126</v>
      </c>
      <c r="C26" s="4" t="s">
        <v>127</v>
      </c>
      <c r="D26" s="4" t="s">
        <v>76</v>
      </c>
      <c r="E26" s="4" t="s">
        <v>98</v>
      </c>
      <c r="F26" s="5">
        <v>10</v>
      </c>
      <c r="G26" s="6">
        <v>28126</v>
      </c>
      <c r="H26" s="7">
        <v>10000</v>
      </c>
      <c r="I26" s="315"/>
      <c r="J26" s="315"/>
      <c r="K26" s="315"/>
      <c r="L26" s="315"/>
      <c r="M26" s="315"/>
      <c r="N26" s="315"/>
      <c r="O26" s="11"/>
      <c r="P26" s="11"/>
      <c r="Q26" s="11"/>
      <c r="S26" s="10"/>
    </row>
    <row r="27" spans="1:19" ht="14.25">
      <c r="A27" s="327">
        <v>58</v>
      </c>
      <c r="B27" s="4" t="s">
        <v>203</v>
      </c>
      <c r="C27" s="4" t="s">
        <v>204</v>
      </c>
      <c r="D27" s="4" t="s">
        <v>143</v>
      </c>
      <c r="E27" s="4" t="s">
        <v>103</v>
      </c>
      <c r="F27" s="5">
        <v>40</v>
      </c>
      <c r="G27" s="6">
        <v>31402</v>
      </c>
      <c r="H27" s="7">
        <v>8500</v>
      </c>
      <c r="I27" s="315"/>
      <c r="J27" s="315"/>
      <c r="K27" s="315"/>
      <c r="L27" s="315"/>
      <c r="M27" s="315"/>
      <c r="N27" s="315"/>
      <c r="O27" s="11"/>
      <c r="P27" s="11"/>
      <c r="Q27" s="11"/>
      <c r="S27" s="10"/>
    </row>
    <row r="28" spans="1:19" ht="14.25">
      <c r="A28" s="327">
        <v>48</v>
      </c>
      <c r="B28" s="4" t="s">
        <v>187</v>
      </c>
      <c r="C28" s="4" t="s">
        <v>186</v>
      </c>
      <c r="D28" s="4" t="s">
        <v>97</v>
      </c>
      <c r="E28" s="4" t="s">
        <v>103</v>
      </c>
      <c r="F28" s="5">
        <v>20</v>
      </c>
      <c r="G28" s="6">
        <v>36318</v>
      </c>
      <c r="H28" s="7">
        <v>4500</v>
      </c>
      <c r="I28" s="315"/>
      <c r="J28" s="315"/>
      <c r="K28" s="315"/>
      <c r="L28" s="315"/>
      <c r="M28" s="315"/>
      <c r="N28" s="315"/>
      <c r="O28" s="11"/>
      <c r="P28" s="11"/>
      <c r="Q28" s="11"/>
      <c r="S28" s="10"/>
    </row>
    <row r="29" spans="1:19" ht="14.25">
      <c r="A29" s="327">
        <v>30</v>
      </c>
      <c r="B29" s="4" t="s">
        <v>150</v>
      </c>
      <c r="C29" s="4" t="s">
        <v>149</v>
      </c>
      <c r="D29" s="4" t="s">
        <v>100</v>
      </c>
      <c r="E29" s="4" t="s">
        <v>94</v>
      </c>
      <c r="F29" s="5">
        <v>50</v>
      </c>
      <c r="G29" s="6">
        <v>35810</v>
      </c>
      <c r="H29" s="7">
        <v>10000</v>
      </c>
      <c r="I29" s="315"/>
      <c r="J29" s="315"/>
      <c r="K29" s="315"/>
      <c r="L29" s="315"/>
      <c r="M29" s="315"/>
      <c r="N29" s="315"/>
      <c r="O29" s="11"/>
      <c r="Q29" s="11"/>
      <c r="S29" s="10"/>
    </row>
    <row r="30" spans="1:19" ht="14.25">
      <c r="A30" s="327">
        <v>46</v>
      </c>
      <c r="B30" s="4" t="s">
        <v>181</v>
      </c>
      <c r="C30" s="4" t="s">
        <v>182</v>
      </c>
      <c r="D30" s="4" t="s">
        <v>143</v>
      </c>
      <c r="E30" s="4" t="s">
        <v>120</v>
      </c>
      <c r="F30" s="5">
        <v>40</v>
      </c>
      <c r="G30" s="6">
        <v>30225</v>
      </c>
      <c r="H30" s="7">
        <v>14000</v>
      </c>
      <c r="I30" s="315"/>
      <c r="J30" s="315"/>
      <c r="K30" s="315"/>
      <c r="L30" s="315"/>
      <c r="M30" s="315"/>
      <c r="N30" s="315"/>
      <c r="O30" s="11"/>
      <c r="P30" s="11"/>
      <c r="Q30" s="11"/>
      <c r="S30" s="10"/>
    </row>
    <row r="31" spans="1:19" ht="14.25">
      <c r="A31" s="327">
        <v>59</v>
      </c>
      <c r="B31" s="4" t="s">
        <v>181</v>
      </c>
      <c r="C31" s="4" t="s">
        <v>205</v>
      </c>
      <c r="D31" s="4" t="s">
        <v>93</v>
      </c>
      <c r="E31" s="4" t="s">
        <v>120</v>
      </c>
      <c r="F31" s="5">
        <v>70</v>
      </c>
      <c r="G31" s="6">
        <v>30376</v>
      </c>
      <c r="H31" s="13">
        <v>12000</v>
      </c>
      <c r="I31" s="315"/>
      <c r="J31" s="315"/>
      <c r="K31" s="315"/>
      <c r="L31" s="315"/>
      <c r="M31" s="315"/>
      <c r="N31" s="315"/>
      <c r="O31" s="11"/>
      <c r="P31" s="11"/>
      <c r="Q31" s="11"/>
      <c r="S31" s="10"/>
    </row>
    <row r="32" spans="1:19" ht="14.25">
      <c r="A32" s="327">
        <v>88</v>
      </c>
      <c r="B32" s="4" t="s">
        <v>252</v>
      </c>
      <c r="C32" s="4" t="s">
        <v>253</v>
      </c>
      <c r="D32" s="4" t="s">
        <v>143</v>
      </c>
      <c r="E32" s="4" t="s">
        <v>94</v>
      </c>
      <c r="F32" s="5">
        <v>40</v>
      </c>
      <c r="G32" s="6">
        <v>30225</v>
      </c>
      <c r="H32" s="7">
        <v>14000</v>
      </c>
      <c r="I32" s="315"/>
      <c r="J32" s="315"/>
      <c r="K32" s="315"/>
      <c r="L32" s="315"/>
      <c r="M32" s="315"/>
      <c r="N32" s="315"/>
      <c r="O32" s="11"/>
      <c r="P32" s="11"/>
      <c r="Q32" s="11"/>
      <c r="S32" s="10"/>
    </row>
    <row r="33" spans="1:19" ht="14.25">
      <c r="A33" s="327">
        <v>92</v>
      </c>
      <c r="B33" s="4" t="s">
        <v>252</v>
      </c>
      <c r="C33" s="4" t="s">
        <v>259</v>
      </c>
      <c r="D33" s="4" t="s">
        <v>260</v>
      </c>
      <c r="E33" s="4" t="s">
        <v>103</v>
      </c>
      <c r="F33" s="5">
        <v>80</v>
      </c>
      <c r="G33" s="6">
        <v>31028</v>
      </c>
      <c r="H33" s="7">
        <v>15000</v>
      </c>
      <c r="I33" s="315"/>
      <c r="J33" s="315"/>
      <c r="K33" s="315"/>
      <c r="L33" s="315"/>
      <c r="M33" s="315"/>
      <c r="N33" s="315"/>
      <c r="O33" s="11"/>
      <c r="P33" s="11"/>
      <c r="Q33" s="11"/>
      <c r="S33" s="10"/>
    </row>
    <row r="34" spans="1:19" ht="14.25">
      <c r="A34" s="327">
        <v>20</v>
      </c>
      <c r="B34" s="4" t="s">
        <v>134</v>
      </c>
      <c r="C34" s="4" t="s">
        <v>135</v>
      </c>
      <c r="D34" s="4" t="s">
        <v>97</v>
      </c>
      <c r="E34" s="4" t="s">
        <v>120</v>
      </c>
      <c r="F34" s="5">
        <v>20</v>
      </c>
      <c r="G34" s="6">
        <v>36319</v>
      </c>
      <c r="H34" s="7">
        <v>4500</v>
      </c>
      <c r="I34" s="315"/>
      <c r="J34" s="315"/>
      <c r="K34" s="315"/>
      <c r="L34" s="315"/>
      <c r="M34" s="315"/>
      <c r="N34" s="315"/>
      <c r="O34" s="11"/>
      <c r="P34" s="11"/>
      <c r="Q34" s="11"/>
      <c r="S34" s="10"/>
    </row>
    <row r="35" spans="1:19" ht="14.25">
      <c r="A35" s="327">
        <v>68</v>
      </c>
      <c r="B35" s="4" t="s">
        <v>219</v>
      </c>
      <c r="C35" s="4" t="s">
        <v>218</v>
      </c>
      <c r="D35" s="4" t="s">
        <v>115</v>
      </c>
      <c r="E35" s="4" t="s">
        <v>120</v>
      </c>
      <c r="F35" s="5">
        <v>60</v>
      </c>
      <c r="G35" s="6">
        <v>33194</v>
      </c>
      <c r="H35" s="7">
        <v>7900</v>
      </c>
      <c r="I35" s="315"/>
      <c r="J35" s="315"/>
      <c r="K35" s="315"/>
      <c r="L35" s="315"/>
      <c r="M35" s="315"/>
      <c r="N35" s="315"/>
      <c r="O35" s="11"/>
      <c r="P35" s="11"/>
      <c r="Q35" s="11"/>
      <c r="S35" s="10"/>
    </row>
    <row r="36" spans="1:19" ht="14.25">
      <c r="A36" s="327">
        <v>38</v>
      </c>
      <c r="B36" s="4" t="s">
        <v>165</v>
      </c>
      <c r="C36" s="4" t="s">
        <v>166</v>
      </c>
      <c r="D36" s="4" t="s">
        <v>125</v>
      </c>
      <c r="E36" s="4" t="s">
        <v>94</v>
      </c>
      <c r="F36" s="5">
        <v>30</v>
      </c>
      <c r="G36" s="6">
        <v>32755</v>
      </c>
      <c r="H36" s="7">
        <v>12000</v>
      </c>
      <c r="I36" s="315"/>
      <c r="J36" s="315"/>
      <c r="K36" s="315"/>
      <c r="L36" s="315"/>
      <c r="M36" s="315"/>
      <c r="N36" s="315"/>
      <c r="O36" s="11"/>
      <c r="P36" s="11"/>
      <c r="Q36" s="11"/>
      <c r="S36" s="10"/>
    </row>
    <row r="37" spans="1:19" ht="14.25">
      <c r="A37" s="327">
        <v>29</v>
      </c>
      <c r="B37" s="4" t="s">
        <v>148</v>
      </c>
      <c r="C37" s="4" t="s">
        <v>149</v>
      </c>
      <c r="D37" s="4" t="s">
        <v>97</v>
      </c>
      <c r="E37" s="4" t="s">
        <v>94</v>
      </c>
      <c r="F37" s="5">
        <v>20</v>
      </c>
      <c r="G37" s="6">
        <v>36317</v>
      </c>
      <c r="H37" s="7">
        <v>4500</v>
      </c>
      <c r="I37" s="315"/>
      <c r="J37" s="315"/>
      <c r="K37" s="315"/>
      <c r="L37" s="315"/>
      <c r="M37" s="315"/>
      <c r="N37" s="315"/>
      <c r="O37" s="11"/>
      <c r="P37" s="11"/>
      <c r="Q37" s="11"/>
      <c r="S37" s="10"/>
    </row>
    <row r="38" spans="1:19" ht="14.25">
      <c r="A38" s="327">
        <v>97</v>
      </c>
      <c r="B38" s="4" t="s">
        <v>268</v>
      </c>
      <c r="C38" s="4" t="s">
        <v>269</v>
      </c>
      <c r="D38" s="4" t="s">
        <v>97</v>
      </c>
      <c r="E38" s="4" t="s">
        <v>94</v>
      </c>
      <c r="F38" s="5">
        <v>20</v>
      </c>
      <c r="G38" s="6">
        <v>32445</v>
      </c>
      <c r="H38" s="7">
        <v>10000</v>
      </c>
      <c r="I38" s="315"/>
      <c r="J38" s="315"/>
      <c r="K38" s="315"/>
      <c r="L38" s="315"/>
      <c r="M38" s="315"/>
      <c r="N38" s="315"/>
      <c r="O38" s="11"/>
      <c r="P38" s="11"/>
      <c r="Q38" s="11"/>
      <c r="S38" s="10"/>
    </row>
    <row r="39" spans="1:19" ht="14.25">
      <c r="A39" s="327">
        <v>28</v>
      </c>
      <c r="B39" s="4" t="s">
        <v>146</v>
      </c>
      <c r="C39" s="4" t="s">
        <v>147</v>
      </c>
      <c r="D39" s="4" t="s">
        <v>143</v>
      </c>
      <c r="E39" s="4" t="s">
        <v>98</v>
      </c>
      <c r="F39" s="5">
        <v>40</v>
      </c>
      <c r="G39" s="6">
        <v>36193</v>
      </c>
      <c r="H39" s="7">
        <v>4500</v>
      </c>
      <c r="I39" s="315"/>
      <c r="J39" s="315"/>
      <c r="K39" s="315"/>
      <c r="L39" s="315"/>
      <c r="M39" s="315"/>
      <c r="N39" s="315"/>
      <c r="O39" s="11"/>
      <c r="P39" s="11"/>
      <c r="Q39" s="11"/>
      <c r="S39" s="10"/>
    </row>
    <row r="40" spans="1:19" ht="14.25">
      <c r="A40" s="327">
        <v>100</v>
      </c>
      <c r="B40" s="4" t="s">
        <v>274</v>
      </c>
      <c r="C40" s="4" t="s">
        <v>273</v>
      </c>
      <c r="D40" s="4" t="s">
        <v>115</v>
      </c>
      <c r="E40" s="4" t="s">
        <v>120</v>
      </c>
      <c r="F40" s="5">
        <v>60</v>
      </c>
      <c r="G40" s="6">
        <v>32435</v>
      </c>
      <c r="H40" s="7">
        <v>9000</v>
      </c>
      <c r="I40" s="315"/>
      <c r="J40" s="315"/>
      <c r="K40" s="315"/>
      <c r="L40" s="315"/>
      <c r="M40" s="315"/>
      <c r="N40" s="315"/>
      <c r="O40" s="11"/>
      <c r="P40" s="11"/>
      <c r="Q40" s="11"/>
      <c r="S40" s="10"/>
    </row>
    <row r="41" spans="1:19" ht="14.25">
      <c r="A41" s="327">
        <v>73</v>
      </c>
      <c r="B41" s="4" t="s">
        <v>226</v>
      </c>
      <c r="C41" s="4" t="s">
        <v>227</v>
      </c>
      <c r="D41" s="4" t="s">
        <v>125</v>
      </c>
      <c r="E41" s="4" t="s">
        <v>94</v>
      </c>
      <c r="F41" s="5">
        <v>30</v>
      </c>
      <c r="G41" s="6">
        <v>35809</v>
      </c>
      <c r="H41" s="7">
        <v>4000</v>
      </c>
      <c r="I41" s="315"/>
      <c r="J41" s="315"/>
      <c r="K41" s="315"/>
      <c r="L41" s="315"/>
      <c r="M41" s="315"/>
      <c r="N41" s="315"/>
      <c r="O41" s="11"/>
      <c r="P41" s="11"/>
      <c r="Q41" s="11"/>
      <c r="S41" s="10"/>
    </row>
    <row r="42" spans="1:19" ht="14.25">
      <c r="A42" s="327">
        <v>74</v>
      </c>
      <c r="B42" s="4" t="s">
        <v>226</v>
      </c>
      <c r="C42" s="4" t="s">
        <v>227</v>
      </c>
      <c r="D42" s="4" t="s">
        <v>125</v>
      </c>
      <c r="E42" s="4" t="s">
        <v>94</v>
      </c>
      <c r="F42" s="5">
        <v>30</v>
      </c>
      <c r="G42" s="6">
        <v>35809</v>
      </c>
      <c r="H42" s="7">
        <v>4000</v>
      </c>
      <c r="I42" s="315"/>
      <c r="J42" s="315"/>
      <c r="K42" s="315"/>
      <c r="L42" s="315"/>
      <c r="M42" s="315"/>
      <c r="N42" s="315"/>
      <c r="O42" s="11"/>
      <c r="P42" s="11"/>
      <c r="Q42" s="11"/>
      <c r="S42" s="10"/>
    </row>
    <row r="43" spans="1:19" ht="14.25">
      <c r="A43" s="327">
        <v>57</v>
      </c>
      <c r="B43" s="4" t="s">
        <v>201</v>
      </c>
      <c r="C43" s="4" t="s">
        <v>202</v>
      </c>
      <c r="D43" s="4" t="s">
        <v>76</v>
      </c>
      <c r="E43" s="4" t="s">
        <v>103</v>
      </c>
      <c r="F43" s="5">
        <v>10</v>
      </c>
      <c r="G43" s="6">
        <v>33787</v>
      </c>
      <c r="H43" s="7">
        <v>7500</v>
      </c>
      <c r="I43" s="315"/>
      <c r="J43" s="315"/>
      <c r="K43" s="315"/>
      <c r="L43" s="315"/>
      <c r="M43" s="315"/>
      <c r="N43" s="315"/>
      <c r="O43" s="11"/>
      <c r="P43" s="11"/>
      <c r="Q43" s="11"/>
      <c r="S43" s="10"/>
    </row>
    <row r="44" spans="1:19" ht="14.25">
      <c r="A44" s="327">
        <v>39</v>
      </c>
      <c r="B44" s="4" t="s">
        <v>167</v>
      </c>
      <c r="C44" s="4" t="s">
        <v>168</v>
      </c>
      <c r="D44" s="4" t="s">
        <v>76</v>
      </c>
      <c r="E44" s="4" t="s">
        <v>94</v>
      </c>
      <c r="F44" s="5">
        <v>10</v>
      </c>
      <c r="G44" s="6">
        <v>33510</v>
      </c>
      <c r="H44" s="7">
        <v>6000</v>
      </c>
      <c r="I44" s="315"/>
      <c r="J44" s="315"/>
      <c r="K44" s="315"/>
      <c r="L44" s="315"/>
      <c r="M44" s="315"/>
      <c r="N44" s="315"/>
      <c r="O44" s="11"/>
      <c r="P44" s="11"/>
      <c r="Q44" s="11"/>
      <c r="S44" s="10"/>
    </row>
    <row r="45" spans="1:19" ht="14.25">
      <c r="A45" s="327">
        <v>51</v>
      </c>
      <c r="B45" s="4" t="s">
        <v>192</v>
      </c>
      <c r="C45" s="4" t="s">
        <v>193</v>
      </c>
      <c r="D45" s="4" t="s">
        <v>97</v>
      </c>
      <c r="E45" s="4" t="s">
        <v>103</v>
      </c>
      <c r="F45" s="5">
        <v>20</v>
      </c>
      <c r="G45" s="6">
        <v>34762</v>
      </c>
      <c r="H45" s="7">
        <v>8000</v>
      </c>
      <c r="I45" s="315"/>
      <c r="J45" s="315"/>
      <c r="K45" s="315"/>
      <c r="L45" s="315"/>
      <c r="M45" s="315"/>
      <c r="N45" s="315"/>
      <c r="O45" s="11"/>
      <c r="P45" s="11"/>
      <c r="Q45" s="11"/>
      <c r="S45" s="10"/>
    </row>
    <row r="46" spans="1:19" ht="14.25">
      <c r="A46" s="327">
        <v>61</v>
      </c>
      <c r="B46" s="4" t="s">
        <v>208</v>
      </c>
      <c r="C46" s="4" t="s">
        <v>209</v>
      </c>
      <c r="D46" s="4" t="s">
        <v>100</v>
      </c>
      <c r="E46" s="4" t="s">
        <v>98</v>
      </c>
      <c r="F46" s="5">
        <v>50</v>
      </c>
      <c r="G46" s="6">
        <v>32435</v>
      </c>
      <c r="H46" s="7">
        <v>9000</v>
      </c>
      <c r="I46" s="315"/>
      <c r="J46" s="315"/>
      <c r="K46" s="315"/>
      <c r="L46" s="315"/>
      <c r="M46" s="315"/>
      <c r="N46" s="315"/>
      <c r="O46" s="11"/>
      <c r="P46" s="11"/>
      <c r="Q46" s="11"/>
      <c r="S46" s="10"/>
    </row>
    <row r="47" spans="1:19" ht="14.25">
      <c r="A47" s="327">
        <v>35</v>
      </c>
      <c r="B47" s="4" t="s">
        <v>159</v>
      </c>
      <c r="C47" s="4" t="s">
        <v>160</v>
      </c>
      <c r="D47" s="4" t="s">
        <v>76</v>
      </c>
      <c r="E47" s="4" t="s">
        <v>94</v>
      </c>
      <c r="F47" s="5">
        <v>10</v>
      </c>
      <c r="G47" s="6">
        <v>28126</v>
      </c>
      <c r="H47" s="7">
        <v>12500</v>
      </c>
      <c r="I47" s="315"/>
      <c r="J47" s="315"/>
      <c r="K47" s="315"/>
      <c r="L47" s="315"/>
      <c r="M47" s="315"/>
      <c r="N47" s="315"/>
      <c r="O47" s="11"/>
      <c r="P47" s="11"/>
      <c r="Q47" s="11"/>
      <c r="S47" s="10"/>
    </row>
    <row r="48" spans="1:19" ht="14.25">
      <c r="A48" s="327">
        <v>62</v>
      </c>
      <c r="B48" s="4" t="s">
        <v>210</v>
      </c>
      <c r="C48" s="4" t="s">
        <v>211</v>
      </c>
      <c r="D48" s="4" t="s">
        <v>97</v>
      </c>
      <c r="E48" s="4" t="s">
        <v>120</v>
      </c>
      <c r="F48" s="5">
        <v>20</v>
      </c>
      <c r="G48" s="6">
        <v>32605</v>
      </c>
      <c r="H48" s="7">
        <v>9900</v>
      </c>
      <c r="I48" s="315"/>
      <c r="J48" s="315"/>
      <c r="K48" s="315"/>
      <c r="L48" s="315"/>
      <c r="M48" s="315"/>
      <c r="N48" s="315"/>
      <c r="O48" s="11"/>
      <c r="P48" s="11"/>
      <c r="Q48" s="11"/>
      <c r="S48" s="10"/>
    </row>
    <row r="49" spans="1:19" ht="14.25">
      <c r="A49" s="327">
        <v>36</v>
      </c>
      <c r="B49" s="4" t="s">
        <v>161</v>
      </c>
      <c r="C49" s="4" t="s">
        <v>162</v>
      </c>
      <c r="D49" s="4" t="s">
        <v>125</v>
      </c>
      <c r="E49" s="4" t="s">
        <v>98</v>
      </c>
      <c r="F49" s="5">
        <v>30</v>
      </c>
      <c r="G49" s="6">
        <v>32608</v>
      </c>
      <c r="H49" s="7">
        <v>9900</v>
      </c>
      <c r="I49" s="315"/>
      <c r="J49" s="315"/>
      <c r="K49" s="315"/>
      <c r="L49" s="315"/>
      <c r="M49" s="315"/>
      <c r="N49" s="315"/>
      <c r="O49" s="11"/>
      <c r="P49" s="11"/>
      <c r="Q49" s="11"/>
      <c r="S49" s="10"/>
    </row>
    <row r="50" spans="1:19" ht="14.25">
      <c r="A50" s="327">
        <v>55</v>
      </c>
      <c r="B50" s="4" t="s">
        <v>199</v>
      </c>
      <c r="C50" s="4" t="s">
        <v>198</v>
      </c>
      <c r="D50" s="4" t="s">
        <v>125</v>
      </c>
      <c r="E50" s="4" t="s">
        <v>94</v>
      </c>
      <c r="F50" s="5">
        <v>30</v>
      </c>
      <c r="G50" s="6">
        <v>29226</v>
      </c>
      <c r="H50" s="7">
        <v>13000</v>
      </c>
      <c r="I50" s="315"/>
      <c r="J50" s="315"/>
      <c r="K50" s="315"/>
      <c r="L50" s="315"/>
      <c r="M50" s="315"/>
      <c r="N50" s="315"/>
      <c r="O50" s="11"/>
      <c r="Q50" s="11"/>
      <c r="S50" s="10"/>
    </row>
    <row r="51" spans="1:19" ht="14.25">
      <c r="A51" s="327">
        <v>14</v>
      </c>
      <c r="B51" s="4" t="s">
        <v>121</v>
      </c>
      <c r="C51" s="4" t="s">
        <v>122</v>
      </c>
      <c r="D51" s="4" t="s">
        <v>115</v>
      </c>
      <c r="E51" s="4" t="s">
        <v>94</v>
      </c>
      <c r="F51" s="5">
        <v>60</v>
      </c>
      <c r="G51" s="6">
        <v>31030</v>
      </c>
      <c r="H51" s="7">
        <v>8500</v>
      </c>
      <c r="I51" s="315"/>
      <c r="J51" s="315"/>
      <c r="K51" s="315"/>
      <c r="L51" s="315"/>
      <c r="M51" s="315"/>
      <c r="N51" s="315"/>
      <c r="O51" s="11"/>
      <c r="P51" s="11"/>
      <c r="Q51" s="11"/>
      <c r="S51" s="10"/>
    </row>
    <row r="52" spans="1:19" ht="14.25">
      <c r="A52" s="327">
        <v>71</v>
      </c>
      <c r="B52" s="4" t="s">
        <v>224</v>
      </c>
      <c r="C52" s="4" t="s">
        <v>221</v>
      </c>
      <c r="D52" s="4" t="s">
        <v>115</v>
      </c>
      <c r="E52" s="4" t="s">
        <v>94</v>
      </c>
      <c r="F52" s="5">
        <v>60</v>
      </c>
      <c r="G52" s="6">
        <v>34761</v>
      </c>
      <c r="H52" s="7">
        <v>8000</v>
      </c>
      <c r="I52" s="315"/>
      <c r="J52" s="315"/>
      <c r="K52" s="315"/>
      <c r="L52" s="315"/>
      <c r="M52" s="315"/>
      <c r="N52" s="315"/>
      <c r="O52" s="11"/>
      <c r="P52" s="11"/>
      <c r="Q52" s="11"/>
      <c r="S52" s="10"/>
    </row>
    <row r="53" spans="1:19" ht="14.25">
      <c r="A53" s="327">
        <v>49</v>
      </c>
      <c r="B53" s="4" t="s">
        <v>188</v>
      </c>
      <c r="C53" s="4" t="s">
        <v>189</v>
      </c>
      <c r="D53" s="4" t="s">
        <v>76</v>
      </c>
      <c r="E53" s="4" t="s">
        <v>120</v>
      </c>
      <c r="F53" s="5">
        <v>10</v>
      </c>
      <c r="G53" s="6">
        <v>29362</v>
      </c>
      <c r="H53" s="7">
        <v>8500</v>
      </c>
      <c r="I53" s="315"/>
      <c r="J53" s="315"/>
      <c r="K53" s="315"/>
      <c r="L53" s="315"/>
      <c r="M53" s="315"/>
      <c r="N53" s="315"/>
      <c r="O53" s="11"/>
      <c r="P53" s="11"/>
      <c r="Q53" s="11"/>
      <c r="S53" s="10"/>
    </row>
    <row r="54" spans="1:19" ht="14.25">
      <c r="A54" s="327">
        <v>64</v>
      </c>
      <c r="B54" s="4" t="s">
        <v>188</v>
      </c>
      <c r="C54" s="4" t="s">
        <v>214</v>
      </c>
      <c r="D54" s="4" t="s">
        <v>115</v>
      </c>
      <c r="E54" s="4" t="s">
        <v>98</v>
      </c>
      <c r="F54" s="5">
        <v>10</v>
      </c>
      <c r="G54" s="6">
        <v>34580</v>
      </c>
      <c r="H54" s="7">
        <v>6700</v>
      </c>
      <c r="I54" s="315"/>
      <c r="J54" s="315"/>
      <c r="K54" s="315"/>
      <c r="L54" s="315"/>
      <c r="M54" s="315"/>
      <c r="N54" s="315"/>
      <c r="O54" s="11"/>
      <c r="P54" s="11"/>
      <c r="Q54" s="11"/>
      <c r="S54" s="10"/>
    </row>
    <row r="55" spans="1:19" ht="14.25">
      <c r="A55" s="327">
        <v>80</v>
      </c>
      <c r="B55" s="4" t="s">
        <v>188</v>
      </c>
      <c r="C55" s="4" t="s">
        <v>237</v>
      </c>
      <c r="D55" s="4" t="s">
        <v>125</v>
      </c>
      <c r="E55" s="4" t="s">
        <v>103</v>
      </c>
      <c r="F55" s="5">
        <v>10</v>
      </c>
      <c r="G55" s="6">
        <v>33510</v>
      </c>
      <c r="H55" s="7">
        <v>7600</v>
      </c>
      <c r="I55" s="315"/>
      <c r="J55" s="315"/>
      <c r="K55" s="315"/>
      <c r="L55" s="315"/>
      <c r="M55" s="315"/>
      <c r="N55" s="315"/>
      <c r="O55" s="11"/>
      <c r="P55" s="11"/>
      <c r="Q55" s="11"/>
      <c r="S55" s="10"/>
    </row>
    <row r="56" spans="1:19" ht="14.25">
      <c r="A56" s="327">
        <v>11</v>
      </c>
      <c r="B56" s="4" t="s">
        <v>114</v>
      </c>
      <c r="C56" s="4" t="s">
        <v>113</v>
      </c>
      <c r="D56" s="4" t="s">
        <v>115</v>
      </c>
      <c r="E56" s="4" t="s">
        <v>103</v>
      </c>
      <c r="F56" s="5">
        <v>60</v>
      </c>
      <c r="G56" s="6">
        <v>32435</v>
      </c>
      <c r="H56" s="7">
        <v>9000</v>
      </c>
      <c r="I56" s="315"/>
      <c r="J56" s="315"/>
      <c r="K56" s="315"/>
      <c r="L56" s="315"/>
      <c r="M56" s="315"/>
      <c r="N56" s="315"/>
      <c r="O56" s="11"/>
      <c r="P56" s="11"/>
      <c r="Q56" s="11"/>
      <c r="S56" s="10"/>
    </row>
    <row r="57" spans="1:19" ht="14.25">
      <c r="A57" s="327">
        <v>34</v>
      </c>
      <c r="B57" s="4" t="s">
        <v>157</v>
      </c>
      <c r="C57" s="4" t="s">
        <v>158</v>
      </c>
      <c r="D57" s="4" t="s">
        <v>125</v>
      </c>
      <c r="E57" s="4" t="s">
        <v>103</v>
      </c>
      <c r="F57" s="5">
        <v>30</v>
      </c>
      <c r="G57" s="6">
        <v>36222</v>
      </c>
      <c r="H57" s="7">
        <v>4000</v>
      </c>
      <c r="I57" s="315"/>
      <c r="J57" s="315"/>
      <c r="K57" s="315"/>
      <c r="L57" s="315"/>
      <c r="M57" s="315"/>
      <c r="N57" s="315"/>
      <c r="O57" s="11"/>
      <c r="P57" s="11"/>
      <c r="Q57" s="11"/>
      <c r="S57" s="10"/>
    </row>
    <row r="58" spans="1:19" ht="14.25">
      <c r="A58" s="327">
        <v>12</v>
      </c>
      <c r="B58" s="4" t="s">
        <v>116</v>
      </c>
      <c r="C58" s="4" t="s">
        <v>117</v>
      </c>
      <c r="D58" s="4" t="s">
        <v>97</v>
      </c>
      <c r="E58" s="4" t="s">
        <v>103</v>
      </c>
      <c r="F58" s="5">
        <v>20</v>
      </c>
      <c r="G58" s="6">
        <v>32603</v>
      </c>
      <c r="H58" s="7">
        <v>9900</v>
      </c>
      <c r="I58" s="315"/>
      <c r="J58" s="315"/>
      <c r="K58" s="315"/>
      <c r="L58" s="315"/>
      <c r="M58" s="315"/>
      <c r="N58" s="315"/>
      <c r="O58" s="11"/>
      <c r="P58" s="11"/>
      <c r="Q58" s="11"/>
      <c r="S58" s="10"/>
    </row>
    <row r="59" spans="1:19" ht="14.25">
      <c r="A59" s="327">
        <v>65</v>
      </c>
      <c r="B59" s="4" t="s">
        <v>215</v>
      </c>
      <c r="C59" s="4" t="s">
        <v>216</v>
      </c>
      <c r="D59" s="4" t="s">
        <v>97</v>
      </c>
      <c r="E59" s="4" t="s">
        <v>120</v>
      </c>
      <c r="F59" s="5">
        <v>20</v>
      </c>
      <c r="G59" s="6">
        <v>31637</v>
      </c>
      <c r="H59" s="7">
        <v>6000</v>
      </c>
      <c r="I59" s="315"/>
      <c r="J59" s="315"/>
      <c r="K59" s="315"/>
      <c r="L59" s="315"/>
      <c r="M59" s="315"/>
      <c r="N59" s="315"/>
      <c r="O59" s="11"/>
      <c r="P59" s="11"/>
      <c r="Q59" s="11"/>
      <c r="S59" s="10"/>
    </row>
    <row r="60" spans="1:19" ht="14.25">
      <c r="A60" s="327">
        <v>66</v>
      </c>
      <c r="B60" s="4" t="s">
        <v>215</v>
      </c>
      <c r="C60" s="4" t="s">
        <v>216</v>
      </c>
      <c r="D60" s="4" t="s">
        <v>97</v>
      </c>
      <c r="E60" s="4" t="s">
        <v>120</v>
      </c>
      <c r="F60" s="5">
        <v>20</v>
      </c>
      <c r="G60" s="6">
        <v>31637</v>
      </c>
      <c r="H60" s="7">
        <v>6000</v>
      </c>
      <c r="I60" s="315"/>
      <c r="J60" s="315"/>
      <c r="K60" s="315"/>
      <c r="L60" s="315"/>
      <c r="M60" s="315"/>
      <c r="N60" s="315"/>
      <c r="O60" s="11"/>
      <c r="P60" s="11"/>
      <c r="Q60" s="11"/>
      <c r="S60" s="10"/>
    </row>
    <row r="61" spans="1:19" ht="14.25">
      <c r="A61" s="327">
        <v>27</v>
      </c>
      <c r="B61" s="4" t="s">
        <v>145</v>
      </c>
      <c r="C61" s="4" t="s">
        <v>141</v>
      </c>
      <c r="D61" s="4" t="s">
        <v>115</v>
      </c>
      <c r="E61" s="4" t="s">
        <v>94</v>
      </c>
      <c r="F61" s="5">
        <v>60</v>
      </c>
      <c r="G61" s="6">
        <v>32443</v>
      </c>
      <c r="H61" s="7">
        <v>10000</v>
      </c>
      <c r="I61" s="315"/>
      <c r="J61" s="315"/>
      <c r="K61" s="315"/>
      <c r="L61" s="315"/>
      <c r="M61" s="315"/>
      <c r="N61" s="315"/>
      <c r="O61" s="11"/>
      <c r="P61" s="11"/>
      <c r="Q61" s="11"/>
      <c r="S61" s="10"/>
    </row>
    <row r="62" spans="1:19" ht="14.25">
      <c r="A62" s="327">
        <v>9</v>
      </c>
      <c r="B62" s="4" t="s">
        <v>110</v>
      </c>
      <c r="C62" s="4" t="s">
        <v>111</v>
      </c>
      <c r="D62" s="4" t="s">
        <v>76</v>
      </c>
      <c r="E62" s="4" t="s">
        <v>94</v>
      </c>
      <c r="F62" s="5">
        <v>10</v>
      </c>
      <c r="G62" s="6">
        <v>36506</v>
      </c>
      <c r="H62" s="7">
        <v>8500</v>
      </c>
      <c r="I62" s="315"/>
      <c r="J62" s="315"/>
      <c r="K62" s="315"/>
      <c r="L62" s="315"/>
      <c r="M62" s="315"/>
      <c r="N62" s="315"/>
      <c r="O62" s="11"/>
      <c r="P62" s="11"/>
      <c r="Q62" s="11"/>
      <c r="S62" s="10"/>
    </row>
    <row r="63" spans="1:19" ht="14.25">
      <c r="A63" s="327">
        <v>47</v>
      </c>
      <c r="B63" s="4" t="s">
        <v>183</v>
      </c>
      <c r="C63" s="4" t="s">
        <v>184</v>
      </c>
      <c r="D63" s="4" t="s">
        <v>76</v>
      </c>
      <c r="E63" s="4" t="s">
        <v>103</v>
      </c>
      <c r="F63" s="5">
        <v>10</v>
      </c>
      <c r="G63" s="6">
        <v>32440</v>
      </c>
      <c r="H63" s="7">
        <v>10000</v>
      </c>
      <c r="I63" s="315"/>
      <c r="J63" s="315"/>
      <c r="K63" s="315"/>
      <c r="L63" s="315"/>
      <c r="M63" s="315"/>
      <c r="N63" s="315"/>
      <c r="O63" s="11"/>
      <c r="P63" s="11"/>
      <c r="Q63" s="11"/>
      <c r="S63" s="10"/>
    </row>
    <row r="64" spans="1:19" ht="14.25">
      <c r="A64" s="327">
        <v>90</v>
      </c>
      <c r="B64" s="4" t="s">
        <v>256</v>
      </c>
      <c r="C64" s="4" t="s">
        <v>257</v>
      </c>
      <c r="D64" s="4" t="s">
        <v>76</v>
      </c>
      <c r="E64" s="4" t="s">
        <v>103</v>
      </c>
      <c r="F64" s="5">
        <v>10</v>
      </c>
      <c r="G64" s="6">
        <v>29172</v>
      </c>
      <c r="H64" s="7">
        <v>13000</v>
      </c>
      <c r="I64" s="315"/>
      <c r="J64" s="315"/>
      <c r="K64" s="315"/>
      <c r="L64" s="315"/>
      <c r="M64" s="315"/>
      <c r="N64" s="315"/>
      <c r="O64" s="11"/>
      <c r="P64" s="11"/>
      <c r="Q64" s="11"/>
      <c r="S64" s="10"/>
    </row>
    <row r="65" spans="1:19" ht="14.25">
      <c r="A65" s="327">
        <v>71</v>
      </c>
      <c r="B65" s="4" t="s">
        <v>223</v>
      </c>
      <c r="C65" s="4" t="s">
        <v>221</v>
      </c>
      <c r="D65" s="4" t="s">
        <v>100</v>
      </c>
      <c r="E65" s="4" t="s">
        <v>120</v>
      </c>
      <c r="F65" s="5">
        <v>50</v>
      </c>
      <c r="G65" s="6">
        <v>32435</v>
      </c>
      <c r="H65" s="7">
        <v>9000</v>
      </c>
      <c r="I65" s="315"/>
      <c r="J65" s="315"/>
      <c r="K65" s="315"/>
      <c r="L65" s="315"/>
      <c r="M65" s="315"/>
      <c r="N65" s="315"/>
      <c r="O65" s="11"/>
      <c r="P65" s="11"/>
      <c r="Q65" s="11"/>
      <c r="S65" s="10"/>
    </row>
    <row r="66" spans="1:19" ht="14.25">
      <c r="A66" s="327">
        <v>53</v>
      </c>
      <c r="B66" s="4" t="s">
        <v>195</v>
      </c>
      <c r="C66" s="4" t="s">
        <v>196</v>
      </c>
      <c r="D66" s="4" t="s">
        <v>125</v>
      </c>
      <c r="E66" s="4" t="s">
        <v>94</v>
      </c>
      <c r="F66" s="5">
        <v>30</v>
      </c>
      <c r="G66" s="6">
        <v>32755</v>
      </c>
      <c r="H66" s="7">
        <v>7100</v>
      </c>
      <c r="I66" s="315"/>
      <c r="J66" s="315"/>
      <c r="K66" s="315"/>
      <c r="L66" s="315"/>
      <c r="M66" s="315"/>
      <c r="N66" s="315"/>
      <c r="O66" s="11"/>
      <c r="P66" s="11"/>
      <c r="Q66" s="11"/>
      <c r="S66" s="10"/>
    </row>
    <row r="67" spans="1:19" ht="14.25">
      <c r="A67" s="327">
        <v>54</v>
      </c>
      <c r="B67" s="4" t="s">
        <v>195</v>
      </c>
      <c r="C67" s="4" t="s">
        <v>196</v>
      </c>
      <c r="D67" s="4" t="s">
        <v>125</v>
      </c>
      <c r="E67" s="4" t="s">
        <v>94</v>
      </c>
      <c r="F67" s="5">
        <v>30</v>
      </c>
      <c r="G67" s="6">
        <v>32755</v>
      </c>
      <c r="H67" s="7">
        <v>7100</v>
      </c>
      <c r="I67" s="315"/>
      <c r="J67" s="315"/>
      <c r="K67" s="315"/>
      <c r="L67" s="315"/>
      <c r="M67" s="315"/>
      <c r="N67" s="315"/>
      <c r="O67" s="11"/>
      <c r="P67" s="11"/>
      <c r="Q67" s="11"/>
      <c r="S67" s="10"/>
    </row>
    <row r="68" spans="1:19" ht="14.25">
      <c r="A68" s="327">
        <v>67</v>
      </c>
      <c r="B68" s="4" t="s">
        <v>217</v>
      </c>
      <c r="C68" s="4" t="s">
        <v>218</v>
      </c>
      <c r="D68" s="4" t="s">
        <v>100</v>
      </c>
      <c r="E68" s="4" t="s">
        <v>120</v>
      </c>
      <c r="F68" s="5">
        <v>50</v>
      </c>
      <c r="G68" s="6">
        <v>32442</v>
      </c>
      <c r="H68" s="7">
        <v>10000</v>
      </c>
      <c r="I68" s="315"/>
      <c r="J68" s="315"/>
      <c r="K68" s="315"/>
      <c r="L68" s="315"/>
      <c r="M68" s="315"/>
      <c r="N68" s="315"/>
      <c r="O68" s="11"/>
      <c r="P68" s="11"/>
      <c r="Q68" s="11"/>
      <c r="S68" s="10"/>
    </row>
    <row r="69" spans="1:19" ht="14.25">
      <c r="A69" s="327">
        <v>18</v>
      </c>
      <c r="B69" s="4" t="s">
        <v>130</v>
      </c>
      <c r="C69" s="4" t="s">
        <v>131</v>
      </c>
      <c r="D69" s="4" t="s">
        <v>100</v>
      </c>
      <c r="E69" s="4" t="s">
        <v>120</v>
      </c>
      <c r="F69" s="5">
        <v>50</v>
      </c>
      <c r="G69" s="6">
        <v>35034</v>
      </c>
      <c r="H69" s="7">
        <v>9000</v>
      </c>
      <c r="I69" s="315"/>
      <c r="J69" s="315"/>
      <c r="K69" s="315"/>
      <c r="L69" s="315"/>
      <c r="M69" s="315"/>
      <c r="N69" s="315"/>
      <c r="O69" s="11"/>
      <c r="P69" s="11"/>
      <c r="Q69" s="11"/>
      <c r="S69" s="10"/>
    </row>
    <row r="70" spans="1:19" ht="14.25">
      <c r="A70" s="327">
        <v>60</v>
      </c>
      <c r="B70" s="4" t="s">
        <v>206</v>
      </c>
      <c r="C70" s="4" t="s">
        <v>207</v>
      </c>
      <c r="D70" s="4" t="s">
        <v>143</v>
      </c>
      <c r="E70" s="4" t="s">
        <v>94</v>
      </c>
      <c r="F70" s="5">
        <v>40</v>
      </c>
      <c r="G70" s="6">
        <v>31027</v>
      </c>
      <c r="H70" s="7">
        <v>11000</v>
      </c>
      <c r="I70" s="315"/>
      <c r="J70" s="315"/>
      <c r="K70" s="315"/>
      <c r="L70" s="315"/>
      <c r="M70" s="315"/>
      <c r="N70" s="315"/>
      <c r="O70" s="11"/>
      <c r="P70" s="11"/>
      <c r="Q70" s="11"/>
      <c r="S70" s="10"/>
    </row>
    <row r="71" spans="1:19" ht="14.25">
      <c r="A71" s="327">
        <v>48</v>
      </c>
      <c r="B71" s="4" t="s">
        <v>185</v>
      </c>
      <c r="C71" s="4" t="s">
        <v>186</v>
      </c>
      <c r="D71" s="4" t="s">
        <v>97</v>
      </c>
      <c r="E71" s="4" t="s">
        <v>94</v>
      </c>
      <c r="F71" s="5">
        <v>20</v>
      </c>
      <c r="G71" s="6">
        <v>33182</v>
      </c>
      <c r="H71" s="7">
        <v>10000</v>
      </c>
      <c r="I71" s="315"/>
      <c r="J71" s="315"/>
      <c r="K71" s="315"/>
      <c r="L71" s="315"/>
      <c r="M71" s="315"/>
      <c r="N71" s="315"/>
      <c r="O71" s="11"/>
      <c r="P71" s="11"/>
      <c r="Q71" s="11"/>
      <c r="S71" s="10"/>
    </row>
    <row r="72" spans="1:19" ht="14.25">
      <c r="A72" s="327">
        <v>86</v>
      </c>
      <c r="B72" s="4" t="s">
        <v>248</v>
      </c>
      <c r="C72" s="4" t="s">
        <v>249</v>
      </c>
      <c r="D72" s="4" t="s">
        <v>76</v>
      </c>
      <c r="E72" s="4" t="s">
        <v>94</v>
      </c>
      <c r="F72" s="5">
        <v>10</v>
      </c>
      <c r="G72" s="6">
        <v>32436</v>
      </c>
      <c r="H72" s="7">
        <v>9000</v>
      </c>
      <c r="I72" s="315"/>
      <c r="J72" s="315"/>
      <c r="K72" s="315"/>
      <c r="L72" s="315"/>
      <c r="M72" s="315"/>
      <c r="N72" s="315"/>
      <c r="O72" s="11"/>
      <c r="P72" s="11"/>
      <c r="Q72" s="11"/>
      <c r="S72" s="10"/>
    </row>
    <row r="73" spans="1:19" ht="14.25">
      <c r="A73" s="327">
        <v>91</v>
      </c>
      <c r="B73" s="4" t="s">
        <v>258</v>
      </c>
      <c r="C73" s="4" t="s">
        <v>259</v>
      </c>
      <c r="D73" s="4" t="s">
        <v>76</v>
      </c>
      <c r="E73" s="4" t="s">
        <v>94</v>
      </c>
      <c r="F73" s="5">
        <v>10</v>
      </c>
      <c r="G73" s="6">
        <v>35034</v>
      </c>
      <c r="H73" s="7">
        <v>8000</v>
      </c>
      <c r="I73" s="315"/>
      <c r="J73" s="315"/>
      <c r="K73" s="315"/>
      <c r="L73" s="315"/>
      <c r="M73" s="315"/>
      <c r="N73" s="315"/>
      <c r="O73" s="11"/>
      <c r="P73" s="11"/>
      <c r="Q73" s="11"/>
      <c r="S73" s="10"/>
    </row>
    <row r="74" spans="1:19" ht="14.25">
      <c r="A74" s="327">
        <v>98</v>
      </c>
      <c r="B74" s="4" t="s">
        <v>270</v>
      </c>
      <c r="C74" s="4" t="s">
        <v>271</v>
      </c>
      <c r="D74" s="4" t="s">
        <v>125</v>
      </c>
      <c r="E74" s="4" t="s">
        <v>98</v>
      </c>
      <c r="F74" s="5">
        <v>30</v>
      </c>
      <c r="G74" s="6">
        <v>34777</v>
      </c>
      <c r="H74" s="7">
        <v>6000</v>
      </c>
      <c r="I74" s="315"/>
      <c r="J74" s="315"/>
      <c r="K74" s="315"/>
      <c r="L74" s="315"/>
      <c r="M74" s="315"/>
      <c r="N74" s="315"/>
      <c r="O74" s="11"/>
      <c r="P74" s="11"/>
      <c r="Q74" s="11"/>
      <c r="S74" s="10"/>
    </row>
    <row r="75" spans="1:19" ht="14.25">
      <c r="A75" s="327">
        <v>19</v>
      </c>
      <c r="B75" s="4" t="s">
        <v>132</v>
      </c>
      <c r="C75" s="4" t="s">
        <v>133</v>
      </c>
      <c r="D75" s="4" t="s">
        <v>100</v>
      </c>
      <c r="E75" s="4" t="s">
        <v>94</v>
      </c>
      <c r="F75" s="5">
        <v>50</v>
      </c>
      <c r="G75" s="6">
        <v>32439</v>
      </c>
      <c r="H75" s="7">
        <v>10000</v>
      </c>
      <c r="I75" s="315"/>
      <c r="J75" s="315"/>
      <c r="K75" s="315"/>
      <c r="L75" s="315"/>
      <c r="M75" s="315"/>
      <c r="N75" s="315"/>
      <c r="O75" s="11"/>
      <c r="P75" s="11"/>
      <c r="Q75" s="11"/>
      <c r="S75" s="10"/>
    </row>
    <row r="76" spans="1:19" ht="14.25">
      <c r="A76" s="327">
        <v>37</v>
      </c>
      <c r="B76" s="4" t="s">
        <v>163</v>
      </c>
      <c r="C76" s="4" t="s">
        <v>164</v>
      </c>
      <c r="D76" s="4" t="s">
        <v>100</v>
      </c>
      <c r="E76" s="4" t="s">
        <v>103</v>
      </c>
      <c r="F76" s="5">
        <v>50</v>
      </c>
      <c r="G76" s="6">
        <v>31717</v>
      </c>
      <c r="H76" s="7">
        <v>9000</v>
      </c>
      <c r="I76" s="315"/>
      <c r="J76" s="315"/>
      <c r="K76" s="315"/>
      <c r="L76" s="315"/>
      <c r="M76" s="315"/>
      <c r="N76" s="315"/>
      <c r="O76" s="11"/>
      <c r="P76" s="11"/>
      <c r="Q76" s="11"/>
      <c r="S76" s="10"/>
    </row>
    <row r="77" spans="1:19" ht="14.25">
      <c r="A77" s="327">
        <v>26</v>
      </c>
      <c r="B77" s="4" t="s">
        <v>144</v>
      </c>
      <c r="C77" s="4" t="s">
        <v>141</v>
      </c>
      <c r="D77" s="4" t="s">
        <v>100</v>
      </c>
      <c r="E77" s="4" t="s">
        <v>94</v>
      </c>
      <c r="F77" s="5">
        <v>50</v>
      </c>
      <c r="G77" s="6">
        <v>36221</v>
      </c>
      <c r="H77" s="7">
        <v>4000</v>
      </c>
      <c r="I77" s="315"/>
      <c r="J77" s="315"/>
      <c r="K77" s="315"/>
      <c r="L77" s="315"/>
      <c r="M77" s="315"/>
      <c r="N77" s="315"/>
      <c r="O77" s="11"/>
      <c r="P77" s="11"/>
      <c r="Q77" s="11"/>
      <c r="S77" s="10"/>
    </row>
    <row r="78" spans="1:19" ht="14.25">
      <c r="A78" s="327">
        <v>23</v>
      </c>
      <c r="B78" s="4" t="s">
        <v>139</v>
      </c>
      <c r="C78" s="4" t="s">
        <v>138</v>
      </c>
      <c r="D78" s="4" t="s">
        <v>93</v>
      </c>
      <c r="E78" s="4" t="s">
        <v>94</v>
      </c>
      <c r="F78" s="5">
        <v>70</v>
      </c>
      <c r="G78" s="6">
        <v>36220</v>
      </c>
      <c r="H78" s="7">
        <v>4000</v>
      </c>
      <c r="I78" s="315"/>
      <c r="J78" s="315"/>
      <c r="K78" s="315"/>
      <c r="L78" s="315"/>
      <c r="M78" s="315"/>
      <c r="N78" s="315"/>
      <c r="O78" s="11"/>
      <c r="P78" s="11"/>
      <c r="Q78" s="11"/>
      <c r="S78" s="10"/>
    </row>
    <row r="79" spans="1:19" ht="14.25">
      <c r="A79" s="327">
        <v>31</v>
      </c>
      <c r="B79" s="4" t="s">
        <v>151</v>
      </c>
      <c r="C79" s="4" t="s">
        <v>152</v>
      </c>
      <c r="D79" s="4" t="s">
        <v>93</v>
      </c>
      <c r="E79" s="4" t="s">
        <v>98</v>
      </c>
      <c r="F79" s="5">
        <v>70</v>
      </c>
      <c r="G79" s="6">
        <v>35595</v>
      </c>
      <c r="H79" s="7">
        <v>4500</v>
      </c>
      <c r="I79" s="315"/>
      <c r="J79" s="315"/>
      <c r="K79" s="315"/>
      <c r="L79" s="315"/>
      <c r="M79" s="315"/>
      <c r="N79" s="315"/>
      <c r="O79" s="11"/>
      <c r="Q79" s="11"/>
      <c r="S79" s="10"/>
    </row>
    <row r="80" spans="1:19" ht="14.25">
      <c r="A80" s="327">
        <v>54</v>
      </c>
      <c r="B80" s="4" t="s">
        <v>197</v>
      </c>
      <c r="C80" s="4" t="s">
        <v>198</v>
      </c>
      <c r="D80" s="4" t="s">
        <v>125</v>
      </c>
      <c r="E80" s="4" t="s">
        <v>94</v>
      </c>
      <c r="F80" s="5">
        <v>30</v>
      </c>
      <c r="G80" s="6">
        <v>35618</v>
      </c>
      <c r="H80" s="7">
        <v>6500</v>
      </c>
      <c r="I80" s="315"/>
      <c r="J80" s="315"/>
      <c r="K80" s="315"/>
      <c r="L80" s="315"/>
      <c r="M80" s="315"/>
      <c r="N80" s="315"/>
      <c r="O80" s="11"/>
      <c r="P80" s="11"/>
      <c r="Q80" s="11"/>
      <c r="S80" s="10"/>
    </row>
    <row r="81" spans="1:19" ht="14.25">
      <c r="A81" s="327">
        <v>10</v>
      </c>
      <c r="B81" s="4" t="s">
        <v>112</v>
      </c>
      <c r="C81" s="4" t="s">
        <v>113</v>
      </c>
      <c r="D81" s="4" t="s">
        <v>76</v>
      </c>
      <c r="E81" s="4" t="s">
        <v>98</v>
      </c>
      <c r="F81" s="5">
        <v>10</v>
      </c>
      <c r="G81" s="6">
        <v>34098</v>
      </c>
      <c r="H81" s="7">
        <v>8500</v>
      </c>
      <c r="I81" s="315"/>
      <c r="J81" s="315"/>
      <c r="K81" s="315"/>
      <c r="L81" s="315"/>
      <c r="M81" s="315"/>
      <c r="N81" s="315"/>
      <c r="O81" s="11"/>
      <c r="P81" s="11"/>
      <c r="Q81" s="11"/>
      <c r="S81" s="10"/>
    </row>
    <row r="82" spans="1:19" ht="14.25">
      <c r="A82" s="327">
        <v>15</v>
      </c>
      <c r="B82" s="4" t="s">
        <v>123</v>
      </c>
      <c r="C82" s="4" t="s">
        <v>124</v>
      </c>
      <c r="D82" s="4" t="s">
        <v>125</v>
      </c>
      <c r="E82" s="4" t="s">
        <v>103</v>
      </c>
      <c r="F82" s="5">
        <v>30</v>
      </c>
      <c r="G82" s="6">
        <v>32448</v>
      </c>
      <c r="H82" s="7">
        <v>10000</v>
      </c>
      <c r="I82" s="315"/>
      <c r="J82" s="315"/>
      <c r="K82" s="315"/>
      <c r="L82" s="315"/>
      <c r="M82" s="315"/>
      <c r="N82" s="315"/>
      <c r="O82" s="11"/>
      <c r="Q82" s="11"/>
      <c r="S82" s="10"/>
    </row>
    <row r="83" spans="1:19" ht="14.25">
      <c r="A83" s="327">
        <v>75</v>
      </c>
      <c r="B83" s="4" t="s">
        <v>228</v>
      </c>
      <c r="C83" s="4" t="s">
        <v>229</v>
      </c>
      <c r="D83" s="4" t="s">
        <v>76</v>
      </c>
      <c r="E83" s="4" t="s">
        <v>120</v>
      </c>
      <c r="F83" s="5">
        <v>10</v>
      </c>
      <c r="G83" s="6">
        <v>33878</v>
      </c>
      <c r="H83" s="7">
        <v>8500</v>
      </c>
      <c r="I83" s="315"/>
      <c r="J83" s="315"/>
      <c r="K83" s="315"/>
      <c r="L83" s="315"/>
      <c r="M83" s="315"/>
      <c r="N83" s="315"/>
      <c r="O83" s="11"/>
      <c r="P83" s="11"/>
      <c r="Q83" s="11"/>
      <c r="S83" s="10"/>
    </row>
    <row r="84" spans="1:19" ht="14.25">
      <c r="A84" s="327">
        <v>2</v>
      </c>
      <c r="B84" s="4" t="s">
        <v>95</v>
      </c>
      <c r="C84" s="4" t="s">
        <v>96</v>
      </c>
      <c r="D84" s="4" t="s">
        <v>97</v>
      </c>
      <c r="E84" s="4" t="s">
        <v>98</v>
      </c>
      <c r="F84" s="5">
        <v>20</v>
      </c>
      <c r="G84" s="6">
        <v>32606</v>
      </c>
      <c r="H84" s="7">
        <v>9900</v>
      </c>
      <c r="I84" s="315"/>
      <c r="J84" s="315"/>
      <c r="K84" s="315"/>
      <c r="L84" s="315"/>
      <c r="M84" s="315"/>
      <c r="N84" s="315"/>
      <c r="O84" s="11"/>
      <c r="P84" s="11"/>
      <c r="Q84" s="11"/>
      <c r="S84" s="10"/>
    </row>
    <row r="85" spans="1:19" ht="14.25">
      <c r="A85" s="327">
        <v>50</v>
      </c>
      <c r="B85" s="4" t="s">
        <v>190</v>
      </c>
      <c r="C85" s="4" t="s">
        <v>191</v>
      </c>
      <c r="D85" s="4" t="s">
        <v>115</v>
      </c>
      <c r="E85" s="4" t="s">
        <v>98</v>
      </c>
      <c r="F85" s="5">
        <v>60</v>
      </c>
      <c r="G85" s="6">
        <v>31029</v>
      </c>
      <c r="H85" s="7">
        <v>8500</v>
      </c>
      <c r="I85" s="315"/>
      <c r="J85" s="315"/>
      <c r="K85" s="315"/>
      <c r="L85" s="315"/>
      <c r="M85" s="315"/>
      <c r="N85" s="315"/>
      <c r="O85" s="11"/>
      <c r="P85" s="11"/>
      <c r="Q85" s="11"/>
      <c r="S85" s="10"/>
    </row>
    <row r="86" spans="1:19" ht="14.25">
      <c r="A86" s="327">
        <v>87</v>
      </c>
      <c r="B86" s="4" t="s">
        <v>250</v>
      </c>
      <c r="C86" s="4" t="s">
        <v>251</v>
      </c>
      <c r="D86" s="4" t="s">
        <v>125</v>
      </c>
      <c r="E86" s="4" t="s">
        <v>120</v>
      </c>
      <c r="F86" s="5">
        <v>30</v>
      </c>
      <c r="G86" s="6">
        <v>32390</v>
      </c>
      <c r="H86" s="7">
        <v>7100</v>
      </c>
      <c r="I86" s="315"/>
      <c r="J86" s="315"/>
      <c r="K86" s="315"/>
      <c r="L86" s="315"/>
      <c r="M86" s="315"/>
      <c r="N86" s="315"/>
      <c r="O86" s="11"/>
      <c r="P86" s="11"/>
      <c r="Q86" s="11"/>
      <c r="S86" s="10"/>
    </row>
    <row r="87" spans="1:19" ht="14.25">
      <c r="A87" s="327">
        <v>8</v>
      </c>
      <c r="B87" s="4" t="s">
        <v>108</v>
      </c>
      <c r="C87" s="4" t="s">
        <v>109</v>
      </c>
      <c r="D87" s="4" t="s">
        <v>97</v>
      </c>
      <c r="E87" s="4" t="s">
        <v>98</v>
      </c>
      <c r="F87" s="5">
        <v>20</v>
      </c>
      <c r="G87" s="6">
        <v>35811</v>
      </c>
      <c r="H87" s="7">
        <v>10000</v>
      </c>
      <c r="I87" s="315"/>
      <c r="J87" s="315"/>
      <c r="K87" s="315"/>
      <c r="L87" s="315"/>
      <c r="M87" s="315"/>
      <c r="N87" s="315"/>
      <c r="O87" s="11"/>
      <c r="P87" s="11"/>
      <c r="Q87" s="11"/>
      <c r="S87" s="10"/>
    </row>
    <row r="88" spans="1:19" ht="14.25">
      <c r="A88" s="327">
        <v>99</v>
      </c>
      <c r="B88" s="4" t="s">
        <v>272</v>
      </c>
      <c r="C88" s="4" t="s">
        <v>273</v>
      </c>
      <c r="D88" s="4" t="s">
        <v>76</v>
      </c>
      <c r="E88" s="4" t="s">
        <v>94</v>
      </c>
      <c r="F88" s="5">
        <v>10</v>
      </c>
      <c r="G88" s="6">
        <v>33510</v>
      </c>
      <c r="H88" s="7">
        <v>9000</v>
      </c>
      <c r="I88" s="315"/>
      <c r="J88" s="315"/>
      <c r="K88" s="315"/>
      <c r="L88" s="315"/>
      <c r="M88" s="315"/>
      <c r="N88" s="315"/>
      <c r="O88" s="11"/>
      <c r="P88" s="11"/>
      <c r="Q88" s="11"/>
      <c r="S88" s="10"/>
    </row>
    <row r="89" spans="1:19" ht="14.25">
      <c r="A89" s="327">
        <v>63</v>
      </c>
      <c r="B89" s="4" t="s">
        <v>212</v>
      </c>
      <c r="C89" s="4" t="s">
        <v>213</v>
      </c>
      <c r="D89" s="4" t="s">
        <v>125</v>
      </c>
      <c r="E89" s="4" t="s">
        <v>120</v>
      </c>
      <c r="F89" s="5">
        <v>30</v>
      </c>
      <c r="G89" s="6">
        <v>36274</v>
      </c>
      <c r="H89" s="7">
        <v>4500</v>
      </c>
      <c r="I89" s="315"/>
      <c r="J89" s="315"/>
      <c r="K89" s="315"/>
      <c r="L89" s="315"/>
      <c r="M89" s="315"/>
      <c r="N89" s="315"/>
      <c r="O89" s="11"/>
      <c r="P89" s="11"/>
      <c r="Q89" s="11"/>
      <c r="S89" s="10"/>
    </row>
    <row r="90" spans="1:19" ht="14.25">
      <c r="A90" s="327">
        <v>25</v>
      </c>
      <c r="B90" s="4" t="s">
        <v>142</v>
      </c>
      <c r="C90" s="4" t="s">
        <v>141</v>
      </c>
      <c r="D90" s="4" t="s">
        <v>143</v>
      </c>
      <c r="E90" s="4" t="s">
        <v>120</v>
      </c>
      <c r="F90" s="5">
        <v>40</v>
      </c>
      <c r="G90" s="6">
        <v>35794</v>
      </c>
      <c r="H90" s="7">
        <v>6000</v>
      </c>
      <c r="I90" s="315"/>
      <c r="J90" s="315"/>
      <c r="K90" s="315"/>
      <c r="L90" s="315"/>
      <c r="M90" s="315"/>
      <c r="N90" s="315"/>
      <c r="O90" s="11"/>
      <c r="P90" s="11"/>
      <c r="Q90" s="11"/>
      <c r="S90" s="10"/>
    </row>
    <row r="91" spans="1:19" ht="14.25">
      <c r="A91" s="327">
        <v>82</v>
      </c>
      <c r="B91" s="4" t="s">
        <v>240</v>
      </c>
      <c r="C91" s="4" t="s">
        <v>241</v>
      </c>
      <c r="D91" s="4" t="s">
        <v>100</v>
      </c>
      <c r="E91" s="4" t="s">
        <v>94</v>
      </c>
      <c r="F91" s="5">
        <v>50</v>
      </c>
      <c r="G91" s="6">
        <v>32437</v>
      </c>
      <c r="H91" s="7">
        <v>11000</v>
      </c>
      <c r="I91" s="315"/>
      <c r="J91" s="315"/>
      <c r="K91" s="315"/>
      <c r="L91" s="315"/>
      <c r="M91" s="315"/>
      <c r="N91" s="315"/>
      <c r="O91" s="11"/>
      <c r="P91" s="11"/>
      <c r="Q91" s="11"/>
      <c r="S91" s="10"/>
    </row>
    <row r="92" spans="1:19" ht="14.25">
      <c r="A92" s="327">
        <v>7</v>
      </c>
      <c r="B92" s="4" t="s">
        <v>107</v>
      </c>
      <c r="C92" s="4" t="s">
        <v>105</v>
      </c>
      <c r="D92" s="4" t="s">
        <v>76</v>
      </c>
      <c r="E92" s="4" t="s">
        <v>98</v>
      </c>
      <c r="F92" s="5">
        <v>10</v>
      </c>
      <c r="G92" s="6">
        <v>32604</v>
      </c>
      <c r="H92" s="7">
        <v>9900</v>
      </c>
      <c r="I92" s="315"/>
      <c r="J92" s="315"/>
      <c r="K92" s="315"/>
      <c r="L92" s="315"/>
      <c r="M92" s="315"/>
      <c r="N92" s="315"/>
      <c r="O92" s="11"/>
      <c r="P92" s="11"/>
      <c r="Q92" s="11"/>
      <c r="S92" s="10"/>
    </row>
    <row r="93" spans="1:19" ht="14.25">
      <c r="A93" s="327">
        <v>77</v>
      </c>
      <c r="B93" s="4" t="s">
        <v>232</v>
      </c>
      <c r="C93" s="4" t="s">
        <v>233</v>
      </c>
      <c r="D93" s="4" t="s">
        <v>93</v>
      </c>
      <c r="E93" s="4" t="s">
        <v>120</v>
      </c>
      <c r="F93" s="5">
        <v>70</v>
      </c>
      <c r="G93" s="6">
        <v>35189</v>
      </c>
      <c r="H93" s="7">
        <v>5500</v>
      </c>
      <c r="I93" s="315"/>
      <c r="J93" s="315"/>
      <c r="K93" s="315"/>
      <c r="L93" s="315"/>
      <c r="M93" s="315"/>
      <c r="N93" s="315"/>
      <c r="O93" s="11"/>
      <c r="P93" s="11"/>
      <c r="Q93" s="11"/>
      <c r="S93" s="10"/>
    </row>
    <row r="94" spans="1:19" ht="14.25">
      <c r="A94" s="327">
        <v>78</v>
      </c>
      <c r="B94" s="4" t="s">
        <v>234</v>
      </c>
      <c r="C94" s="4" t="s">
        <v>235</v>
      </c>
      <c r="D94" s="4" t="s">
        <v>125</v>
      </c>
      <c r="E94" s="4" t="s">
        <v>103</v>
      </c>
      <c r="F94" s="5">
        <v>30</v>
      </c>
      <c r="G94" s="6">
        <v>30225</v>
      </c>
      <c r="H94" s="7">
        <v>9000</v>
      </c>
      <c r="I94" s="315"/>
      <c r="J94" s="315"/>
      <c r="K94" s="315"/>
      <c r="L94" s="315"/>
      <c r="M94" s="315"/>
      <c r="N94" s="315"/>
      <c r="O94" s="11"/>
      <c r="P94" s="11"/>
      <c r="Q94" s="11"/>
      <c r="S94" s="10"/>
    </row>
    <row r="95" spans="1:19" ht="14.25">
      <c r="A95" s="327">
        <v>94</v>
      </c>
      <c r="B95" s="4" t="s">
        <v>262</v>
      </c>
      <c r="C95" s="4" t="s">
        <v>263</v>
      </c>
      <c r="D95" s="4" t="s">
        <v>97</v>
      </c>
      <c r="E95" s="4" t="s">
        <v>98</v>
      </c>
      <c r="F95" s="5">
        <v>20</v>
      </c>
      <c r="G95" s="6">
        <v>32105</v>
      </c>
      <c r="H95" s="7">
        <v>11000</v>
      </c>
      <c r="I95" s="315"/>
      <c r="J95" s="315"/>
      <c r="K95" s="315"/>
      <c r="L95" s="315"/>
      <c r="M95" s="315"/>
      <c r="N95" s="315"/>
      <c r="O95" s="11"/>
      <c r="P95" s="11"/>
      <c r="Q95" s="11"/>
      <c r="S95" s="10"/>
    </row>
    <row r="96" spans="1:19" ht="14.25">
      <c r="A96" s="327">
        <v>33</v>
      </c>
      <c r="B96" s="4" t="s">
        <v>155</v>
      </c>
      <c r="C96" s="4" t="s">
        <v>156</v>
      </c>
      <c r="D96" s="4" t="s">
        <v>97</v>
      </c>
      <c r="E96" s="4" t="s">
        <v>94</v>
      </c>
      <c r="F96" s="5">
        <v>20</v>
      </c>
      <c r="G96" s="6">
        <v>36316</v>
      </c>
      <c r="H96" s="7">
        <v>3400</v>
      </c>
      <c r="I96" s="315"/>
      <c r="J96" s="315"/>
      <c r="K96" s="315"/>
      <c r="L96" s="315"/>
      <c r="M96" s="315"/>
      <c r="N96" s="315"/>
      <c r="O96" s="11"/>
      <c r="P96" s="11"/>
      <c r="Q96" s="11"/>
      <c r="S96" s="10"/>
    </row>
    <row r="97" spans="1:19" ht="14.25">
      <c r="A97" s="327">
        <v>24</v>
      </c>
      <c r="B97" s="4" t="s">
        <v>140</v>
      </c>
      <c r="C97" s="4" t="s">
        <v>141</v>
      </c>
      <c r="D97" s="4" t="s">
        <v>125</v>
      </c>
      <c r="E97" s="4" t="s">
        <v>94</v>
      </c>
      <c r="F97" s="5">
        <v>30</v>
      </c>
      <c r="G97" s="6">
        <v>32443</v>
      </c>
      <c r="H97" s="7">
        <v>10000</v>
      </c>
      <c r="I97" s="315"/>
      <c r="J97" s="315"/>
      <c r="K97" s="315"/>
      <c r="L97" s="315"/>
      <c r="M97" s="315"/>
      <c r="N97" s="315"/>
      <c r="O97" s="11"/>
      <c r="P97" s="11"/>
      <c r="Q97" s="11"/>
      <c r="S97" s="10"/>
    </row>
    <row r="98" spans="1:19" ht="14.25">
      <c r="A98" s="327">
        <v>45</v>
      </c>
      <c r="B98" s="4" t="s">
        <v>179</v>
      </c>
      <c r="C98" s="4" t="s">
        <v>180</v>
      </c>
      <c r="D98" s="4" t="s">
        <v>93</v>
      </c>
      <c r="E98" s="4" t="s">
        <v>98</v>
      </c>
      <c r="F98" s="5">
        <v>70</v>
      </c>
      <c r="G98" s="6">
        <v>31791</v>
      </c>
      <c r="H98" s="7">
        <v>11000</v>
      </c>
      <c r="I98" s="315"/>
      <c r="J98" s="315"/>
      <c r="K98" s="315"/>
      <c r="L98" s="315"/>
      <c r="M98" s="315"/>
      <c r="N98" s="315"/>
      <c r="O98" s="11"/>
      <c r="P98" s="11"/>
      <c r="Q98" s="11"/>
      <c r="S98" s="10"/>
    </row>
    <row r="99" spans="1:19" ht="14.25">
      <c r="A99" s="327">
        <v>76</v>
      </c>
      <c r="B99" s="4" t="s">
        <v>230</v>
      </c>
      <c r="C99" s="4" t="s">
        <v>231</v>
      </c>
      <c r="D99" s="4" t="s">
        <v>115</v>
      </c>
      <c r="E99" s="4" t="s">
        <v>103</v>
      </c>
      <c r="F99" s="5">
        <v>60</v>
      </c>
      <c r="G99" s="6">
        <v>33102</v>
      </c>
      <c r="H99" s="7">
        <v>7900</v>
      </c>
      <c r="I99" s="315"/>
      <c r="J99" s="315"/>
      <c r="K99" s="315"/>
      <c r="L99" s="315"/>
      <c r="M99" s="315"/>
      <c r="N99" s="315"/>
      <c r="O99" s="11"/>
      <c r="P99" s="11"/>
      <c r="Q99" s="11"/>
      <c r="S99" s="10"/>
    </row>
    <row r="100" spans="1:19" ht="14.25">
      <c r="A100" s="327">
        <v>96</v>
      </c>
      <c r="B100" s="4" t="s">
        <v>266</v>
      </c>
      <c r="C100" s="4" t="s">
        <v>267</v>
      </c>
      <c r="D100" s="4" t="s">
        <v>76</v>
      </c>
      <c r="E100" s="4" t="s">
        <v>120</v>
      </c>
      <c r="F100" s="5">
        <v>10</v>
      </c>
      <c r="G100" s="6">
        <v>32019</v>
      </c>
      <c r="H100" s="7">
        <v>10000</v>
      </c>
      <c r="I100" s="315"/>
      <c r="J100" s="315"/>
      <c r="K100" s="315"/>
      <c r="L100" s="315"/>
      <c r="M100" s="315"/>
      <c r="N100" s="315"/>
      <c r="O100" s="11"/>
      <c r="P100" s="11"/>
      <c r="Q100" s="11"/>
      <c r="S100" s="10"/>
    </row>
    <row r="101" spans="1:19" ht="14.25">
      <c r="A101" s="327">
        <v>84</v>
      </c>
      <c r="B101" s="4" t="s">
        <v>244</v>
      </c>
      <c r="C101" s="4" t="s">
        <v>245</v>
      </c>
      <c r="D101" s="4" t="s">
        <v>97</v>
      </c>
      <c r="E101" s="4" t="s">
        <v>94</v>
      </c>
      <c r="F101" s="5">
        <v>20</v>
      </c>
      <c r="G101" s="6">
        <v>32446</v>
      </c>
      <c r="H101" s="7">
        <v>10000</v>
      </c>
      <c r="I101" s="315"/>
      <c r="J101" s="315"/>
      <c r="K101" s="315"/>
      <c r="L101" s="315"/>
      <c r="M101" s="315"/>
      <c r="N101" s="315"/>
      <c r="O101" s="11"/>
      <c r="P101" s="11"/>
      <c r="Q101" s="11"/>
      <c r="S101" s="10"/>
    </row>
    <row r="102" spans="1:19" ht="14.25">
      <c r="A102" s="327">
        <v>42</v>
      </c>
      <c r="B102" s="4" t="s">
        <v>173</v>
      </c>
      <c r="C102" s="4" t="s">
        <v>174</v>
      </c>
      <c r="D102" s="4" t="s">
        <v>143</v>
      </c>
      <c r="E102" s="4" t="s">
        <v>98</v>
      </c>
      <c r="F102" s="5">
        <v>40</v>
      </c>
      <c r="G102" s="6">
        <v>30225</v>
      </c>
      <c r="H102" s="7">
        <v>14000</v>
      </c>
      <c r="I102" s="315"/>
      <c r="J102" s="315"/>
      <c r="K102" s="315"/>
      <c r="L102" s="315"/>
      <c r="M102" s="315"/>
      <c r="N102" s="315"/>
      <c r="O102" s="11"/>
      <c r="P102" s="11"/>
      <c r="Q102" s="11"/>
      <c r="S102" s="10"/>
    </row>
    <row r="103" spans="1:19" ht="14.25">
      <c r="A103" s="327">
        <v>95</v>
      </c>
      <c r="B103" s="4" t="s">
        <v>264</v>
      </c>
      <c r="C103" s="4" t="s">
        <v>265</v>
      </c>
      <c r="D103" s="4" t="s">
        <v>100</v>
      </c>
      <c r="E103" s="4" t="s">
        <v>94</v>
      </c>
      <c r="F103" s="5">
        <v>50</v>
      </c>
      <c r="G103" s="6">
        <v>32609</v>
      </c>
      <c r="H103" s="7">
        <v>9900</v>
      </c>
      <c r="I103" s="315"/>
      <c r="J103" s="315"/>
      <c r="K103" s="315"/>
      <c r="L103" s="315"/>
      <c r="M103" s="315"/>
      <c r="N103" s="315"/>
      <c r="O103" s="11"/>
      <c r="P103" s="11"/>
      <c r="Q103" s="11"/>
      <c r="S103" s="10"/>
    </row>
    <row r="104" spans="1:19" ht="14.25">
      <c r="A104" s="327">
        <v>17</v>
      </c>
      <c r="B104" s="4" t="s">
        <v>128</v>
      </c>
      <c r="C104" s="4" t="s">
        <v>129</v>
      </c>
      <c r="D104" s="4" t="s">
        <v>76</v>
      </c>
      <c r="E104" s="4" t="s">
        <v>98</v>
      </c>
      <c r="F104" s="5">
        <v>10</v>
      </c>
      <c r="G104" s="6">
        <v>30225</v>
      </c>
      <c r="H104" s="7">
        <v>11000</v>
      </c>
      <c r="I104" s="315"/>
      <c r="J104" s="315"/>
      <c r="K104" s="315"/>
      <c r="L104" s="315"/>
      <c r="M104" s="315"/>
      <c r="N104" s="315"/>
      <c r="O104" s="11"/>
      <c r="P104" s="11"/>
      <c r="Q104" s="11"/>
      <c r="S104" s="10"/>
    </row>
    <row r="105" spans="1:19" ht="14.25">
      <c r="A105" s="327">
        <v>22</v>
      </c>
      <c r="B105" s="4" t="s">
        <v>137</v>
      </c>
      <c r="C105" s="4" t="s">
        <v>138</v>
      </c>
      <c r="D105" s="4" t="s">
        <v>125</v>
      </c>
      <c r="E105" s="4" t="s">
        <v>120</v>
      </c>
      <c r="F105" s="5">
        <v>30</v>
      </c>
      <c r="G105" s="6">
        <v>32607</v>
      </c>
      <c r="H105" s="7">
        <v>9900</v>
      </c>
      <c r="I105" s="315"/>
      <c r="J105" s="315"/>
      <c r="K105" s="315"/>
      <c r="L105" s="315"/>
      <c r="M105" s="315"/>
      <c r="N105" s="315"/>
      <c r="O105" s="11"/>
      <c r="P105" s="11"/>
      <c r="Q105" s="11"/>
      <c r="S105" s="10"/>
    </row>
    <row r="106" spans="1:19" ht="14.25">
      <c r="A106" s="327">
        <v>56</v>
      </c>
      <c r="B106" s="4" t="s">
        <v>137</v>
      </c>
      <c r="C106" s="4" t="s">
        <v>200</v>
      </c>
      <c r="D106" s="4" t="s">
        <v>97</v>
      </c>
      <c r="E106" s="4" t="s">
        <v>103</v>
      </c>
      <c r="F106" s="5">
        <v>20</v>
      </c>
      <c r="G106" s="6">
        <v>29183</v>
      </c>
      <c r="H106" s="7">
        <v>7000</v>
      </c>
      <c r="I106" s="315"/>
      <c r="J106" s="315"/>
      <c r="K106" s="315"/>
      <c r="L106" s="315"/>
      <c r="M106" s="315"/>
      <c r="N106" s="315"/>
      <c r="O106" s="11"/>
      <c r="P106" s="11"/>
      <c r="Q106" s="11"/>
      <c r="S106" s="10"/>
    </row>
    <row r="107" spans="1:19" ht="14.25">
      <c r="A107" s="327">
        <v>6</v>
      </c>
      <c r="B107" s="4" t="s">
        <v>106</v>
      </c>
      <c r="C107" s="4" t="s">
        <v>105</v>
      </c>
      <c r="D107" s="4" t="s">
        <v>76</v>
      </c>
      <c r="E107" s="4" t="s">
        <v>94</v>
      </c>
      <c r="F107" s="5">
        <v>10</v>
      </c>
      <c r="G107" s="6">
        <v>32107</v>
      </c>
      <c r="H107" s="7">
        <v>11000</v>
      </c>
      <c r="I107" s="315"/>
      <c r="J107" s="315"/>
      <c r="K107" s="315"/>
      <c r="L107" s="315"/>
      <c r="M107" s="315"/>
      <c r="N107" s="315"/>
      <c r="O107" s="11"/>
      <c r="P107" s="11"/>
      <c r="Q107" s="11"/>
      <c r="S107" s="10"/>
    </row>
    <row r="108" spans="1:19" ht="14.25">
      <c r="A108" s="327">
        <v>70</v>
      </c>
      <c r="B108" s="4" t="s">
        <v>222</v>
      </c>
      <c r="C108" s="4" t="s">
        <v>221</v>
      </c>
      <c r="D108" s="4" t="s">
        <v>97</v>
      </c>
      <c r="E108" s="4" t="s">
        <v>94</v>
      </c>
      <c r="F108" s="5">
        <v>20</v>
      </c>
      <c r="G108" s="6">
        <v>30925</v>
      </c>
      <c r="H108" s="7">
        <v>5300</v>
      </c>
      <c r="I108" s="315"/>
      <c r="J108" s="315"/>
      <c r="K108" s="315"/>
      <c r="L108" s="315"/>
      <c r="M108" s="315"/>
      <c r="N108" s="315"/>
      <c r="O108" s="11"/>
      <c r="Q108" s="11"/>
      <c r="S108" s="10"/>
    </row>
    <row r="109" spans="1:19" ht="14.25">
      <c r="A109" s="327">
        <v>1</v>
      </c>
      <c r="B109" s="4" t="s">
        <v>91</v>
      </c>
      <c r="C109" s="4" t="s">
        <v>92</v>
      </c>
      <c r="D109" s="4" t="s">
        <v>93</v>
      </c>
      <c r="E109" s="4" t="s">
        <v>94</v>
      </c>
      <c r="F109" s="5">
        <v>70</v>
      </c>
      <c r="G109" s="6">
        <v>32106</v>
      </c>
      <c r="H109" s="7">
        <v>11000</v>
      </c>
      <c r="I109" s="315"/>
      <c r="J109" s="315"/>
      <c r="K109" s="315"/>
      <c r="L109" s="315"/>
      <c r="M109" s="315"/>
      <c r="N109" s="315"/>
      <c r="O109" s="11"/>
      <c r="P109" s="11"/>
      <c r="Q109" s="11"/>
      <c r="S109" s="10"/>
    </row>
    <row r="110" spans="1:19" ht="14.25">
      <c r="A110" s="327">
        <v>69</v>
      </c>
      <c r="B110" s="4" t="s">
        <v>220</v>
      </c>
      <c r="C110" s="4" t="s">
        <v>221</v>
      </c>
      <c r="D110" s="4" t="s">
        <v>100</v>
      </c>
      <c r="E110" s="4" t="s">
        <v>94</v>
      </c>
      <c r="F110" s="5">
        <v>50</v>
      </c>
      <c r="G110" s="6">
        <v>30225</v>
      </c>
      <c r="H110" s="7">
        <v>9000</v>
      </c>
      <c r="I110" s="315"/>
      <c r="J110" s="315"/>
      <c r="K110" s="315"/>
      <c r="L110" s="315"/>
      <c r="M110" s="315"/>
      <c r="N110" s="315"/>
      <c r="O110" s="11"/>
      <c r="P110" s="11"/>
      <c r="Q110" s="11"/>
      <c r="S110" s="10"/>
    </row>
    <row r="111" spans="1:19" ht="14.25">
      <c r="A111" s="327">
        <v>85</v>
      </c>
      <c r="B111" s="4" t="s">
        <v>246</v>
      </c>
      <c r="C111" s="4" t="s">
        <v>247</v>
      </c>
      <c r="D111" s="4" t="s">
        <v>97</v>
      </c>
      <c r="E111" s="4" t="s">
        <v>94</v>
      </c>
      <c r="F111" s="5">
        <v>20</v>
      </c>
      <c r="G111" s="6">
        <v>29828</v>
      </c>
      <c r="H111" s="7">
        <v>9000</v>
      </c>
      <c r="I111" s="315"/>
      <c r="J111" s="315"/>
      <c r="K111" s="315"/>
      <c r="L111" s="315"/>
      <c r="M111" s="315"/>
      <c r="N111" s="315"/>
      <c r="O111" s="11"/>
      <c r="P111" s="11"/>
      <c r="Q111" s="11"/>
      <c r="S111" s="10"/>
    </row>
    <row r="112" spans="1:19" ht="14.25">
      <c r="A112" s="327">
        <v>5</v>
      </c>
      <c r="B112" s="4" t="s">
        <v>104</v>
      </c>
      <c r="C112" s="4" t="s">
        <v>105</v>
      </c>
      <c r="D112" s="4" t="s">
        <v>93</v>
      </c>
      <c r="E112" s="4" t="s">
        <v>94</v>
      </c>
      <c r="F112" s="5">
        <v>70</v>
      </c>
      <c r="G112" s="6">
        <v>30376</v>
      </c>
      <c r="H112" s="7">
        <v>9000</v>
      </c>
      <c r="I112" s="315"/>
      <c r="J112" s="315"/>
      <c r="K112" s="315"/>
      <c r="L112" s="315"/>
      <c r="M112" s="315"/>
      <c r="N112" s="315"/>
      <c r="O112" s="11"/>
      <c r="P112" s="11"/>
      <c r="Q112" s="11"/>
      <c r="S112" s="10"/>
    </row>
    <row r="113" spans="1:19" ht="14.25">
      <c r="A113" s="327">
        <v>40</v>
      </c>
      <c r="B113" s="4" t="s">
        <v>169</v>
      </c>
      <c r="C113" s="4" t="s">
        <v>170</v>
      </c>
      <c r="D113" s="4" t="s">
        <v>115</v>
      </c>
      <c r="E113" s="4" t="s">
        <v>94</v>
      </c>
      <c r="F113" s="5">
        <v>60</v>
      </c>
      <c r="G113" s="6">
        <v>32435</v>
      </c>
      <c r="H113" s="7">
        <v>8100</v>
      </c>
      <c r="I113" s="315"/>
      <c r="J113" s="315"/>
      <c r="K113" s="315"/>
      <c r="L113" s="315"/>
      <c r="M113" s="315"/>
      <c r="N113" s="315"/>
      <c r="O113" s="11"/>
      <c r="P113" s="11"/>
      <c r="Q113" s="11"/>
      <c r="S113" s="10"/>
    </row>
    <row r="114" spans="1:19">
      <c r="A114" s="327">
        <v>89</v>
      </c>
      <c r="B114" s="4" t="s">
        <v>254</v>
      </c>
      <c r="C114" s="4" t="s">
        <v>255</v>
      </c>
      <c r="D114" s="4" t="s">
        <v>93</v>
      </c>
      <c r="E114" s="4" t="s">
        <v>103</v>
      </c>
      <c r="F114" s="5">
        <v>70</v>
      </c>
      <c r="G114" s="6">
        <v>30376</v>
      </c>
      <c r="H114" s="7">
        <v>9000</v>
      </c>
      <c r="M114" s="2"/>
      <c r="N114" s="8"/>
      <c r="O114" s="11"/>
      <c r="P114" s="11"/>
      <c r="Q114" s="11"/>
      <c r="S114" s="10"/>
    </row>
    <row r="115" spans="1:19">
      <c r="M115" s="2"/>
      <c r="N115" s="8"/>
      <c r="O115" s="11"/>
      <c r="P115" s="11"/>
      <c r="Q115" s="11"/>
      <c r="S115" s="10"/>
    </row>
    <row r="116" spans="1:19" s="315" customFormat="1" ht="14.25"/>
    <row r="117" spans="1:19" s="315" customFormat="1" ht="14.25"/>
    <row r="118" spans="1:19" s="315" customFormat="1" ht="14.25"/>
    <row r="119" spans="1:19" s="315" customFormat="1" ht="14.25"/>
    <row r="120" spans="1:19" s="315" customFormat="1" ht="14.25"/>
    <row r="121" spans="1:19" s="315" customFormat="1" ht="14.25"/>
    <row r="122" spans="1:19">
      <c r="M122" s="2"/>
      <c r="N122" s="8"/>
      <c r="O122" s="11"/>
      <c r="P122" s="11"/>
      <c r="Q122" s="11"/>
      <c r="S122" s="10"/>
    </row>
    <row r="123" spans="1:19">
      <c r="M123" s="2"/>
      <c r="N123" s="8"/>
      <c r="O123" s="11"/>
      <c r="P123" s="11"/>
      <c r="Q123" s="11"/>
      <c r="S123" s="10"/>
    </row>
  </sheetData>
  <sortState xmlns:xlrd2="http://schemas.microsoft.com/office/spreadsheetml/2017/richdata2" ref="A12:H114">
    <sortCondition descending="1" ref="B12:B114"/>
  </sortState>
  <phoneticPr fontId="0" type="noConversion"/>
  <dataValidations disablePrompts="1" count="1">
    <dataValidation type="decimal" allowBlank="1" showInputMessage="1" showErrorMessage="1" errorTitle="error" error="please get yourself examined in the head_x000a__x000a_" sqref="F132" xr:uid="{00000000-0002-0000-0700-000000000000}">
      <formula1>43</formula1>
      <formula2>44</formula2>
    </dataValidation>
  </dataValidations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</sheetPr>
  <dimension ref="B2:M33"/>
  <sheetViews>
    <sheetView topLeftCell="A26" zoomScale="160" zoomScaleNormal="160" workbookViewId="0">
      <selection activeCell="A43" sqref="A43"/>
    </sheetView>
  </sheetViews>
  <sheetFormatPr defaultRowHeight="12.75"/>
  <cols>
    <col min="1" max="1" width="9.140625" style="109"/>
    <col min="2" max="2" width="31.7109375" style="109" bestFit="1" customWidth="1"/>
    <col min="3" max="3" width="13" style="109" customWidth="1"/>
    <col min="4" max="4" width="3.42578125" style="109" customWidth="1"/>
    <col min="5" max="5" width="16.7109375" style="109" customWidth="1"/>
    <col min="6" max="6" width="10.7109375" style="109" bestFit="1" customWidth="1"/>
    <col min="7" max="7" width="13.28515625" style="109" bestFit="1" customWidth="1"/>
    <col min="8" max="8" width="15" style="109" bestFit="1" customWidth="1"/>
    <col min="9" max="9" width="17.7109375" style="109" bestFit="1" customWidth="1"/>
    <col min="10" max="10" width="20.42578125" style="109" bestFit="1" customWidth="1"/>
    <col min="11" max="11" width="23.140625" style="109" bestFit="1" customWidth="1"/>
    <col min="12" max="12" width="24.28515625" style="109" bestFit="1" customWidth="1"/>
    <col min="13" max="13" width="27" style="109" bestFit="1" customWidth="1"/>
    <col min="14" max="257" width="9.140625" style="109"/>
    <col min="258" max="258" width="31.7109375" style="109" bestFit="1" customWidth="1"/>
    <col min="259" max="259" width="13" style="109" customWidth="1"/>
    <col min="260" max="260" width="3.42578125" style="109" customWidth="1"/>
    <col min="261" max="261" width="9.140625" style="109" customWidth="1"/>
    <col min="262" max="266" width="10.5703125" style="109" bestFit="1" customWidth="1"/>
    <col min="267" max="267" width="11.28515625" style="109" customWidth="1"/>
    <col min="268" max="268" width="11" style="109" customWidth="1"/>
    <col min="269" max="269" width="11.140625" style="109" customWidth="1"/>
    <col min="270" max="513" width="9.140625" style="109"/>
    <col min="514" max="514" width="31.7109375" style="109" bestFit="1" customWidth="1"/>
    <col min="515" max="515" width="13" style="109" customWidth="1"/>
    <col min="516" max="516" width="3.42578125" style="109" customWidth="1"/>
    <col min="517" max="517" width="9.140625" style="109" customWidth="1"/>
    <col min="518" max="522" width="10.5703125" style="109" bestFit="1" customWidth="1"/>
    <col min="523" max="523" width="11.28515625" style="109" customWidth="1"/>
    <col min="524" max="524" width="11" style="109" customWidth="1"/>
    <col min="525" max="525" width="11.140625" style="109" customWidth="1"/>
    <col min="526" max="769" width="9.140625" style="109"/>
    <col min="770" max="770" width="31.7109375" style="109" bestFit="1" customWidth="1"/>
    <col min="771" max="771" width="13" style="109" customWidth="1"/>
    <col min="772" max="772" width="3.42578125" style="109" customWidth="1"/>
    <col min="773" max="773" width="9.140625" style="109" customWidth="1"/>
    <col min="774" max="778" width="10.5703125" style="109" bestFit="1" customWidth="1"/>
    <col min="779" max="779" width="11.28515625" style="109" customWidth="1"/>
    <col min="780" max="780" width="11" style="109" customWidth="1"/>
    <col min="781" max="781" width="11.140625" style="109" customWidth="1"/>
    <col min="782" max="1025" width="9.140625" style="109"/>
    <col min="1026" max="1026" width="31.7109375" style="109" bestFit="1" customWidth="1"/>
    <col min="1027" max="1027" width="13" style="109" customWidth="1"/>
    <col min="1028" max="1028" width="3.42578125" style="109" customWidth="1"/>
    <col min="1029" max="1029" width="9.140625" style="109" customWidth="1"/>
    <col min="1030" max="1034" width="10.5703125" style="109" bestFit="1" customWidth="1"/>
    <col min="1035" max="1035" width="11.28515625" style="109" customWidth="1"/>
    <col min="1036" max="1036" width="11" style="109" customWidth="1"/>
    <col min="1037" max="1037" width="11.140625" style="109" customWidth="1"/>
    <col min="1038" max="1281" width="9.140625" style="109"/>
    <col min="1282" max="1282" width="31.7109375" style="109" bestFit="1" customWidth="1"/>
    <col min="1283" max="1283" width="13" style="109" customWidth="1"/>
    <col min="1284" max="1284" width="3.42578125" style="109" customWidth="1"/>
    <col min="1285" max="1285" width="9.140625" style="109" customWidth="1"/>
    <col min="1286" max="1290" width="10.5703125" style="109" bestFit="1" customWidth="1"/>
    <col min="1291" max="1291" width="11.28515625" style="109" customWidth="1"/>
    <col min="1292" max="1292" width="11" style="109" customWidth="1"/>
    <col min="1293" max="1293" width="11.140625" style="109" customWidth="1"/>
    <col min="1294" max="1537" width="9.140625" style="109"/>
    <col min="1538" max="1538" width="31.7109375" style="109" bestFit="1" customWidth="1"/>
    <col min="1539" max="1539" width="13" style="109" customWidth="1"/>
    <col min="1540" max="1540" width="3.42578125" style="109" customWidth="1"/>
    <col min="1541" max="1541" width="9.140625" style="109" customWidth="1"/>
    <col min="1542" max="1546" width="10.5703125" style="109" bestFit="1" customWidth="1"/>
    <col min="1547" max="1547" width="11.28515625" style="109" customWidth="1"/>
    <col min="1548" max="1548" width="11" style="109" customWidth="1"/>
    <col min="1549" max="1549" width="11.140625" style="109" customWidth="1"/>
    <col min="1550" max="1793" width="9.140625" style="109"/>
    <col min="1794" max="1794" width="31.7109375" style="109" bestFit="1" customWidth="1"/>
    <col min="1795" max="1795" width="13" style="109" customWidth="1"/>
    <col min="1796" max="1796" width="3.42578125" style="109" customWidth="1"/>
    <col min="1797" max="1797" width="9.140625" style="109" customWidth="1"/>
    <col min="1798" max="1802" width="10.5703125" style="109" bestFit="1" customWidth="1"/>
    <col min="1803" max="1803" width="11.28515625" style="109" customWidth="1"/>
    <col min="1804" max="1804" width="11" style="109" customWidth="1"/>
    <col min="1805" max="1805" width="11.140625" style="109" customWidth="1"/>
    <col min="1806" max="2049" width="9.140625" style="109"/>
    <col min="2050" max="2050" width="31.7109375" style="109" bestFit="1" customWidth="1"/>
    <col min="2051" max="2051" width="13" style="109" customWidth="1"/>
    <col min="2052" max="2052" width="3.42578125" style="109" customWidth="1"/>
    <col min="2053" max="2053" width="9.140625" style="109" customWidth="1"/>
    <col min="2054" max="2058" width="10.5703125" style="109" bestFit="1" customWidth="1"/>
    <col min="2059" max="2059" width="11.28515625" style="109" customWidth="1"/>
    <col min="2060" max="2060" width="11" style="109" customWidth="1"/>
    <col min="2061" max="2061" width="11.140625" style="109" customWidth="1"/>
    <col min="2062" max="2305" width="9.140625" style="109"/>
    <col min="2306" max="2306" width="31.7109375" style="109" bestFit="1" customWidth="1"/>
    <col min="2307" max="2307" width="13" style="109" customWidth="1"/>
    <col min="2308" max="2308" width="3.42578125" style="109" customWidth="1"/>
    <col min="2309" max="2309" width="9.140625" style="109" customWidth="1"/>
    <col min="2310" max="2314" width="10.5703125" style="109" bestFit="1" customWidth="1"/>
    <col min="2315" max="2315" width="11.28515625" style="109" customWidth="1"/>
    <col min="2316" max="2316" width="11" style="109" customWidth="1"/>
    <col min="2317" max="2317" width="11.140625" style="109" customWidth="1"/>
    <col min="2318" max="2561" width="9.140625" style="109"/>
    <col min="2562" max="2562" width="31.7109375" style="109" bestFit="1" customWidth="1"/>
    <col min="2563" max="2563" width="13" style="109" customWidth="1"/>
    <col min="2564" max="2564" width="3.42578125" style="109" customWidth="1"/>
    <col min="2565" max="2565" width="9.140625" style="109" customWidth="1"/>
    <col min="2566" max="2570" width="10.5703125" style="109" bestFit="1" customWidth="1"/>
    <col min="2571" max="2571" width="11.28515625" style="109" customWidth="1"/>
    <col min="2572" max="2572" width="11" style="109" customWidth="1"/>
    <col min="2573" max="2573" width="11.140625" style="109" customWidth="1"/>
    <col min="2574" max="2817" width="9.140625" style="109"/>
    <col min="2818" max="2818" width="31.7109375" style="109" bestFit="1" customWidth="1"/>
    <col min="2819" max="2819" width="13" style="109" customWidth="1"/>
    <col min="2820" max="2820" width="3.42578125" style="109" customWidth="1"/>
    <col min="2821" max="2821" width="9.140625" style="109" customWidth="1"/>
    <col min="2822" max="2826" width="10.5703125" style="109" bestFit="1" customWidth="1"/>
    <col min="2827" max="2827" width="11.28515625" style="109" customWidth="1"/>
    <col min="2828" max="2828" width="11" style="109" customWidth="1"/>
    <col min="2829" max="2829" width="11.140625" style="109" customWidth="1"/>
    <col min="2830" max="3073" width="9.140625" style="109"/>
    <col min="3074" max="3074" width="31.7109375" style="109" bestFit="1" customWidth="1"/>
    <col min="3075" max="3075" width="13" style="109" customWidth="1"/>
    <col min="3076" max="3076" width="3.42578125" style="109" customWidth="1"/>
    <col min="3077" max="3077" width="9.140625" style="109" customWidth="1"/>
    <col min="3078" max="3082" width="10.5703125" style="109" bestFit="1" customWidth="1"/>
    <col min="3083" max="3083" width="11.28515625" style="109" customWidth="1"/>
    <col min="3084" max="3084" width="11" style="109" customWidth="1"/>
    <col min="3085" max="3085" width="11.140625" style="109" customWidth="1"/>
    <col min="3086" max="3329" width="9.140625" style="109"/>
    <col min="3330" max="3330" width="31.7109375" style="109" bestFit="1" customWidth="1"/>
    <col min="3331" max="3331" width="13" style="109" customWidth="1"/>
    <col min="3332" max="3332" width="3.42578125" style="109" customWidth="1"/>
    <col min="3333" max="3333" width="9.140625" style="109" customWidth="1"/>
    <col min="3334" max="3338" width="10.5703125" style="109" bestFit="1" customWidth="1"/>
    <col min="3339" max="3339" width="11.28515625" style="109" customWidth="1"/>
    <col min="3340" max="3340" width="11" style="109" customWidth="1"/>
    <col min="3341" max="3341" width="11.140625" style="109" customWidth="1"/>
    <col min="3342" max="3585" width="9.140625" style="109"/>
    <col min="3586" max="3586" width="31.7109375" style="109" bestFit="1" customWidth="1"/>
    <col min="3587" max="3587" width="13" style="109" customWidth="1"/>
    <col min="3588" max="3588" width="3.42578125" style="109" customWidth="1"/>
    <col min="3589" max="3589" width="9.140625" style="109" customWidth="1"/>
    <col min="3590" max="3594" width="10.5703125" style="109" bestFit="1" customWidth="1"/>
    <col min="3595" max="3595" width="11.28515625" style="109" customWidth="1"/>
    <col min="3596" max="3596" width="11" style="109" customWidth="1"/>
    <col min="3597" max="3597" width="11.140625" style="109" customWidth="1"/>
    <col min="3598" max="3841" width="9.140625" style="109"/>
    <col min="3842" max="3842" width="31.7109375" style="109" bestFit="1" customWidth="1"/>
    <col min="3843" max="3843" width="13" style="109" customWidth="1"/>
    <col min="3844" max="3844" width="3.42578125" style="109" customWidth="1"/>
    <col min="3845" max="3845" width="9.140625" style="109" customWidth="1"/>
    <col min="3846" max="3850" width="10.5703125" style="109" bestFit="1" customWidth="1"/>
    <col min="3851" max="3851" width="11.28515625" style="109" customWidth="1"/>
    <col min="3852" max="3852" width="11" style="109" customWidth="1"/>
    <col min="3853" max="3853" width="11.140625" style="109" customWidth="1"/>
    <col min="3854" max="4097" width="9.140625" style="109"/>
    <col min="4098" max="4098" width="31.7109375" style="109" bestFit="1" customWidth="1"/>
    <col min="4099" max="4099" width="13" style="109" customWidth="1"/>
    <col min="4100" max="4100" width="3.42578125" style="109" customWidth="1"/>
    <col min="4101" max="4101" width="9.140625" style="109" customWidth="1"/>
    <col min="4102" max="4106" width="10.5703125" style="109" bestFit="1" customWidth="1"/>
    <col min="4107" max="4107" width="11.28515625" style="109" customWidth="1"/>
    <col min="4108" max="4108" width="11" style="109" customWidth="1"/>
    <col min="4109" max="4109" width="11.140625" style="109" customWidth="1"/>
    <col min="4110" max="4353" width="9.140625" style="109"/>
    <col min="4354" max="4354" width="31.7109375" style="109" bestFit="1" customWidth="1"/>
    <col min="4355" max="4355" width="13" style="109" customWidth="1"/>
    <col min="4356" max="4356" width="3.42578125" style="109" customWidth="1"/>
    <col min="4357" max="4357" width="9.140625" style="109" customWidth="1"/>
    <col min="4358" max="4362" width="10.5703125" style="109" bestFit="1" customWidth="1"/>
    <col min="4363" max="4363" width="11.28515625" style="109" customWidth="1"/>
    <col min="4364" max="4364" width="11" style="109" customWidth="1"/>
    <col min="4365" max="4365" width="11.140625" style="109" customWidth="1"/>
    <col min="4366" max="4609" width="9.140625" style="109"/>
    <col min="4610" max="4610" width="31.7109375" style="109" bestFit="1" customWidth="1"/>
    <col min="4611" max="4611" width="13" style="109" customWidth="1"/>
    <col min="4612" max="4612" width="3.42578125" style="109" customWidth="1"/>
    <col min="4613" max="4613" width="9.140625" style="109" customWidth="1"/>
    <col min="4614" max="4618" width="10.5703125" style="109" bestFit="1" customWidth="1"/>
    <col min="4619" max="4619" width="11.28515625" style="109" customWidth="1"/>
    <col min="4620" max="4620" width="11" style="109" customWidth="1"/>
    <col min="4621" max="4621" width="11.140625" style="109" customWidth="1"/>
    <col min="4622" max="4865" width="9.140625" style="109"/>
    <col min="4866" max="4866" width="31.7109375" style="109" bestFit="1" customWidth="1"/>
    <col min="4867" max="4867" width="13" style="109" customWidth="1"/>
    <col min="4868" max="4868" width="3.42578125" style="109" customWidth="1"/>
    <col min="4869" max="4869" width="9.140625" style="109" customWidth="1"/>
    <col min="4870" max="4874" width="10.5703125" style="109" bestFit="1" customWidth="1"/>
    <col min="4875" max="4875" width="11.28515625" style="109" customWidth="1"/>
    <col min="4876" max="4876" width="11" style="109" customWidth="1"/>
    <col min="4877" max="4877" width="11.140625" style="109" customWidth="1"/>
    <col min="4878" max="5121" width="9.140625" style="109"/>
    <col min="5122" max="5122" width="31.7109375" style="109" bestFit="1" customWidth="1"/>
    <col min="5123" max="5123" width="13" style="109" customWidth="1"/>
    <col min="5124" max="5124" width="3.42578125" style="109" customWidth="1"/>
    <col min="5125" max="5125" width="9.140625" style="109" customWidth="1"/>
    <col min="5126" max="5130" width="10.5703125" style="109" bestFit="1" customWidth="1"/>
    <col min="5131" max="5131" width="11.28515625" style="109" customWidth="1"/>
    <col min="5132" max="5132" width="11" style="109" customWidth="1"/>
    <col min="5133" max="5133" width="11.140625" style="109" customWidth="1"/>
    <col min="5134" max="5377" width="9.140625" style="109"/>
    <col min="5378" max="5378" width="31.7109375" style="109" bestFit="1" customWidth="1"/>
    <col min="5379" max="5379" width="13" style="109" customWidth="1"/>
    <col min="5380" max="5380" width="3.42578125" style="109" customWidth="1"/>
    <col min="5381" max="5381" width="9.140625" style="109" customWidth="1"/>
    <col min="5382" max="5386" width="10.5703125" style="109" bestFit="1" customWidth="1"/>
    <col min="5387" max="5387" width="11.28515625" style="109" customWidth="1"/>
    <col min="5388" max="5388" width="11" style="109" customWidth="1"/>
    <col min="5389" max="5389" width="11.140625" style="109" customWidth="1"/>
    <col min="5390" max="5633" width="9.140625" style="109"/>
    <col min="5634" max="5634" width="31.7109375" style="109" bestFit="1" customWidth="1"/>
    <col min="5635" max="5635" width="13" style="109" customWidth="1"/>
    <col min="5636" max="5636" width="3.42578125" style="109" customWidth="1"/>
    <col min="5637" max="5637" width="9.140625" style="109" customWidth="1"/>
    <col min="5638" max="5642" width="10.5703125" style="109" bestFit="1" customWidth="1"/>
    <col min="5643" max="5643" width="11.28515625" style="109" customWidth="1"/>
    <col min="5644" max="5644" width="11" style="109" customWidth="1"/>
    <col min="5645" max="5645" width="11.140625" style="109" customWidth="1"/>
    <col min="5646" max="5889" width="9.140625" style="109"/>
    <col min="5890" max="5890" width="31.7109375" style="109" bestFit="1" customWidth="1"/>
    <col min="5891" max="5891" width="13" style="109" customWidth="1"/>
    <col min="5892" max="5892" width="3.42578125" style="109" customWidth="1"/>
    <col min="5893" max="5893" width="9.140625" style="109" customWidth="1"/>
    <col min="5894" max="5898" width="10.5703125" style="109" bestFit="1" customWidth="1"/>
    <col min="5899" max="5899" width="11.28515625" style="109" customWidth="1"/>
    <col min="5900" max="5900" width="11" style="109" customWidth="1"/>
    <col min="5901" max="5901" width="11.140625" style="109" customWidth="1"/>
    <col min="5902" max="6145" width="9.140625" style="109"/>
    <col min="6146" max="6146" width="31.7109375" style="109" bestFit="1" customWidth="1"/>
    <col min="6147" max="6147" width="13" style="109" customWidth="1"/>
    <col min="6148" max="6148" width="3.42578125" style="109" customWidth="1"/>
    <col min="6149" max="6149" width="9.140625" style="109" customWidth="1"/>
    <col min="6150" max="6154" width="10.5703125" style="109" bestFit="1" customWidth="1"/>
    <col min="6155" max="6155" width="11.28515625" style="109" customWidth="1"/>
    <col min="6156" max="6156" width="11" style="109" customWidth="1"/>
    <col min="6157" max="6157" width="11.140625" style="109" customWidth="1"/>
    <col min="6158" max="6401" width="9.140625" style="109"/>
    <col min="6402" max="6402" width="31.7109375" style="109" bestFit="1" customWidth="1"/>
    <col min="6403" max="6403" width="13" style="109" customWidth="1"/>
    <col min="6404" max="6404" width="3.42578125" style="109" customWidth="1"/>
    <col min="6405" max="6405" width="9.140625" style="109" customWidth="1"/>
    <col min="6406" max="6410" width="10.5703125" style="109" bestFit="1" customWidth="1"/>
    <col min="6411" max="6411" width="11.28515625" style="109" customWidth="1"/>
    <col min="6412" max="6412" width="11" style="109" customWidth="1"/>
    <col min="6413" max="6413" width="11.140625" style="109" customWidth="1"/>
    <col min="6414" max="6657" width="9.140625" style="109"/>
    <col min="6658" max="6658" width="31.7109375" style="109" bestFit="1" customWidth="1"/>
    <col min="6659" max="6659" width="13" style="109" customWidth="1"/>
    <col min="6660" max="6660" width="3.42578125" style="109" customWidth="1"/>
    <col min="6661" max="6661" width="9.140625" style="109" customWidth="1"/>
    <col min="6662" max="6666" width="10.5703125" style="109" bestFit="1" customWidth="1"/>
    <col min="6667" max="6667" width="11.28515625" style="109" customWidth="1"/>
    <col min="6668" max="6668" width="11" style="109" customWidth="1"/>
    <col min="6669" max="6669" width="11.140625" style="109" customWidth="1"/>
    <col min="6670" max="6913" width="9.140625" style="109"/>
    <col min="6914" max="6914" width="31.7109375" style="109" bestFit="1" customWidth="1"/>
    <col min="6915" max="6915" width="13" style="109" customWidth="1"/>
    <col min="6916" max="6916" width="3.42578125" style="109" customWidth="1"/>
    <col min="6917" max="6917" width="9.140625" style="109" customWidth="1"/>
    <col min="6918" max="6922" width="10.5703125" style="109" bestFit="1" customWidth="1"/>
    <col min="6923" max="6923" width="11.28515625" style="109" customWidth="1"/>
    <col min="6924" max="6924" width="11" style="109" customWidth="1"/>
    <col min="6925" max="6925" width="11.140625" style="109" customWidth="1"/>
    <col min="6926" max="7169" width="9.140625" style="109"/>
    <col min="7170" max="7170" width="31.7109375" style="109" bestFit="1" customWidth="1"/>
    <col min="7171" max="7171" width="13" style="109" customWidth="1"/>
    <col min="7172" max="7172" width="3.42578125" style="109" customWidth="1"/>
    <col min="7173" max="7173" width="9.140625" style="109" customWidth="1"/>
    <col min="7174" max="7178" width="10.5703125" style="109" bestFit="1" customWidth="1"/>
    <col min="7179" max="7179" width="11.28515625" style="109" customWidth="1"/>
    <col min="7180" max="7180" width="11" style="109" customWidth="1"/>
    <col min="7181" max="7181" width="11.140625" style="109" customWidth="1"/>
    <col min="7182" max="7425" width="9.140625" style="109"/>
    <col min="7426" max="7426" width="31.7109375" style="109" bestFit="1" customWidth="1"/>
    <col min="7427" max="7427" width="13" style="109" customWidth="1"/>
    <col min="7428" max="7428" width="3.42578125" style="109" customWidth="1"/>
    <col min="7429" max="7429" width="9.140625" style="109" customWidth="1"/>
    <col min="7430" max="7434" width="10.5703125" style="109" bestFit="1" customWidth="1"/>
    <col min="7435" max="7435" width="11.28515625" style="109" customWidth="1"/>
    <col min="7436" max="7436" width="11" style="109" customWidth="1"/>
    <col min="7437" max="7437" width="11.140625" style="109" customWidth="1"/>
    <col min="7438" max="7681" width="9.140625" style="109"/>
    <col min="7682" max="7682" width="31.7109375" style="109" bestFit="1" customWidth="1"/>
    <col min="7683" max="7683" width="13" style="109" customWidth="1"/>
    <col min="7684" max="7684" width="3.42578125" style="109" customWidth="1"/>
    <col min="7685" max="7685" width="9.140625" style="109" customWidth="1"/>
    <col min="7686" max="7690" width="10.5703125" style="109" bestFit="1" customWidth="1"/>
    <col min="7691" max="7691" width="11.28515625" style="109" customWidth="1"/>
    <col min="7692" max="7692" width="11" style="109" customWidth="1"/>
    <col min="7693" max="7693" width="11.140625" style="109" customWidth="1"/>
    <col min="7694" max="7937" width="9.140625" style="109"/>
    <col min="7938" max="7938" width="31.7109375" style="109" bestFit="1" customWidth="1"/>
    <col min="7939" max="7939" width="13" style="109" customWidth="1"/>
    <col min="7940" max="7940" width="3.42578125" style="109" customWidth="1"/>
    <col min="7941" max="7941" width="9.140625" style="109" customWidth="1"/>
    <col min="7942" max="7946" width="10.5703125" style="109" bestFit="1" customWidth="1"/>
    <col min="7947" max="7947" width="11.28515625" style="109" customWidth="1"/>
    <col min="7948" max="7948" width="11" style="109" customWidth="1"/>
    <col min="7949" max="7949" width="11.140625" style="109" customWidth="1"/>
    <col min="7950" max="8193" width="9.140625" style="109"/>
    <col min="8194" max="8194" width="31.7109375" style="109" bestFit="1" customWidth="1"/>
    <col min="8195" max="8195" width="13" style="109" customWidth="1"/>
    <col min="8196" max="8196" width="3.42578125" style="109" customWidth="1"/>
    <col min="8197" max="8197" width="9.140625" style="109" customWidth="1"/>
    <col min="8198" max="8202" width="10.5703125" style="109" bestFit="1" customWidth="1"/>
    <col min="8203" max="8203" width="11.28515625" style="109" customWidth="1"/>
    <col min="8204" max="8204" width="11" style="109" customWidth="1"/>
    <col min="8205" max="8205" width="11.140625" style="109" customWidth="1"/>
    <col min="8206" max="8449" width="9.140625" style="109"/>
    <col min="8450" max="8450" width="31.7109375" style="109" bestFit="1" customWidth="1"/>
    <col min="8451" max="8451" width="13" style="109" customWidth="1"/>
    <col min="8452" max="8452" width="3.42578125" style="109" customWidth="1"/>
    <col min="8453" max="8453" width="9.140625" style="109" customWidth="1"/>
    <col min="8454" max="8458" width="10.5703125" style="109" bestFit="1" customWidth="1"/>
    <col min="8459" max="8459" width="11.28515625" style="109" customWidth="1"/>
    <col min="8460" max="8460" width="11" style="109" customWidth="1"/>
    <col min="8461" max="8461" width="11.140625" style="109" customWidth="1"/>
    <col min="8462" max="8705" width="9.140625" style="109"/>
    <col min="8706" max="8706" width="31.7109375" style="109" bestFit="1" customWidth="1"/>
    <col min="8707" max="8707" width="13" style="109" customWidth="1"/>
    <col min="8708" max="8708" width="3.42578125" style="109" customWidth="1"/>
    <col min="8709" max="8709" width="9.140625" style="109" customWidth="1"/>
    <col min="8710" max="8714" width="10.5703125" style="109" bestFit="1" customWidth="1"/>
    <col min="8715" max="8715" width="11.28515625" style="109" customWidth="1"/>
    <col min="8716" max="8716" width="11" style="109" customWidth="1"/>
    <col min="8717" max="8717" width="11.140625" style="109" customWidth="1"/>
    <col min="8718" max="8961" width="9.140625" style="109"/>
    <col min="8962" max="8962" width="31.7109375" style="109" bestFit="1" customWidth="1"/>
    <col min="8963" max="8963" width="13" style="109" customWidth="1"/>
    <col min="8964" max="8964" width="3.42578125" style="109" customWidth="1"/>
    <col min="8965" max="8965" width="9.140625" style="109" customWidth="1"/>
    <col min="8966" max="8970" width="10.5703125" style="109" bestFit="1" customWidth="1"/>
    <col min="8971" max="8971" width="11.28515625" style="109" customWidth="1"/>
    <col min="8972" max="8972" width="11" style="109" customWidth="1"/>
    <col min="8973" max="8973" width="11.140625" style="109" customWidth="1"/>
    <col min="8974" max="9217" width="9.140625" style="109"/>
    <col min="9218" max="9218" width="31.7109375" style="109" bestFit="1" customWidth="1"/>
    <col min="9219" max="9219" width="13" style="109" customWidth="1"/>
    <col min="9220" max="9220" width="3.42578125" style="109" customWidth="1"/>
    <col min="9221" max="9221" width="9.140625" style="109" customWidth="1"/>
    <col min="9222" max="9226" width="10.5703125" style="109" bestFit="1" customWidth="1"/>
    <col min="9227" max="9227" width="11.28515625" style="109" customWidth="1"/>
    <col min="9228" max="9228" width="11" style="109" customWidth="1"/>
    <col min="9229" max="9229" width="11.140625" style="109" customWidth="1"/>
    <col min="9230" max="9473" width="9.140625" style="109"/>
    <col min="9474" max="9474" width="31.7109375" style="109" bestFit="1" customWidth="1"/>
    <col min="9475" max="9475" width="13" style="109" customWidth="1"/>
    <col min="9476" max="9476" width="3.42578125" style="109" customWidth="1"/>
    <col min="9477" max="9477" width="9.140625" style="109" customWidth="1"/>
    <col min="9478" max="9482" width="10.5703125" style="109" bestFit="1" customWidth="1"/>
    <col min="9483" max="9483" width="11.28515625" style="109" customWidth="1"/>
    <col min="9484" max="9484" width="11" style="109" customWidth="1"/>
    <col min="9485" max="9485" width="11.140625" style="109" customWidth="1"/>
    <col min="9486" max="9729" width="9.140625" style="109"/>
    <col min="9730" max="9730" width="31.7109375" style="109" bestFit="1" customWidth="1"/>
    <col min="9731" max="9731" width="13" style="109" customWidth="1"/>
    <col min="9732" max="9732" width="3.42578125" style="109" customWidth="1"/>
    <col min="9733" max="9733" width="9.140625" style="109" customWidth="1"/>
    <col min="9734" max="9738" width="10.5703125" style="109" bestFit="1" customWidth="1"/>
    <col min="9739" max="9739" width="11.28515625" style="109" customWidth="1"/>
    <col min="9740" max="9740" width="11" style="109" customWidth="1"/>
    <col min="9741" max="9741" width="11.140625" style="109" customWidth="1"/>
    <col min="9742" max="9985" width="9.140625" style="109"/>
    <col min="9986" max="9986" width="31.7109375" style="109" bestFit="1" customWidth="1"/>
    <col min="9987" max="9987" width="13" style="109" customWidth="1"/>
    <col min="9988" max="9988" width="3.42578125" style="109" customWidth="1"/>
    <col min="9989" max="9989" width="9.140625" style="109" customWidth="1"/>
    <col min="9990" max="9994" width="10.5703125" style="109" bestFit="1" customWidth="1"/>
    <col min="9995" max="9995" width="11.28515625" style="109" customWidth="1"/>
    <col min="9996" max="9996" width="11" style="109" customWidth="1"/>
    <col min="9997" max="9997" width="11.140625" style="109" customWidth="1"/>
    <col min="9998" max="10241" width="9.140625" style="109"/>
    <col min="10242" max="10242" width="31.7109375" style="109" bestFit="1" customWidth="1"/>
    <col min="10243" max="10243" width="13" style="109" customWidth="1"/>
    <col min="10244" max="10244" width="3.42578125" style="109" customWidth="1"/>
    <col min="10245" max="10245" width="9.140625" style="109" customWidth="1"/>
    <col min="10246" max="10250" width="10.5703125" style="109" bestFit="1" customWidth="1"/>
    <col min="10251" max="10251" width="11.28515625" style="109" customWidth="1"/>
    <col min="10252" max="10252" width="11" style="109" customWidth="1"/>
    <col min="10253" max="10253" width="11.140625" style="109" customWidth="1"/>
    <col min="10254" max="10497" width="9.140625" style="109"/>
    <col min="10498" max="10498" width="31.7109375" style="109" bestFit="1" customWidth="1"/>
    <col min="10499" max="10499" width="13" style="109" customWidth="1"/>
    <col min="10500" max="10500" width="3.42578125" style="109" customWidth="1"/>
    <col min="10501" max="10501" width="9.140625" style="109" customWidth="1"/>
    <col min="10502" max="10506" width="10.5703125" style="109" bestFit="1" customWidth="1"/>
    <col min="10507" max="10507" width="11.28515625" style="109" customWidth="1"/>
    <col min="10508" max="10508" width="11" style="109" customWidth="1"/>
    <col min="10509" max="10509" width="11.140625" style="109" customWidth="1"/>
    <col min="10510" max="10753" width="9.140625" style="109"/>
    <col min="10754" max="10754" width="31.7109375" style="109" bestFit="1" customWidth="1"/>
    <col min="10755" max="10755" width="13" style="109" customWidth="1"/>
    <col min="10756" max="10756" width="3.42578125" style="109" customWidth="1"/>
    <col min="10757" max="10757" width="9.140625" style="109" customWidth="1"/>
    <col min="10758" max="10762" width="10.5703125" style="109" bestFit="1" customWidth="1"/>
    <col min="10763" max="10763" width="11.28515625" style="109" customWidth="1"/>
    <col min="10764" max="10764" width="11" style="109" customWidth="1"/>
    <col min="10765" max="10765" width="11.140625" style="109" customWidth="1"/>
    <col min="10766" max="11009" width="9.140625" style="109"/>
    <col min="11010" max="11010" width="31.7109375" style="109" bestFit="1" customWidth="1"/>
    <col min="11011" max="11011" width="13" style="109" customWidth="1"/>
    <col min="11012" max="11012" width="3.42578125" style="109" customWidth="1"/>
    <col min="11013" max="11013" width="9.140625" style="109" customWidth="1"/>
    <col min="11014" max="11018" width="10.5703125" style="109" bestFit="1" customWidth="1"/>
    <col min="11019" max="11019" width="11.28515625" style="109" customWidth="1"/>
    <col min="11020" max="11020" width="11" style="109" customWidth="1"/>
    <col min="11021" max="11021" width="11.140625" style="109" customWidth="1"/>
    <col min="11022" max="11265" width="9.140625" style="109"/>
    <col min="11266" max="11266" width="31.7109375" style="109" bestFit="1" customWidth="1"/>
    <col min="11267" max="11267" width="13" style="109" customWidth="1"/>
    <col min="11268" max="11268" width="3.42578125" style="109" customWidth="1"/>
    <col min="11269" max="11269" width="9.140625" style="109" customWidth="1"/>
    <col min="11270" max="11274" width="10.5703125" style="109" bestFit="1" customWidth="1"/>
    <col min="11275" max="11275" width="11.28515625" style="109" customWidth="1"/>
    <col min="11276" max="11276" width="11" style="109" customWidth="1"/>
    <col min="11277" max="11277" width="11.140625" style="109" customWidth="1"/>
    <col min="11278" max="11521" width="9.140625" style="109"/>
    <col min="11522" max="11522" width="31.7109375" style="109" bestFit="1" customWidth="1"/>
    <col min="11523" max="11523" width="13" style="109" customWidth="1"/>
    <col min="11524" max="11524" width="3.42578125" style="109" customWidth="1"/>
    <col min="11525" max="11525" width="9.140625" style="109" customWidth="1"/>
    <col min="11526" max="11530" width="10.5703125" style="109" bestFit="1" customWidth="1"/>
    <col min="11531" max="11531" width="11.28515625" style="109" customWidth="1"/>
    <col min="11532" max="11532" width="11" style="109" customWidth="1"/>
    <col min="11533" max="11533" width="11.140625" style="109" customWidth="1"/>
    <col min="11534" max="11777" width="9.140625" style="109"/>
    <col min="11778" max="11778" width="31.7109375" style="109" bestFit="1" customWidth="1"/>
    <col min="11779" max="11779" width="13" style="109" customWidth="1"/>
    <col min="11780" max="11780" width="3.42578125" style="109" customWidth="1"/>
    <col min="11781" max="11781" width="9.140625" style="109" customWidth="1"/>
    <col min="11782" max="11786" width="10.5703125" style="109" bestFit="1" customWidth="1"/>
    <col min="11787" max="11787" width="11.28515625" style="109" customWidth="1"/>
    <col min="11788" max="11788" width="11" style="109" customWidth="1"/>
    <col min="11789" max="11789" width="11.140625" style="109" customWidth="1"/>
    <col min="11790" max="12033" width="9.140625" style="109"/>
    <col min="12034" max="12034" width="31.7109375" style="109" bestFit="1" customWidth="1"/>
    <col min="12035" max="12035" width="13" style="109" customWidth="1"/>
    <col min="12036" max="12036" width="3.42578125" style="109" customWidth="1"/>
    <col min="12037" max="12037" width="9.140625" style="109" customWidth="1"/>
    <col min="12038" max="12042" width="10.5703125" style="109" bestFit="1" customWidth="1"/>
    <col min="12043" max="12043" width="11.28515625" style="109" customWidth="1"/>
    <col min="12044" max="12044" width="11" style="109" customWidth="1"/>
    <col min="12045" max="12045" width="11.140625" style="109" customWidth="1"/>
    <col min="12046" max="12289" width="9.140625" style="109"/>
    <col min="12290" max="12290" width="31.7109375" style="109" bestFit="1" customWidth="1"/>
    <col min="12291" max="12291" width="13" style="109" customWidth="1"/>
    <col min="12292" max="12292" width="3.42578125" style="109" customWidth="1"/>
    <col min="12293" max="12293" width="9.140625" style="109" customWidth="1"/>
    <col min="12294" max="12298" width="10.5703125" style="109" bestFit="1" customWidth="1"/>
    <col min="12299" max="12299" width="11.28515625" style="109" customWidth="1"/>
    <col min="12300" max="12300" width="11" style="109" customWidth="1"/>
    <col min="12301" max="12301" width="11.140625" style="109" customWidth="1"/>
    <col min="12302" max="12545" width="9.140625" style="109"/>
    <col min="12546" max="12546" width="31.7109375" style="109" bestFit="1" customWidth="1"/>
    <col min="12547" max="12547" width="13" style="109" customWidth="1"/>
    <col min="12548" max="12548" width="3.42578125" style="109" customWidth="1"/>
    <col min="12549" max="12549" width="9.140625" style="109" customWidth="1"/>
    <col min="12550" max="12554" width="10.5703125" style="109" bestFit="1" customWidth="1"/>
    <col min="12555" max="12555" width="11.28515625" style="109" customWidth="1"/>
    <col min="12556" max="12556" width="11" style="109" customWidth="1"/>
    <col min="12557" max="12557" width="11.140625" style="109" customWidth="1"/>
    <col min="12558" max="12801" width="9.140625" style="109"/>
    <col min="12802" max="12802" width="31.7109375" style="109" bestFit="1" customWidth="1"/>
    <col min="12803" max="12803" width="13" style="109" customWidth="1"/>
    <col min="12804" max="12804" width="3.42578125" style="109" customWidth="1"/>
    <col min="12805" max="12805" width="9.140625" style="109" customWidth="1"/>
    <col min="12806" max="12810" width="10.5703125" style="109" bestFit="1" customWidth="1"/>
    <col min="12811" max="12811" width="11.28515625" style="109" customWidth="1"/>
    <col min="12812" max="12812" width="11" style="109" customWidth="1"/>
    <col min="12813" max="12813" width="11.140625" style="109" customWidth="1"/>
    <col min="12814" max="13057" width="9.140625" style="109"/>
    <col min="13058" max="13058" width="31.7109375" style="109" bestFit="1" customWidth="1"/>
    <col min="13059" max="13059" width="13" style="109" customWidth="1"/>
    <col min="13060" max="13060" width="3.42578125" style="109" customWidth="1"/>
    <col min="13061" max="13061" width="9.140625" style="109" customWidth="1"/>
    <col min="13062" max="13066" width="10.5703125" style="109" bestFit="1" customWidth="1"/>
    <col min="13067" max="13067" width="11.28515625" style="109" customWidth="1"/>
    <col min="13068" max="13068" width="11" style="109" customWidth="1"/>
    <col min="13069" max="13069" width="11.140625" style="109" customWidth="1"/>
    <col min="13070" max="13313" width="9.140625" style="109"/>
    <col min="13314" max="13314" width="31.7109375" style="109" bestFit="1" customWidth="1"/>
    <col min="13315" max="13315" width="13" style="109" customWidth="1"/>
    <col min="13316" max="13316" width="3.42578125" style="109" customWidth="1"/>
    <col min="13317" max="13317" width="9.140625" style="109" customWidth="1"/>
    <col min="13318" max="13322" width="10.5703125" style="109" bestFit="1" customWidth="1"/>
    <col min="13323" max="13323" width="11.28515625" style="109" customWidth="1"/>
    <col min="13324" max="13324" width="11" style="109" customWidth="1"/>
    <col min="13325" max="13325" width="11.140625" style="109" customWidth="1"/>
    <col min="13326" max="13569" width="9.140625" style="109"/>
    <col min="13570" max="13570" width="31.7109375" style="109" bestFit="1" customWidth="1"/>
    <col min="13571" max="13571" width="13" style="109" customWidth="1"/>
    <col min="13572" max="13572" width="3.42578125" style="109" customWidth="1"/>
    <col min="13573" max="13573" width="9.140625" style="109" customWidth="1"/>
    <col min="13574" max="13578" width="10.5703125" style="109" bestFit="1" customWidth="1"/>
    <col min="13579" max="13579" width="11.28515625" style="109" customWidth="1"/>
    <col min="13580" max="13580" width="11" style="109" customWidth="1"/>
    <col min="13581" max="13581" width="11.140625" style="109" customWidth="1"/>
    <col min="13582" max="13825" width="9.140625" style="109"/>
    <col min="13826" max="13826" width="31.7109375" style="109" bestFit="1" customWidth="1"/>
    <col min="13827" max="13827" width="13" style="109" customWidth="1"/>
    <col min="13828" max="13828" width="3.42578125" style="109" customWidth="1"/>
    <col min="13829" max="13829" width="9.140625" style="109" customWidth="1"/>
    <col min="13830" max="13834" width="10.5703125" style="109" bestFit="1" customWidth="1"/>
    <col min="13835" max="13835" width="11.28515625" style="109" customWidth="1"/>
    <col min="13836" max="13836" width="11" style="109" customWidth="1"/>
    <col min="13837" max="13837" width="11.140625" style="109" customWidth="1"/>
    <col min="13838" max="14081" width="9.140625" style="109"/>
    <col min="14082" max="14082" width="31.7109375" style="109" bestFit="1" customWidth="1"/>
    <col min="14083" max="14083" width="13" style="109" customWidth="1"/>
    <col min="14084" max="14084" width="3.42578125" style="109" customWidth="1"/>
    <col min="14085" max="14085" width="9.140625" style="109" customWidth="1"/>
    <col min="14086" max="14090" width="10.5703125" style="109" bestFit="1" customWidth="1"/>
    <col min="14091" max="14091" width="11.28515625" style="109" customWidth="1"/>
    <col min="14092" max="14092" width="11" style="109" customWidth="1"/>
    <col min="14093" max="14093" width="11.140625" style="109" customWidth="1"/>
    <col min="14094" max="14337" width="9.140625" style="109"/>
    <col min="14338" max="14338" width="31.7109375" style="109" bestFit="1" customWidth="1"/>
    <col min="14339" max="14339" width="13" style="109" customWidth="1"/>
    <col min="14340" max="14340" width="3.42578125" style="109" customWidth="1"/>
    <col min="14341" max="14341" width="9.140625" style="109" customWidth="1"/>
    <col min="14342" max="14346" width="10.5703125" style="109" bestFit="1" customWidth="1"/>
    <col min="14347" max="14347" width="11.28515625" style="109" customWidth="1"/>
    <col min="14348" max="14348" width="11" style="109" customWidth="1"/>
    <col min="14349" max="14349" width="11.140625" style="109" customWidth="1"/>
    <col min="14350" max="14593" width="9.140625" style="109"/>
    <col min="14594" max="14594" width="31.7109375" style="109" bestFit="1" customWidth="1"/>
    <col min="14595" max="14595" width="13" style="109" customWidth="1"/>
    <col min="14596" max="14596" width="3.42578125" style="109" customWidth="1"/>
    <col min="14597" max="14597" width="9.140625" style="109" customWidth="1"/>
    <col min="14598" max="14602" width="10.5703125" style="109" bestFit="1" customWidth="1"/>
    <col min="14603" max="14603" width="11.28515625" style="109" customWidth="1"/>
    <col min="14604" max="14604" width="11" style="109" customWidth="1"/>
    <col min="14605" max="14605" width="11.140625" style="109" customWidth="1"/>
    <col min="14606" max="14849" width="9.140625" style="109"/>
    <col min="14850" max="14850" width="31.7109375" style="109" bestFit="1" customWidth="1"/>
    <col min="14851" max="14851" width="13" style="109" customWidth="1"/>
    <col min="14852" max="14852" width="3.42578125" style="109" customWidth="1"/>
    <col min="14853" max="14853" width="9.140625" style="109" customWidth="1"/>
    <col min="14854" max="14858" width="10.5703125" style="109" bestFit="1" customWidth="1"/>
    <col min="14859" max="14859" width="11.28515625" style="109" customWidth="1"/>
    <col min="14860" max="14860" width="11" style="109" customWidth="1"/>
    <col min="14861" max="14861" width="11.140625" style="109" customWidth="1"/>
    <col min="14862" max="15105" width="9.140625" style="109"/>
    <col min="15106" max="15106" width="31.7109375" style="109" bestFit="1" customWidth="1"/>
    <col min="15107" max="15107" width="13" style="109" customWidth="1"/>
    <col min="15108" max="15108" width="3.42578125" style="109" customWidth="1"/>
    <col min="15109" max="15109" width="9.140625" style="109" customWidth="1"/>
    <col min="15110" max="15114" width="10.5703125" style="109" bestFit="1" customWidth="1"/>
    <col min="15115" max="15115" width="11.28515625" style="109" customWidth="1"/>
    <col min="15116" max="15116" width="11" style="109" customWidth="1"/>
    <col min="15117" max="15117" width="11.140625" style="109" customWidth="1"/>
    <col min="15118" max="15361" width="9.140625" style="109"/>
    <col min="15362" max="15362" width="31.7109375" style="109" bestFit="1" customWidth="1"/>
    <col min="15363" max="15363" width="13" style="109" customWidth="1"/>
    <col min="15364" max="15364" width="3.42578125" style="109" customWidth="1"/>
    <col min="15365" max="15365" width="9.140625" style="109" customWidth="1"/>
    <col min="15366" max="15370" width="10.5703125" style="109" bestFit="1" customWidth="1"/>
    <col min="15371" max="15371" width="11.28515625" style="109" customWidth="1"/>
    <col min="15372" max="15372" width="11" style="109" customWidth="1"/>
    <col min="15373" max="15373" width="11.140625" style="109" customWidth="1"/>
    <col min="15374" max="15617" width="9.140625" style="109"/>
    <col min="15618" max="15618" width="31.7109375" style="109" bestFit="1" customWidth="1"/>
    <col min="15619" max="15619" width="13" style="109" customWidth="1"/>
    <col min="15620" max="15620" width="3.42578125" style="109" customWidth="1"/>
    <col min="15621" max="15621" width="9.140625" style="109" customWidth="1"/>
    <col min="15622" max="15626" width="10.5703125" style="109" bestFit="1" customWidth="1"/>
    <col min="15627" max="15627" width="11.28515625" style="109" customWidth="1"/>
    <col min="15628" max="15628" width="11" style="109" customWidth="1"/>
    <col min="15629" max="15629" width="11.140625" style="109" customWidth="1"/>
    <col min="15630" max="15873" width="9.140625" style="109"/>
    <col min="15874" max="15874" width="31.7109375" style="109" bestFit="1" customWidth="1"/>
    <col min="15875" max="15875" width="13" style="109" customWidth="1"/>
    <col min="15876" max="15876" width="3.42578125" style="109" customWidth="1"/>
    <col min="15877" max="15877" width="9.140625" style="109" customWidth="1"/>
    <col min="15878" max="15882" width="10.5703125" style="109" bestFit="1" customWidth="1"/>
    <col min="15883" max="15883" width="11.28515625" style="109" customWidth="1"/>
    <col min="15884" max="15884" width="11" style="109" customWidth="1"/>
    <col min="15885" max="15885" width="11.140625" style="109" customWidth="1"/>
    <col min="15886" max="16129" width="9.140625" style="109"/>
    <col min="16130" max="16130" width="31.7109375" style="109" bestFit="1" customWidth="1"/>
    <col min="16131" max="16131" width="13" style="109" customWidth="1"/>
    <col min="16132" max="16132" width="3.42578125" style="109" customWidth="1"/>
    <col min="16133" max="16133" width="9.140625" style="109" customWidth="1"/>
    <col min="16134" max="16138" width="10.5703125" style="109" bestFit="1" customWidth="1"/>
    <col min="16139" max="16139" width="11.28515625" style="109" customWidth="1"/>
    <col min="16140" max="16140" width="11" style="109" customWidth="1"/>
    <col min="16141" max="16141" width="11.140625" style="109" customWidth="1"/>
    <col min="16142" max="16384" width="9.140625" style="109"/>
  </cols>
  <sheetData>
    <row r="2" spans="2:13">
      <c r="B2" s="109" t="s">
        <v>45</v>
      </c>
      <c r="C2" s="110">
        <v>50000</v>
      </c>
      <c r="I2" s="111"/>
    </row>
    <row r="3" spans="2:13">
      <c r="B3" s="109" t="s">
        <v>46</v>
      </c>
      <c r="C3" s="110">
        <v>20</v>
      </c>
    </row>
    <row r="4" spans="2:13">
      <c r="B4" s="109" t="s">
        <v>47</v>
      </c>
      <c r="C4" s="110">
        <f>12/1.5</f>
        <v>8</v>
      </c>
      <c r="E4" s="414" t="s">
        <v>3857</v>
      </c>
    </row>
    <row r="5" spans="2:13">
      <c r="B5" s="109" t="s">
        <v>48</v>
      </c>
      <c r="C5" s="110">
        <f>C2*C3</f>
        <v>1000000</v>
      </c>
    </row>
    <row r="6" spans="2:13">
      <c r="B6" s="109" t="s">
        <v>49</v>
      </c>
      <c r="C6" s="415">
        <f>C5*C4</f>
        <v>8000000</v>
      </c>
    </row>
    <row r="8" spans="2:13" ht="13.5" thickBot="1"/>
    <row r="9" spans="2:13" ht="13.5" thickBot="1">
      <c r="D9" s="112"/>
      <c r="E9" s="630" t="s">
        <v>50</v>
      </c>
      <c r="F9" s="631"/>
      <c r="G9" s="631"/>
      <c r="H9" s="631"/>
      <c r="I9" s="631"/>
      <c r="J9" s="631"/>
      <c r="K9" s="631"/>
      <c r="L9" s="631"/>
      <c r="M9" s="632"/>
    </row>
    <row r="10" spans="2:13" hidden="1">
      <c r="C10" s="113"/>
      <c r="D10" s="114"/>
      <c r="E10" s="115"/>
      <c r="F10" s="633" t="s">
        <v>51</v>
      </c>
      <c r="G10" s="633"/>
      <c r="H10" s="633"/>
      <c r="I10" s="633"/>
      <c r="J10" s="633"/>
      <c r="K10" s="633"/>
      <c r="L10" s="633"/>
      <c r="M10" s="633"/>
    </row>
    <row r="11" spans="2:13" hidden="1">
      <c r="C11" s="113"/>
      <c r="D11" s="116"/>
      <c r="E11" s="117">
        <f>C6</f>
        <v>8000000</v>
      </c>
      <c r="F11" s="118">
        <v>15</v>
      </c>
      <c r="G11" s="118">
        <f t="shared" ref="G11:M11" si="0">F11+5</f>
        <v>20</v>
      </c>
      <c r="H11" s="118">
        <f t="shared" si="0"/>
        <v>25</v>
      </c>
      <c r="I11" s="118">
        <f t="shared" si="0"/>
        <v>30</v>
      </c>
      <c r="J11" s="118">
        <f t="shared" si="0"/>
        <v>35</v>
      </c>
      <c r="K11" s="118">
        <f t="shared" si="0"/>
        <v>40</v>
      </c>
      <c r="L11" s="118">
        <f t="shared" si="0"/>
        <v>45</v>
      </c>
      <c r="M11" s="118">
        <f t="shared" si="0"/>
        <v>50</v>
      </c>
    </row>
    <row r="12" spans="2:13" hidden="1">
      <c r="C12" s="113"/>
      <c r="D12" s="634" t="s">
        <v>52</v>
      </c>
      <c r="E12" s="119">
        <v>600</v>
      </c>
      <c r="F12" s="120">
        <f t="dataTable" ref="F12:M20" dt2D="1" dtr="0" r1="C3" r2="C2" ca="1"/>
        <v>72000</v>
      </c>
      <c r="G12" s="110">
        <v>96000</v>
      </c>
      <c r="H12" s="110">
        <v>120000</v>
      </c>
      <c r="I12" s="110">
        <v>144000</v>
      </c>
      <c r="J12" s="110">
        <v>168000</v>
      </c>
      <c r="K12" s="110">
        <v>192000</v>
      </c>
      <c r="L12" s="109">
        <v>216000</v>
      </c>
      <c r="M12" s="109">
        <v>240000</v>
      </c>
    </row>
    <row r="13" spans="2:13" hidden="1">
      <c r="C13" s="113"/>
      <c r="D13" s="634"/>
      <c r="E13" s="119">
        <f>E12+50</f>
        <v>650</v>
      </c>
      <c r="F13" s="110">
        <v>78000</v>
      </c>
      <c r="G13" s="110">
        <v>104000</v>
      </c>
      <c r="H13" s="110">
        <v>130000</v>
      </c>
      <c r="I13" s="110">
        <v>156000</v>
      </c>
      <c r="J13" s="110">
        <v>182000</v>
      </c>
      <c r="K13" s="110">
        <v>208000</v>
      </c>
      <c r="L13" s="109">
        <v>234000</v>
      </c>
      <c r="M13" s="109">
        <v>260000</v>
      </c>
    </row>
    <row r="14" spans="2:13" hidden="1">
      <c r="C14" s="113"/>
      <c r="D14" s="634"/>
      <c r="E14" s="119">
        <f t="shared" ref="E14:E20" si="1">E13+50</f>
        <v>700</v>
      </c>
      <c r="F14" s="110">
        <v>84000</v>
      </c>
      <c r="G14" s="110">
        <v>112000</v>
      </c>
      <c r="H14" s="110">
        <v>140000</v>
      </c>
      <c r="I14" s="110">
        <v>168000</v>
      </c>
      <c r="J14" s="110">
        <v>196000</v>
      </c>
      <c r="K14" s="110">
        <v>224000</v>
      </c>
      <c r="L14" s="109">
        <v>252000</v>
      </c>
      <c r="M14" s="109">
        <v>280000</v>
      </c>
    </row>
    <row r="15" spans="2:13" hidden="1">
      <c r="C15" s="113"/>
      <c r="D15" s="634"/>
      <c r="E15" s="119">
        <f t="shared" si="1"/>
        <v>750</v>
      </c>
      <c r="F15" s="110">
        <v>90000</v>
      </c>
      <c r="G15" s="110">
        <v>120000</v>
      </c>
      <c r="H15" s="121">
        <v>150000</v>
      </c>
      <c r="I15" s="121">
        <v>180000</v>
      </c>
      <c r="J15" s="110">
        <v>210000</v>
      </c>
      <c r="K15" s="110">
        <v>240000</v>
      </c>
      <c r="L15" s="109">
        <v>270000</v>
      </c>
      <c r="M15" s="109">
        <v>300000</v>
      </c>
    </row>
    <row r="16" spans="2:13" hidden="1">
      <c r="C16" s="113"/>
      <c r="D16" s="634"/>
      <c r="E16" s="119">
        <f t="shared" si="1"/>
        <v>800</v>
      </c>
      <c r="F16" s="110">
        <v>96000</v>
      </c>
      <c r="G16" s="110">
        <v>128000</v>
      </c>
      <c r="H16" s="121">
        <v>160000</v>
      </c>
      <c r="I16" s="122">
        <v>192000</v>
      </c>
      <c r="J16" s="110">
        <v>224000</v>
      </c>
      <c r="K16" s="110">
        <v>256000</v>
      </c>
      <c r="L16" s="109">
        <v>288000</v>
      </c>
      <c r="M16" s="109">
        <v>320000</v>
      </c>
    </row>
    <row r="17" spans="3:13" hidden="1">
      <c r="C17" s="113"/>
      <c r="D17" s="634"/>
      <c r="E17" s="119">
        <f t="shared" si="1"/>
        <v>850</v>
      </c>
      <c r="F17" s="110">
        <v>102000</v>
      </c>
      <c r="G17" s="110">
        <v>136000</v>
      </c>
      <c r="H17" s="121">
        <v>170000</v>
      </c>
      <c r="I17" s="121">
        <v>204000</v>
      </c>
      <c r="J17" s="110">
        <v>238000</v>
      </c>
      <c r="K17" s="110">
        <v>272000</v>
      </c>
      <c r="L17" s="109">
        <v>306000</v>
      </c>
      <c r="M17" s="109">
        <v>340000</v>
      </c>
    </row>
    <row r="18" spans="3:13" hidden="1">
      <c r="C18" s="113"/>
      <c r="D18" s="634"/>
      <c r="E18" s="119">
        <f t="shared" si="1"/>
        <v>900</v>
      </c>
      <c r="F18" s="110">
        <v>108000</v>
      </c>
      <c r="G18" s="110">
        <v>144000</v>
      </c>
      <c r="H18" s="110">
        <v>180000</v>
      </c>
      <c r="I18" s="110">
        <v>216000</v>
      </c>
      <c r="J18" s="110">
        <v>252000</v>
      </c>
      <c r="K18" s="110">
        <v>288000</v>
      </c>
      <c r="L18" s="109">
        <v>324000</v>
      </c>
      <c r="M18" s="109">
        <v>360000</v>
      </c>
    </row>
    <row r="19" spans="3:13" hidden="1">
      <c r="C19" s="113"/>
      <c r="D19" s="634"/>
      <c r="E19" s="119">
        <f t="shared" si="1"/>
        <v>950</v>
      </c>
      <c r="F19" s="110">
        <v>114000</v>
      </c>
      <c r="G19" s="110">
        <v>152000</v>
      </c>
      <c r="H19" s="110">
        <v>190000</v>
      </c>
      <c r="I19" s="110">
        <v>228000</v>
      </c>
      <c r="J19" s="110">
        <v>266000</v>
      </c>
      <c r="K19" s="110">
        <v>304000</v>
      </c>
      <c r="L19" s="109">
        <v>342000</v>
      </c>
      <c r="M19" s="109">
        <v>380000</v>
      </c>
    </row>
    <row r="20" spans="3:13" hidden="1">
      <c r="C20" s="113"/>
      <c r="D20" s="634"/>
      <c r="E20" s="119">
        <f t="shared" si="1"/>
        <v>1000</v>
      </c>
      <c r="F20" s="110">
        <v>120000</v>
      </c>
      <c r="G20" s="110">
        <v>160000</v>
      </c>
      <c r="H20" s="110">
        <v>200000</v>
      </c>
      <c r="I20" s="110">
        <v>240000</v>
      </c>
      <c r="J20" s="110">
        <v>280000</v>
      </c>
      <c r="K20" s="110">
        <v>320000</v>
      </c>
      <c r="L20" s="109">
        <v>360000</v>
      </c>
      <c r="M20" s="123">
        <v>400000</v>
      </c>
    </row>
    <row r="23" spans="3:13" ht="15" customHeight="1">
      <c r="D23" s="239"/>
      <c r="E23" s="240"/>
      <c r="F23" s="635" t="s">
        <v>51</v>
      </c>
      <c r="G23" s="635"/>
      <c r="H23" s="635"/>
      <c r="I23" s="635"/>
      <c r="J23" s="635"/>
      <c r="K23" s="635"/>
      <c r="L23" s="635"/>
      <c r="M23" s="635"/>
    </row>
    <row r="24" spans="3:13">
      <c r="D24" s="241"/>
      <c r="E24" s="411">
        <f>C5</f>
        <v>1000000</v>
      </c>
      <c r="F24" s="413">
        <v>7</v>
      </c>
      <c r="G24" s="416">
        <v>9</v>
      </c>
      <c r="H24" s="413">
        <v>10</v>
      </c>
      <c r="I24" s="413">
        <v>12</v>
      </c>
      <c r="J24" s="413">
        <v>14</v>
      </c>
      <c r="K24" s="413">
        <v>18</v>
      </c>
      <c r="L24" s="413">
        <v>20</v>
      </c>
      <c r="M24" s="413">
        <v>25</v>
      </c>
    </row>
    <row r="25" spans="3:13">
      <c r="D25" s="636" t="s">
        <v>52</v>
      </c>
      <c r="E25" s="242">
        <v>20000</v>
      </c>
      <c r="F25" s="371">
        <f t="dataTable" ref="F25:M33" dt2D="1" dtr="1" r1="C3" r2="C2"/>
        <v>140000</v>
      </c>
      <c r="G25" s="371">
        <v>180000</v>
      </c>
      <c r="H25" s="371">
        <v>200000</v>
      </c>
      <c r="I25" s="371">
        <v>240000</v>
      </c>
      <c r="J25" s="371">
        <v>280000</v>
      </c>
      <c r="K25" s="371">
        <v>360000</v>
      </c>
      <c r="L25" s="371">
        <v>400000</v>
      </c>
      <c r="M25" s="371">
        <v>500000</v>
      </c>
    </row>
    <row r="26" spans="3:13">
      <c r="D26" s="636"/>
      <c r="E26" s="242">
        <v>25000</v>
      </c>
      <c r="F26" s="371">
        <v>175000</v>
      </c>
      <c r="G26" s="371">
        <v>225000</v>
      </c>
      <c r="H26" s="371">
        <v>250000</v>
      </c>
      <c r="I26" s="371">
        <v>300000</v>
      </c>
      <c r="J26" s="371">
        <v>350000</v>
      </c>
      <c r="K26" s="371">
        <v>450000</v>
      </c>
      <c r="L26" s="371">
        <v>500000</v>
      </c>
      <c r="M26" s="371">
        <v>625000</v>
      </c>
    </row>
    <row r="27" spans="3:13">
      <c r="D27" s="636"/>
      <c r="E27" s="242">
        <v>30000</v>
      </c>
      <c r="F27" s="371">
        <v>210000</v>
      </c>
      <c r="G27" s="371">
        <v>270000</v>
      </c>
      <c r="H27" s="371">
        <v>300000</v>
      </c>
      <c r="I27" s="371">
        <v>360000</v>
      </c>
      <c r="J27" s="371">
        <v>420000</v>
      </c>
      <c r="K27" s="371">
        <v>540000</v>
      </c>
      <c r="L27" s="371">
        <v>600000</v>
      </c>
      <c r="M27" s="371">
        <v>750000</v>
      </c>
    </row>
    <row r="28" spans="3:13">
      <c r="D28" s="636"/>
      <c r="E28" s="242">
        <v>33000</v>
      </c>
      <c r="F28" s="371">
        <v>231000</v>
      </c>
      <c r="G28" s="371">
        <v>297000</v>
      </c>
      <c r="H28" s="371">
        <v>330000</v>
      </c>
      <c r="I28" s="371">
        <v>396000</v>
      </c>
      <c r="J28" s="371">
        <v>462000</v>
      </c>
      <c r="K28" s="371">
        <v>594000</v>
      </c>
      <c r="L28" s="371">
        <v>660000</v>
      </c>
      <c r="M28" s="371">
        <v>825000</v>
      </c>
    </row>
    <row r="29" spans="3:13">
      <c r="D29" s="636"/>
      <c r="E29" s="412">
        <v>35000</v>
      </c>
      <c r="F29" s="371">
        <v>245000</v>
      </c>
      <c r="G29" s="371">
        <v>315000</v>
      </c>
      <c r="H29" s="371">
        <v>350000</v>
      </c>
      <c r="I29" s="371">
        <v>420000</v>
      </c>
      <c r="J29" s="371">
        <v>490000</v>
      </c>
      <c r="K29" s="371">
        <v>630000</v>
      </c>
      <c r="L29" s="371">
        <v>700000</v>
      </c>
      <c r="M29" s="371">
        <v>875000</v>
      </c>
    </row>
    <row r="30" spans="3:13">
      <c r="D30" s="636"/>
      <c r="E30" s="242">
        <v>38000</v>
      </c>
      <c r="F30" s="371">
        <v>266000</v>
      </c>
      <c r="G30" s="371">
        <v>342000</v>
      </c>
      <c r="H30" s="371">
        <v>380000</v>
      </c>
      <c r="I30" s="371">
        <v>456000</v>
      </c>
      <c r="J30" s="371">
        <v>532000</v>
      </c>
      <c r="K30" s="371">
        <v>684000</v>
      </c>
      <c r="L30" s="371">
        <v>760000</v>
      </c>
      <c r="M30" s="371">
        <v>950000</v>
      </c>
    </row>
    <row r="31" spans="3:13">
      <c r="D31" s="636"/>
      <c r="E31" s="242">
        <v>40000</v>
      </c>
      <c r="F31" s="371">
        <v>280000</v>
      </c>
      <c r="G31" s="371">
        <v>360000</v>
      </c>
      <c r="H31" s="371">
        <v>400000</v>
      </c>
      <c r="I31" s="371">
        <v>480000</v>
      </c>
      <c r="J31" s="371">
        <v>560000</v>
      </c>
      <c r="K31" s="371">
        <v>720000</v>
      </c>
      <c r="L31" s="371">
        <v>800000</v>
      </c>
      <c r="M31" s="371">
        <v>1000000</v>
      </c>
    </row>
    <row r="32" spans="3:13">
      <c r="D32" s="636"/>
      <c r="E32" s="242">
        <v>42000</v>
      </c>
      <c r="F32" s="371">
        <v>294000</v>
      </c>
      <c r="G32" s="371">
        <v>378000</v>
      </c>
      <c r="H32" s="371">
        <v>420000</v>
      </c>
      <c r="I32" s="371">
        <v>504000</v>
      </c>
      <c r="J32" s="371">
        <v>588000</v>
      </c>
      <c r="K32" s="371">
        <v>756000</v>
      </c>
      <c r="L32" s="371">
        <v>840000</v>
      </c>
      <c r="M32" s="371">
        <v>1050000</v>
      </c>
    </row>
    <row r="33" spans="4:13">
      <c r="D33" s="636"/>
      <c r="E33" s="242">
        <v>45000</v>
      </c>
      <c r="F33" s="371">
        <v>315000</v>
      </c>
      <c r="G33" s="371">
        <v>405000</v>
      </c>
      <c r="H33" s="371">
        <v>450000</v>
      </c>
      <c r="I33" s="371">
        <v>540000</v>
      </c>
      <c r="J33" s="371">
        <v>630000</v>
      </c>
      <c r="K33" s="371">
        <v>810000</v>
      </c>
      <c r="L33" s="371">
        <v>900000</v>
      </c>
      <c r="M33" s="371">
        <v>1125000</v>
      </c>
    </row>
  </sheetData>
  <mergeCells count="5">
    <mergeCell ref="E9:M9"/>
    <mergeCell ref="F10:M10"/>
    <mergeCell ref="D12:D20"/>
    <mergeCell ref="F23:M23"/>
    <mergeCell ref="D25:D33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tabColor theme="0" tint="-0.34998626667073579"/>
    <pageSetUpPr fitToPage="1"/>
  </sheetPr>
  <dimension ref="A1:H11"/>
  <sheetViews>
    <sheetView zoomScale="124" zoomScaleNormal="124" workbookViewId="0">
      <selection activeCell="B4" sqref="B4:H11"/>
    </sheetView>
  </sheetViews>
  <sheetFormatPr defaultRowHeight="15"/>
  <cols>
    <col min="1" max="1" width="54.7109375" bestFit="1" customWidth="1"/>
    <col min="2" max="2" width="7.28515625" bestFit="1" customWidth="1"/>
    <col min="3" max="3" width="8.42578125" bestFit="1" customWidth="1"/>
    <col min="4" max="7" width="7.28515625" bestFit="1" customWidth="1"/>
    <col min="8" max="8" width="6.28515625" bestFit="1" customWidth="1"/>
    <col min="257" max="257" width="54.7109375" bestFit="1" customWidth="1"/>
    <col min="258" max="263" width="7.28515625" bestFit="1" customWidth="1"/>
    <col min="264" max="264" width="6.28515625" bestFit="1" customWidth="1"/>
    <col min="513" max="513" width="54.7109375" bestFit="1" customWidth="1"/>
    <col min="514" max="519" width="7.28515625" bestFit="1" customWidth="1"/>
    <col min="520" max="520" width="6.28515625" bestFit="1" customWidth="1"/>
    <col min="769" max="769" width="54.7109375" bestFit="1" customWidth="1"/>
    <col min="770" max="775" width="7.28515625" bestFit="1" customWidth="1"/>
    <col min="776" max="776" width="6.28515625" bestFit="1" customWidth="1"/>
    <col min="1025" max="1025" width="54.7109375" bestFit="1" customWidth="1"/>
    <col min="1026" max="1031" width="7.28515625" bestFit="1" customWidth="1"/>
    <col min="1032" max="1032" width="6.28515625" bestFit="1" customWidth="1"/>
    <col min="1281" max="1281" width="54.7109375" bestFit="1" customWidth="1"/>
    <col min="1282" max="1287" width="7.28515625" bestFit="1" customWidth="1"/>
    <col min="1288" max="1288" width="6.28515625" bestFit="1" customWidth="1"/>
    <col min="1537" max="1537" width="54.7109375" bestFit="1" customWidth="1"/>
    <col min="1538" max="1543" width="7.28515625" bestFit="1" customWidth="1"/>
    <col min="1544" max="1544" width="6.28515625" bestFit="1" customWidth="1"/>
    <col min="1793" max="1793" width="54.7109375" bestFit="1" customWidth="1"/>
    <col min="1794" max="1799" width="7.28515625" bestFit="1" customWidth="1"/>
    <col min="1800" max="1800" width="6.28515625" bestFit="1" customWidth="1"/>
    <col min="2049" max="2049" width="54.7109375" bestFit="1" customWidth="1"/>
    <col min="2050" max="2055" width="7.28515625" bestFit="1" customWidth="1"/>
    <col min="2056" max="2056" width="6.28515625" bestFit="1" customWidth="1"/>
    <col min="2305" max="2305" width="54.7109375" bestFit="1" customWidth="1"/>
    <col min="2306" max="2311" width="7.28515625" bestFit="1" customWidth="1"/>
    <col min="2312" max="2312" width="6.28515625" bestFit="1" customWidth="1"/>
    <col min="2561" max="2561" width="54.7109375" bestFit="1" customWidth="1"/>
    <col min="2562" max="2567" width="7.28515625" bestFit="1" customWidth="1"/>
    <col min="2568" max="2568" width="6.28515625" bestFit="1" customWidth="1"/>
    <col min="2817" max="2817" width="54.7109375" bestFit="1" customWidth="1"/>
    <col min="2818" max="2823" width="7.28515625" bestFit="1" customWidth="1"/>
    <col min="2824" max="2824" width="6.28515625" bestFit="1" customWidth="1"/>
    <col min="3073" max="3073" width="54.7109375" bestFit="1" customWidth="1"/>
    <col min="3074" max="3079" width="7.28515625" bestFit="1" customWidth="1"/>
    <col min="3080" max="3080" width="6.28515625" bestFit="1" customWidth="1"/>
    <col min="3329" max="3329" width="54.7109375" bestFit="1" customWidth="1"/>
    <col min="3330" max="3335" width="7.28515625" bestFit="1" customWidth="1"/>
    <col min="3336" max="3336" width="6.28515625" bestFit="1" customWidth="1"/>
    <col min="3585" max="3585" width="54.7109375" bestFit="1" customWidth="1"/>
    <col min="3586" max="3591" width="7.28515625" bestFit="1" customWidth="1"/>
    <col min="3592" max="3592" width="6.28515625" bestFit="1" customWidth="1"/>
    <col min="3841" max="3841" width="54.7109375" bestFit="1" customWidth="1"/>
    <col min="3842" max="3847" width="7.28515625" bestFit="1" customWidth="1"/>
    <col min="3848" max="3848" width="6.28515625" bestFit="1" customWidth="1"/>
    <col min="4097" max="4097" width="54.7109375" bestFit="1" customWidth="1"/>
    <col min="4098" max="4103" width="7.28515625" bestFit="1" customWidth="1"/>
    <col min="4104" max="4104" width="6.28515625" bestFit="1" customWidth="1"/>
    <col min="4353" max="4353" width="54.7109375" bestFit="1" customWidth="1"/>
    <col min="4354" max="4359" width="7.28515625" bestFit="1" customWidth="1"/>
    <col min="4360" max="4360" width="6.28515625" bestFit="1" customWidth="1"/>
    <col min="4609" max="4609" width="54.7109375" bestFit="1" customWidth="1"/>
    <col min="4610" max="4615" width="7.28515625" bestFit="1" customWidth="1"/>
    <col min="4616" max="4616" width="6.28515625" bestFit="1" customWidth="1"/>
    <col min="4865" max="4865" width="54.7109375" bestFit="1" customWidth="1"/>
    <col min="4866" max="4871" width="7.28515625" bestFit="1" customWidth="1"/>
    <col min="4872" max="4872" width="6.28515625" bestFit="1" customWidth="1"/>
    <col min="5121" max="5121" width="54.7109375" bestFit="1" customWidth="1"/>
    <col min="5122" max="5127" width="7.28515625" bestFit="1" customWidth="1"/>
    <col min="5128" max="5128" width="6.28515625" bestFit="1" customWidth="1"/>
    <col min="5377" max="5377" width="54.7109375" bestFit="1" customWidth="1"/>
    <col min="5378" max="5383" width="7.28515625" bestFit="1" customWidth="1"/>
    <col min="5384" max="5384" width="6.28515625" bestFit="1" customWidth="1"/>
    <col min="5633" max="5633" width="54.7109375" bestFit="1" customWidth="1"/>
    <col min="5634" max="5639" width="7.28515625" bestFit="1" customWidth="1"/>
    <col min="5640" max="5640" width="6.28515625" bestFit="1" customWidth="1"/>
    <col min="5889" max="5889" width="54.7109375" bestFit="1" customWidth="1"/>
    <col min="5890" max="5895" width="7.28515625" bestFit="1" customWidth="1"/>
    <col min="5896" max="5896" width="6.28515625" bestFit="1" customWidth="1"/>
    <col min="6145" max="6145" width="54.7109375" bestFit="1" customWidth="1"/>
    <col min="6146" max="6151" width="7.28515625" bestFit="1" customWidth="1"/>
    <col min="6152" max="6152" width="6.28515625" bestFit="1" customWidth="1"/>
    <col min="6401" max="6401" width="54.7109375" bestFit="1" customWidth="1"/>
    <col min="6402" max="6407" width="7.28515625" bestFit="1" customWidth="1"/>
    <col min="6408" max="6408" width="6.28515625" bestFit="1" customWidth="1"/>
    <col min="6657" max="6657" width="54.7109375" bestFit="1" customWidth="1"/>
    <col min="6658" max="6663" width="7.28515625" bestFit="1" customWidth="1"/>
    <col min="6664" max="6664" width="6.28515625" bestFit="1" customWidth="1"/>
    <col min="6913" max="6913" width="54.7109375" bestFit="1" customWidth="1"/>
    <col min="6914" max="6919" width="7.28515625" bestFit="1" customWidth="1"/>
    <col min="6920" max="6920" width="6.28515625" bestFit="1" customWidth="1"/>
    <col min="7169" max="7169" width="54.7109375" bestFit="1" customWidth="1"/>
    <col min="7170" max="7175" width="7.28515625" bestFit="1" customWidth="1"/>
    <col min="7176" max="7176" width="6.28515625" bestFit="1" customWidth="1"/>
    <col min="7425" max="7425" width="54.7109375" bestFit="1" customWidth="1"/>
    <col min="7426" max="7431" width="7.28515625" bestFit="1" customWidth="1"/>
    <col min="7432" max="7432" width="6.28515625" bestFit="1" customWidth="1"/>
    <col min="7681" max="7681" width="54.7109375" bestFit="1" customWidth="1"/>
    <col min="7682" max="7687" width="7.28515625" bestFit="1" customWidth="1"/>
    <col min="7688" max="7688" width="6.28515625" bestFit="1" customWidth="1"/>
    <col min="7937" max="7937" width="54.7109375" bestFit="1" customWidth="1"/>
    <col min="7938" max="7943" width="7.28515625" bestFit="1" customWidth="1"/>
    <col min="7944" max="7944" width="6.28515625" bestFit="1" customWidth="1"/>
    <col min="8193" max="8193" width="54.7109375" bestFit="1" customWidth="1"/>
    <col min="8194" max="8199" width="7.28515625" bestFit="1" customWidth="1"/>
    <col min="8200" max="8200" width="6.28515625" bestFit="1" customWidth="1"/>
    <col min="8449" max="8449" width="54.7109375" bestFit="1" customWidth="1"/>
    <col min="8450" max="8455" width="7.28515625" bestFit="1" customWidth="1"/>
    <col min="8456" max="8456" width="6.28515625" bestFit="1" customWidth="1"/>
    <col min="8705" max="8705" width="54.7109375" bestFit="1" customWidth="1"/>
    <col min="8706" max="8711" width="7.28515625" bestFit="1" customWidth="1"/>
    <col min="8712" max="8712" width="6.28515625" bestFit="1" customWidth="1"/>
    <col min="8961" max="8961" width="54.7109375" bestFit="1" customWidth="1"/>
    <col min="8962" max="8967" width="7.28515625" bestFit="1" customWidth="1"/>
    <col min="8968" max="8968" width="6.28515625" bestFit="1" customWidth="1"/>
    <col min="9217" max="9217" width="54.7109375" bestFit="1" customWidth="1"/>
    <col min="9218" max="9223" width="7.28515625" bestFit="1" customWidth="1"/>
    <col min="9224" max="9224" width="6.28515625" bestFit="1" customWidth="1"/>
    <col min="9473" max="9473" width="54.7109375" bestFit="1" customWidth="1"/>
    <col min="9474" max="9479" width="7.28515625" bestFit="1" customWidth="1"/>
    <col min="9480" max="9480" width="6.28515625" bestFit="1" customWidth="1"/>
    <col min="9729" max="9729" width="54.7109375" bestFit="1" customWidth="1"/>
    <col min="9730" max="9735" width="7.28515625" bestFit="1" customWidth="1"/>
    <col min="9736" max="9736" width="6.28515625" bestFit="1" customWidth="1"/>
    <col min="9985" max="9985" width="54.7109375" bestFit="1" customWidth="1"/>
    <col min="9986" max="9991" width="7.28515625" bestFit="1" customWidth="1"/>
    <col min="9992" max="9992" width="6.28515625" bestFit="1" customWidth="1"/>
    <col min="10241" max="10241" width="54.7109375" bestFit="1" customWidth="1"/>
    <col min="10242" max="10247" width="7.28515625" bestFit="1" customWidth="1"/>
    <col min="10248" max="10248" width="6.28515625" bestFit="1" customWidth="1"/>
    <col min="10497" max="10497" width="54.7109375" bestFit="1" customWidth="1"/>
    <col min="10498" max="10503" width="7.28515625" bestFit="1" customWidth="1"/>
    <col min="10504" max="10504" width="6.28515625" bestFit="1" customWidth="1"/>
    <col min="10753" max="10753" width="54.7109375" bestFit="1" customWidth="1"/>
    <col min="10754" max="10759" width="7.28515625" bestFit="1" customWidth="1"/>
    <col min="10760" max="10760" width="6.28515625" bestFit="1" customWidth="1"/>
    <col min="11009" max="11009" width="54.7109375" bestFit="1" customWidth="1"/>
    <col min="11010" max="11015" width="7.28515625" bestFit="1" customWidth="1"/>
    <col min="11016" max="11016" width="6.28515625" bestFit="1" customWidth="1"/>
    <col min="11265" max="11265" width="54.7109375" bestFit="1" customWidth="1"/>
    <col min="11266" max="11271" width="7.28515625" bestFit="1" customWidth="1"/>
    <col min="11272" max="11272" width="6.28515625" bestFit="1" customWidth="1"/>
    <col min="11521" max="11521" width="54.7109375" bestFit="1" customWidth="1"/>
    <col min="11522" max="11527" width="7.28515625" bestFit="1" customWidth="1"/>
    <col min="11528" max="11528" width="6.28515625" bestFit="1" customWidth="1"/>
    <col min="11777" max="11777" width="54.7109375" bestFit="1" customWidth="1"/>
    <col min="11778" max="11783" width="7.28515625" bestFit="1" customWidth="1"/>
    <col min="11784" max="11784" width="6.28515625" bestFit="1" customWidth="1"/>
    <col min="12033" max="12033" width="54.7109375" bestFit="1" customWidth="1"/>
    <col min="12034" max="12039" width="7.28515625" bestFit="1" customWidth="1"/>
    <col min="12040" max="12040" width="6.28515625" bestFit="1" customWidth="1"/>
    <col min="12289" max="12289" width="54.7109375" bestFit="1" customWidth="1"/>
    <col min="12290" max="12295" width="7.28515625" bestFit="1" customWidth="1"/>
    <col min="12296" max="12296" width="6.28515625" bestFit="1" customWidth="1"/>
    <col min="12545" max="12545" width="54.7109375" bestFit="1" customWidth="1"/>
    <col min="12546" max="12551" width="7.28515625" bestFit="1" customWidth="1"/>
    <col min="12552" max="12552" width="6.28515625" bestFit="1" customWidth="1"/>
    <col min="12801" max="12801" width="54.7109375" bestFit="1" customWidth="1"/>
    <col min="12802" max="12807" width="7.28515625" bestFit="1" customWidth="1"/>
    <col min="12808" max="12808" width="6.28515625" bestFit="1" customWidth="1"/>
    <col min="13057" max="13057" width="54.7109375" bestFit="1" customWidth="1"/>
    <col min="13058" max="13063" width="7.28515625" bestFit="1" customWidth="1"/>
    <col min="13064" max="13064" width="6.28515625" bestFit="1" customWidth="1"/>
    <col min="13313" max="13313" width="54.7109375" bestFit="1" customWidth="1"/>
    <col min="13314" max="13319" width="7.28515625" bestFit="1" customWidth="1"/>
    <col min="13320" max="13320" width="6.28515625" bestFit="1" customWidth="1"/>
    <col min="13569" max="13569" width="54.7109375" bestFit="1" customWidth="1"/>
    <col min="13570" max="13575" width="7.28515625" bestFit="1" customWidth="1"/>
    <col min="13576" max="13576" width="6.28515625" bestFit="1" customWidth="1"/>
    <col min="13825" max="13825" width="54.7109375" bestFit="1" customWidth="1"/>
    <col min="13826" max="13831" width="7.28515625" bestFit="1" customWidth="1"/>
    <col min="13832" max="13832" width="6.28515625" bestFit="1" customWidth="1"/>
    <col min="14081" max="14081" width="54.7109375" bestFit="1" customWidth="1"/>
    <col min="14082" max="14087" width="7.28515625" bestFit="1" customWidth="1"/>
    <col min="14088" max="14088" width="6.28515625" bestFit="1" customWidth="1"/>
    <col min="14337" max="14337" width="54.7109375" bestFit="1" customWidth="1"/>
    <col min="14338" max="14343" width="7.28515625" bestFit="1" customWidth="1"/>
    <col min="14344" max="14344" width="6.28515625" bestFit="1" customWidth="1"/>
    <col min="14593" max="14593" width="54.7109375" bestFit="1" customWidth="1"/>
    <col min="14594" max="14599" width="7.28515625" bestFit="1" customWidth="1"/>
    <col min="14600" max="14600" width="6.28515625" bestFit="1" customWidth="1"/>
    <col min="14849" max="14849" width="54.7109375" bestFit="1" customWidth="1"/>
    <col min="14850" max="14855" width="7.28515625" bestFit="1" customWidth="1"/>
    <col min="14856" max="14856" width="6.28515625" bestFit="1" customWidth="1"/>
    <col min="15105" max="15105" width="54.7109375" bestFit="1" customWidth="1"/>
    <col min="15106" max="15111" width="7.28515625" bestFit="1" customWidth="1"/>
    <col min="15112" max="15112" width="6.28515625" bestFit="1" customWidth="1"/>
    <col min="15361" max="15361" width="54.7109375" bestFit="1" customWidth="1"/>
    <col min="15362" max="15367" width="7.28515625" bestFit="1" customWidth="1"/>
    <col min="15368" max="15368" width="6.28515625" bestFit="1" customWidth="1"/>
    <col min="15617" max="15617" width="54.7109375" bestFit="1" customWidth="1"/>
    <col min="15618" max="15623" width="7.28515625" bestFit="1" customWidth="1"/>
    <col min="15624" max="15624" width="6.28515625" bestFit="1" customWidth="1"/>
    <col min="15873" max="15873" width="54.7109375" bestFit="1" customWidth="1"/>
    <col min="15874" max="15879" width="7.28515625" bestFit="1" customWidth="1"/>
    <col min="15880" max="15880" width="6.28515625" bestFit="1" customWidth="1"/>
    <col min="16129" max="16129" width="54.7109375" bestFit="1" customWidth="1"/>
    <col min="16130" max="16135" width="7.28515625" bestFit="1" customWidth="1"/>
    <col min="16136" max="16136" width="6.28515625" bestFit="1" customWidth="1"/>
  </cols>
  <sheetData>
    <row r="1" spans="1:8">
      <c r="A1" s="287"/>
    </row>
    <row r="4" spans="1:8" s="289" customFormat="1">
      <c r="A4" s="288" t="s">
        <v>75</v>
      </c>
      <c r="B4" s="288">
        <v>2011</v>
      </c>
      <c r="C4" s="288">
        <v>2010</v>
      </c>
      <c r="D4" s="288">
        <v>2009</v>
      </c>
      <c r="E4" s="288">
        <v>2008</v>
      </c>
      <c r="F4" s="288">
        <v>2007</v>
      </c>
      <c r="G4" s="288">
        <v>2006</v>
      </c>
      <c r="H4" s="409">
        <v>2005</v>
      </c>
    </row>
    <row r="5" spans="1:8">
      <c r="A5" t="s">
        <v>76</v>
      </c>
      <c r="B5" s="290">
        <v>613.29999999999995</v>
      </c>
      <c r="C5" s="290">
        <v>538.9</v>
      </c>
      <c r="D5" s="290">
        <v>422.4</v>
      </c>
      <c r="E5" s="290">
        <v>329.7</v>
      </c>
      <c r="F5" s="290">
        <v>278.2</v>
      </c>
      <c r="G5" s="290">
        <v>209.7</v>
      </c>
      <c r="H5" s="290">
        <v>171</v>
      </c>
    </row>
    <row r="6" spans="1:8">
      <c r="A6" t="s">
        <v>77</v>
      </c>
      <c r="B6" s="290">
        <v>380.4</v>
      </c>
      <c r="C6" s="290">
        <v>309.10000000000002</v>
      </c>
      <c r="D6" s="290">
        <v>243.8</v>
      </c>
      <c r="E6" s="290">
        <v>197.1</v>
      </c>
      <c r="F6" s="290">
        <v>161.19999999999999</v>
      </c>
      <c r="G6" s="290">
        <v>133.1</v>
      </c>
      <c r="H6" s="290">
        <v>119</v>
      </c>
    </row>
    <row r="7" spans="1:8">
      <c r="A7" t="s">
        <v>78</v>
      </c>
      <c r="B7" s="290">
        <v>256.8</v>
      </c>
      <c r="C7" s="290">
        <v>209.8</v>
      </c>
      <c r="D7" s="290">
        <v>171.6</v>
      </c>
      <c r="E7" s="290">
        <v>141.69999999999999</v>
      </c>
      <c r="F7" s="290">
        <v>116.2</v>
      </c>
      <c r="G7" s="290">
        <v>96.8</v>
      </c>
      <c r="H7" s="290">
        <v>85.7</v>
      </c>
    </row>
    <row r="8" spans="1:8">
      <c r="A8" t="s">
        <v>79</v>
      </c>
      <c r="B8" s="290">
        <v>57</v>
      </c>
      <c r="C8" s="290">
        <v>45.4</v>
      </c>
      <c r="D8" s="290">
        <v>36.4</v>
      </c>
      <c r="E8" s="290">
        <v>28.5</v>
      </c>
      <c r="F8" s="290">
        <v>23.8</v>
      </c>
      <c r="G8" s="290">
        <v>14.3</v>
      </c>
      <c r="H8" s="290">
        <v>11.3</v>
      </c>
    </row>
    <row r="9" spans="1:8">
      <c r="A9" t="s">
        <v>80</v>
      </c>
      <c r="B9" s="290">
        <v>38.4</v>
      </c>
      <c r="C9" s="290">
        <v>30.7</v>
      </c>
      <c r="D9" s="290">
        <v>24.4</v>
      </c>
      <c r="E9" s="290">
        <v>19.7</v>
      </c>
      <c r="F9" s="290">
        <v>16.3</v>
      </c>
      <c r="G9" s="290">
        <v>8.9</v>
      </c>
      <c r="H9" s="290">
        <v>7.2</v>
      </c>
    </row>
    <row r="10" spans="1:8">
      <c r="A10" t="s">
        <v>81</v>
      </c>
      <c r="B10" s="290">
        <v>18.600000000000001</v>
      </c>
      <c r="C10" s="290">
        <v>14.8</v>
      </c>
      <c r="D10" s="290">
        <v>11.9</v>
      </c>
      <c r="E10" s="290">
        <v>8.9</v>
      </c>
      <c r="F10" s="290">
        <v>7.6</v>
      </c>
      <c r="G10" s="290">
        <v>5.4</v>
      </c>
      <c r="H10" s="290">
        <v>4.0999999999999996</v>
      </c>
    </row>
    <row r="11" spans="1:8">
      <c r="A11" t="s">
        <v>82</v>
      </c>
      <c r="B11" s="290">
        <v>0</v>
      </c>
      <c r="C11" s="290">
        <v>0</v>
      </c>
      <c r="D11" s="290">
        <v>0</v>
      </c>
      <c r="E11" s="290">
        <v>0</v>
      </c>
      <c r="F11" s="290">
        <v>0</v>
      </c>
      <c r="G11" s="290">
        <v>0</v>
      </c>
      <c r="H11" s="290">
        <v>0</v>
      </c>
    </row>
  </sheetData>
  <sortState xmlns:xlrd2="http://schemas.microsoft.com/office/spreadsheetml/2017/richdata2" columnSort="1" ref="B4:H11">
    <sortCondition descending="1" ref="B4:H4"/>
  </sortState>
  <printOptions headings="1" gridLines="1"/>
  <pageMargins left="0.7" right="0.7" top="0.75" bottom="0.75" header="0.3" footer="0.3"/>
  <pageSetup orientation="landscape" r:id="rId1"/>
  <headerFooter>
    <oddHeader>&amp;C&amp;A</oddHeader>
    <oddFooter>&amp;Z&amp;F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7EF9-F5FD-498B-8054-89AEEB38B9E0}">
  <sheetPr codeName="Sheet13">
    <tabColor theme="0" tint="-0.34998626667073579"/>
  </sheetPr>
  <dimension ref="A4:K27"/>
  <sheetViews>
    <sheetView showGridLines="0" zoomScaleNormal="100" workbookViewId="0">
      <selection activeCell="G5" sqref="G5:H24"/>
    </sheetView>
  </sheetViews>
  <sheetFormatPr defaultColWidth="9.140625" defaultRowHeight="12.75"/>
  <cols>
    <col min="1" max="2" width="21.85546875" style="1" customWidth="1"/>
    <col min="3" max="3" width="16" style="1" bestFit="1" customWidth="1"/>
    <col min="4" max="4" width="12.7109375" style="1" bestFit="1" customWidth="1"/>
    <col min="5" max="5" width="13.140625" style="1" bestFit="1" customWidth="1"/>
    <col min="6" max="6" width="13.42578125" style="1" bestFit="1" customWidth="1"/>
    <col min="7" max="10" width="9.140625" style="1"/>
    <col min="11" max="11" width="24.28515625" style="1" customWidth="1"/>
    <col min="12" max="16384" width="9.140625" style="1"/>
  </cols>
  <sheetData>
    <row r="4" spans="1:11" ht="15">
      <c r="A4" s="383" t="s">
        <v>3516</v>
      </c>
      <c r="B4" s="383" t="s">
        <v>3517</v>
      </c>
      <c r="C4" s="383" t="s">
        <v>3518</v>
      </c>
      <c r="D4" s="383" t="s">
        <v>3519</v>
      </c>
      <c r="E4" s="383" t="s">
        <v>3520</v>
      </c>
      <c r="F4" s="383" t="s">
        <v>3521</v>
      </c>
    </row>
    <row r="5" spans="1:11">
      <c r="A5" s="384" t="s">
        <v>3522</v>
      </c>
      <c r="B5" s="384">
        <v>4553</v>
      </c>
      <c r="C5" s="384" t="str">
        <f>LOWER(A5)</f>
        <v>ravi</v>
      </c>
      <c r="D5" s="384" t="str">
        <f>UPPER(C5)</f>
        <v>RAVI</v>
      </c>
      <c r="E5" s="384" t="str">
        <f>PROPER(A5)</f>
        <v>Ravi</v>
      </c>
      <c r="F5" s="384">
        <f>LEN(B5)</f>
        <v>4</v>
      </c>
      <c r="G5" s="1" t="str">
        <f>LEFT(A5,3)</f>
        <v>RAV</v>
      </c>
      <c r="H5" s="1" t="str">
        <f>RIGHT(A5,3)</f>
        <v>AVI</v>
      </c>
    </row>
    <row r="6" spans="1:11">
      <c r="A6" s="384" t="s">
        <v>3523</v>
      </c>
      <c r="B6" s="384">
        <v>356721</v>
      </c>
      <c r="C6" s="384" t="str">
        <f t="shared" ref="C6:C24" si="0">LOWER(A6)</f>
        <v>shiva</v>
      </c>
      <c r="D6" s="384" t="str">
        <f t="shared" ref="D6:D24" si="1">UPPER(C6)</f>
        <v>SHIVA</v>
      </c>
      <c r="E6" s="384" t="str">
        <f t="shared" ref="E6:E24" si="2">PROPER(A6)</f>
        <v>Shiva</v>
      </c>
      <c r="F6" s="384">
        <f t="shared" ref="F6:F24" si="3">LEN(B6)</f>
        <v>6</v>
      </c>
      <c r="G6" s="1" t="str">
        <f t="shared" ref="G6:G24" si="4">LEFT(A6,3)</f>
        <v>SHI</v>
      </c>
      <c r="H6" s="1" t="str">
        <f t="shared" ref="H6:H24" si="5">RIGHT(A6,3)</f>
        <v>IVA</v>
      </c>
    </row>
    <row r="7" spans="1:11">
      <c r="A7" s="384" t="s">
        <v>3524</v>
      </c>
      <c r="B7" s="384">
        <v>67123</v>
      </c>
      <c r="C7" s="384" t="str">
        <f t="shared" si="0"/>
        <v>mohit</v>
      </c>
      <c r="D7" s="384" t="str">
        <f t="shared" si="1"/>
        <v>MOHIT</v>
      </c>
      <c r="E7" s="384" t="str">
        <f t="shared" si="2"/>
        <v>Mohit</v>
      </c>
      <c r="F7" s="384">
        <f t="shared" si="3"/>
        <v>5</v>
      </c>
      <c r="G7" s="1" t="str">
        <f t="shared" si="4"/>
        <v>MOH</v>
      </c>
      <c r="H7" s="1" t="str">
        <f t="shared" si="5"/>
        <v>HIT</v>
      </c>
    </row>
    <row r="8" spans="1:11">
      <c r="A8" s="384" t="s">
        <v>3525</v>
      </c>
      <c r="B8" s="384">
        <v>22347</v>
      </c>
      <c r="C8" s="384" t="str">
        <f t="shared" si="0"/>
        <v>rupa</v>
      </c>
      <c r="D8" s="384" t="str">
        <f t="shared" si="1"/>
        <v>RUPA</v>
      </c>
      <c r="E8" s="384" t="str">
        <f t="shared" si="2"/>
        <v>Rupa</v>
      </c>
      <c r="F8" s="384">
        <f t="shared" si="3"/>
        <v>5</v>
      </c>
      <c r="G8" s="1" t="str">
        <f t="shared" si="4"/>
        <v>RUP</v>
      </c>
      <c r="H8" s="1" t="str">
        <f t="shared" si="5"/>
        <v>UPA</v>
      </c>
    </row>
    <row r="9" spans="1:11">
      <c r="A9" s="384" t="s">
        <v>3526</v>
      </c>
      <c r="B9" s="384">
        <v>54387</v>
      </c>
      <c r="C9" s="384" t="str">
        <f t="shared" si="0"/>
        <v>deepa</v>
      </c>
      <c r="D9" s="384" t="str">
        <f t="shared" si="1"/>
        <v>DEEPA</v>
      </c>
      <c r="E9" s="384" t="str">
        <f t="shared" si="2"/>
        <v>Deepa</v>
      </c>
      <c r="F9" s="384">
        <f t="shared" si="3"/>
        <v>5</v>
      </c>
      <c r="G9" s="1" t="str">
        <f t="shared" si="4"/>
        <v>DEE</v>
      </c>
      <c r="H9" s="1" t="str">
        <f t="shared" si="5"/>
        <v>EPA</v>
      </c>
      <c r="K9" s="410"/>
    </row>
    <row r="10" spans="1:11">
      <c r="A10" s="384" t="s">
        <v>3522</v>
      </c>
      <c r="B10" s="384">
        <v>13564</v>
      </c>
      <c r="C10" s="384" t="str">
        <f t="shared" si="0"/>
        <v>ravi</v>
      </c>
      <c r="D10" s="384" t="str">
        <f t="shared" si="1"/>
        <v>RAVI</v>
      </c>
      <c r="E10" s="384" t="str">
        <f t="shared" si="2"/>
        <v>Ravi</v>
      </c>
      <c r="F10" s="384">
        <f t="shared" si="3"/>
        <v>5</v>
      </c>
      <c r="G10" s="1" t="str">
        <f t="shared" si="4"/>
        <v>RAV</v>
      </c>
      <c r="H10" s="1" t="str">
        <f t="shared" si="5"/>
        <v>AVI</v>
      </c>
    </row>
    <row r="11" spans="1:11">
      <c r="A11" s="384" t="s">
        <v>3527</v>
      </c>
      <c r="B11" s="384">
        <v>24873</v>
      </c>
      <c r="C11" s="384" t="str">
        <f t="shared" si="0"/>
        <v>sharmin</v>
      </c>
      <c r="D11" s="384" t="str">
        <f t="shared" si="1"/>
        <v>SHARMIN</v>
      </c>
      <c r="E11" s="384" t="str">
        <f t="shared" si="2"/>
        <v>Sharmin</v>
      </c>
      <c r="F11" s="384">
        <f t="shared" si="3"/>
        <v>5</v>
      </c>
      <c r="G11" s="1" t="str">
        <f t="shared" si="4"/>
        <v>SHA</v>
      </c>
      <c r="H11" s="1" t="str">
        <f t="shared" si="5"/>
        <v>MIN</v>
      </c>
    </row>
    <row r="12" spans="1:11">
      <c r="A12" s="384" t="s">
        <v>3528</v>
      </c>
      <c r="B12" s="384">
        <v>19834</v>
      </c>
      <c r="C12" s="384" t="str">
        <f t="shared" si="0"/>
        <v>babu</v>
      </c>
      <c r="D12" s="384" t="str">
        <f t="shared" si="1"/>
        <v>BABU</v>
      </c>
      <c r="E12" s="384" t="str">
        <f t="shared" si="2"/>
        <v>Babu</v>
      </c>
      <c r="F12" s="384">
        <f t="shared" si="3"/>
        <v>5</v>
      </c>
      <c r="G12" s="1" t="str">
        <f t="shared" si="4"/>
        <v>BAB</v>
      </c>
      <c r="H12" s="1" t="str">
        <f t="shared" si="5"/>
        <v>ABU</v>
      </c>
    </row>
    <row r="13" spans="1:11">
      <c r="A13" s="384" t="s">
        <v>3529</v>
      </c>
      <c r="B13" s="384">
        <v>28743</v>
      </c>
      <c r="C13" s="384" t="str">
        <f t="shared" si="0"/>
        <v>jalal</v>
      </c>
      <c r="D13" s="384" t="str">
        <f t="shared" si="1"/>
        <v>JALAL</v>
      </c>
      <c r="E13" s="384" t="str">
        <f t="shared" si="2"/>
        <v>Jalal</v>
      </c>
      <c r="F13" s="384">
        <f t="shared" si="3"/>
        <v>5</v>
      </c>
      <c r="G13" s="1" t="str">
        <f t="shared" si="4"/>
        <v>JAL</v>
      </c>
      <c r="H13" s="1" t="str">
        <f t="shared" si="5"/>
        <v>LAL</v>
      </c>
    </row>
    <row r="14" spans="1:11">
      <c r="A14" s="384" t="s">
        <v>3522</v>
      </c>
      <c r="B14" s="384">
        <v>18643</v>
      </c>
      <c r="C14" s="384" t="str">
        <f t="shared" si="0"/>
        <v>ravi</v>
      </c>
      <c r="D14" s="384" t="str">
        <f t="shared" si="1"/>
        <v>RAVI</v>
      </c>
      <c r="E14" s="384" t="str">
        <f t="shared" si="2"/>
        <v>Ravi</v>
      </c>
      <c r="F14" s="384">
        <f t="shared" si="3"/>
        <v>5</v>
      </c>
      <c r="G14" s="1" t="str">
        <f t="shared" si="4"/>
        <v>RAV</v>
      </c>
      <c r="H14" s="1" t="str">
        <f t="shared" si="5"/>
        <v>AVI</v>
      </c>
    </row>
    <row r="15" spans="1:11">
      <c r="A15" s="384" t="s">
        <v>3530</v>
      </c>
      <c r="B15" s="384">
        <v>34576</v>
      </c>
      <c r="C15" s="384" t="str">
        <f t="shared" si="0"/>
        <v>mayank</v>
      </c>
      <c r="D15" s="384" t="str">
        <f t="shared" si="1"/>
        <v>MAYANK</v>
      </c>
      <c r="E15" s="384" t="str">
        <f t="shared" si="2"/>
        <v>Mayank</v>
      </c>
      <c r="F15" s="384">
        <f t="shared" si="3"/>
        <v>5</v>
      </c>
      <c r="G15" s="1" t="str">
        <f t="shared" si="4"/>
        <v>MAY</v>
      </c>
      <c r="H15" s="1" t="str">
        <f t="shared" si="5"/>
        <v>ANK</v>
      </c>
    </row>
    <row r="16" spans="1:11">
      <c r="A16" s="384" t="s">
        <v>3531</v>
      </c>
      <c r="B16" s="384">
        <v>76453</v>
      </c>
      <c r="C16" s="384" t="str">
        <f t="shared" si="0"/>
        <v>rahul</v>
      </c>
      <c r="D16" s="384" t="str">
        <f t="shared" si="1"/>
        <v>RAHUL</v>
      </c>
      <c r="E16" s="384" t="str">
        <f t="shared" si="2"/>
        <v>Rahul</v>
      </c>
      <c r="F16" s="384">
        <f t="shared" si="3"/>
        <v>5</v>
      </c>
      <c r="G16" s="1" t="str">
        <f t="shared" si="4"/>
        <v>RAH</v>
      </c>
      <c r="H16" s="1" t="str">
        <f t="shared" si="5"/>
        <v>HUL</v>
      </c>
    </row>
    <row r="17" spans="1:8">
      <c r="A17" s="384" t="s">
        <v>3532</v>
      </c>
      <c r="B17" s="384">
        <v>3652</v>
      </c>
      <c r="C17" s="384" t="str">
        <f t="shared" si="0"/>
        <v>sunil</v>
      </c>
      <c r="D17" s="384" t="str">
        <f t="shared" si="1"/>
        <v>SUNIL</v>
      </c>
      <c r="E17" s="384" t="str">
        <f t="shared" si="2"/>
        <v>Sunil</v>
      </c>
      <c r="F17" s="384">
        <f t="shared" si="3"/>
        <v>4</v>
      </c>
      <c r="G17" s="1" t="str">
        <f t="shared" si="4"/>
        <v>SUN</v>
      </c>
      <c r="H17" s="1" t="str">
        <f t="shared" si="5"/>
        <v>NIL</v>
      </c>
    </row>
    <row r="18" spans="1:8">
      <c r="A18" s="384" t="s">
        <v>3533</v>
      </c>
      <c r="B18" s="384">
        <v>57812</v>
      </c>
      <c r="C18" s="384" t="str">
        <f t="shared" si="0"/>
        <v>mehak</v>
      </c>
      <c r="D18" s="384" t="str">
        <f t="shared" si="1"/>
        <v>MEHAK</v>
      </c>
      <c r="E18" s="384" t="str">
        <f t="shared" si="2"/>
        <v>Mehak</v>
      </c>
      <c r="F18" s="384">
        <f t="shared" si="3"/>
        <v>5</v>
      </c>
      <c r="G18" s="1" t="str">
        <f t="shared" si="4"/>
        <v>MEH</v>
      </c>
      <c r="H18" s="1" t="str">
        <f t="shared" si="5"/>
        <v>HAK</v>
      </c>
    </row>
    <row r="19" spans="1:8">
      <c r="A19" s="384" t="s">
        <v>3534</v>
      </c>
      <c r="B19" s="384">
        <v>3434</v>
      </c>
      <c r="C19" s="384" t="str">
        <f t="shared" si="0"/>
        <v>sakshi</v>
      </c>
      <c r="D19" s="384" t="str">
        <f t="shared" si="1"/>
        <v>SAKSHI</v>
      </c>
      <c r="E19" s="384" t="str">
        <f t="shared" si="2"/>
        <v>Sakshi</v>
      </c>
      <c r="F19" s="384">
        <f t="shared" si="3"/>
        <v>4</v>
      </c>
      <c r="G19" s="1" t="str">
        <f t="shared" si="4"/>
        <v>SAK</v>
      </c>
      <c r="H19" s="1" t="str">
        <f t="shared" si="5"/>
        <v>SHI</v>
      </c>
    </row>
    <row r="20" spans="1:8">
      <c r="A20" s="384" t="s">
        <v>3535</v>
      </c>
      <c r="B20" s="384">
        <v>47621</v>
      </c>
      <c r="C20" s="384" t="str">
        <f t="shared" si="0"/>
        <v>sameer</v>
      </c>
      <c r="D20" s="384" t="str">
        <f t="shared" si="1"/>
        <v>SAMEER</v>
      </c>
      <c r="E20" s="384" t="str">
        <f t="shared" si="2"/>
        <v>Sameer</v>
      </c>
      <c r="F20" s="384">
        <f t="shared" si="3"/>
        <v>5</v>
      </c>
      <c r="G20" s="1" t="str">
        <f t="shared" si="4"/>
        <v>SAM</v>
      </c>
      <c r="H20" s="1" t="str">
        <f t="shared" si="5"/>
        <v>EER</v>
      </c>
    </row>
    <row r="21" spans="1:8">
      <c r="A21" s="384" t="s">
        <v>3536</v>
      </c>
      <c r="B21" s="384">
        <v>96432</v>
      </c>
      <c r="C21" s="384" t="str">
        <f t="shared" si="0"/>
        <v>virender</v>
      </c>
      <c r="D21" s="384" t="str">
        <f t="shared" si="1"/>
        <v>VIRENDER</v>
      </c>
      <c r="E21" s="384" t="str">
        <f t="shared" si="2"/>
        <v>Virender</v>
      </c>
      <c r="F21" s="384">
        <f t="shared" si="3"/>
        <v>5</v>
      </c>
      <c r="G21" s="1" t="str">
        <f t="shared" si="4"/>
        <v>VIR</v>
      </c>
      <c r="H21" s="1" t="str">
        <f t="shared" si="5"/>
        <v>DER</v>
      </c>
    </row>
    <row r="22" spans="1:8">
      <c r="A22" s="384" t="s">
        <v>3537</v>
      </c>
      <c r="B22" s="384">
        <v>86523</v>
      </c>
      <c r="C22" s="384" t="str">
        <f t="shared" si="0"/>
        <v>rohit</v>
      </c>
      <c r="D22" s="384" t="str">
        <f t="shared" si="1"/>
        <v>ROHIT</v>
      </c>
      <c r="E22" s="384" t="str">
        <f t="shared" si="2"/>
        <v>Rohit</v>
      </c>
      <c r="F22" s="384">
        <f t="shared" si="3"/>
        <v>5</v>
      </c>
      <c r="G22" s="1" t="str">
        <f t="shared" si="4"/>
        <v>ROH</v>
      </c>
      <c r="H22" s="1" t="str">
        <f t="shared" si="5"/>
        <v>HIT</v>
      </c>
    </row>
    <row r="23" spans="1:8">
      <c r="A23" s="384" t="s">
        <v>3522</v>
      </c>
      <c r="B23" s="384">
        <v>7534</v>
      </c>
      <c r="C23" s="384" t="str">
        <f t="shared" si="0"/>
        <v>ravi</v>
      </c>
      <c r="D23" s="384" t="str">
        <f t="shared" si="1"/>
        <v>RAVI</v>
      </c>
      <c r="E23" s="384" t="str">
        <f t="shared" si="2"/>
        <v>Ravi</v>
      </c>
      <c r="F23" s="384">
        <f t="shared" si="3"/>
        <v>4</v>
      </c>
      <c r="G23" s="1" t="str">
        <f t="shared" si="4"/>
        <v>RAV</v>
      </c>
      <c r="H23" s="1" t="str">
        <f t="shared" si="5"/>
        <v>AVI</v>
      </c>
    </row>
    <row r="24" spans="1:8">
      <c r="A24" s="384" t="s">
        <v>3538</v>
      </c>
      <c r="B24" s="384">
        <v>87631</v>
      </c>
      <c r="C24" s="384" t="str">
        <f t="shared" si="0"/>
        <v>deepak</v>
      </c>
      <c r="D24" s="384" t="str">
        <f t="shared" si="1"/>
        <v>DEEPAK</v>
      </c>
      <c r="E24" s="384" t="str">
        <f t="shared" si="2"/>
        <v>Deepak</v>
      </c>
      <c r="F24" s="384">
        <f t="shared" si="3"/>
        <v>5</v>
      </c>
      <c r="G24" s="1" t="str">
        <f t="shared" si="4"/>
        <v>DEE</v>
      </c>
      <c r="H24" s="1" t="str">
        <f t="shared" si="5"/>
        <v>PAK</v>
      </c>
    </row>
    <row r="27" spans="1:8" ht="13.5">
      <c r="A27" s="310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1977-AA4F-4D2E-A469-AE2296C67750}">
  <sheetPr codeName="Sheet14">
    <tabColor theme="0" tint="-0.34998626667073579"/>
  </sheetPr>
  <dimension ref="C4:O72"/>
  <sheetViews>
    <sheetView topLeftCell="B4" zoomScale="115" zoomScaleNormal="115" workbookViewId="0">
      <selection activeCell="F15" sqref="F15"/>
    </sheetView>
  </sheetViews>
  <sheetFormatPr defaultRowHeight="15"/>
  <cols>
    <col min="3" max="3" width="11.5703125" bestFit="1" customWidth="1"/>
    <col min="5" max="5" width="11.5703125" bestFit="1" customWidth="1"/>
    <col min="6" max="6" width="10.42578125" bestFit="1" customWidth="1"/>
    <col min="7" max="7" width="11.5703125" bestFit="1" customWidth="1"/>
    <col min="8" max="8" width="15.85546875" customWidth="1"/>
    <col min="9" max="9" width="14.5703125" customWidth="1"/>
    <col min="12" max="12" width="11.5703125" bestFit="1" customWidth="1"/>
    <col min="13" max="13" width="10.42578125" bestFit="1" customWidth="1"/>
    <col min="14" max="14" width="11.5703125" bestFit="1" customWidth="1"/>
    <col min="15" max="15" width="13.140625" bestFit="1" customWidth="1"/>
  </cols>
  <sheetData>
    <row r="4" spans="3:15">
      <c r="F4" t="s">
        <v>3862</v>
      </c>
      <c r="G4" t="s">
        <v>3863</v>
      </c>
    </row>
    <row r="6" spans="3:15">
      <c r="F6" t="s">
        <v>3859</v>
      </c>
      <c r="H6">
        <v>500000</v>
      </c>
    </row>
    <row r="7" spans="3:15">
      <c r="F7" t="s">
        <v>3860</v>
      </c>
      <c r="H7" s="188">
        <v>0.12</v>
      </c>
      <c r="I7">
        <v>21</v>
      </c>
    </row>
    <row r="8" spans="3:15" ht="15.75" thickBot="1">
      <c r="F8" t="s">
        <v>3864</v>
      </c>
      <c r="H8" s="418">
        <v>60</v>
      </c>
    </row>
    <row r="9" spans="3:15" ht="15.75" thickBot="1">
      <c r="C9" s="417">
        <f>PMT(H7/12,H8,-H6,0,1)</f>
        <v>11012.102814307807</v>
      </c>
      <c r="F9" s="419" t="s">
        <v>3858</v>
      </c>
      <c r="G9" s="420"/>
      <c r="H9" s="421">
        <f>PMT(H7/12,H8,-H6,0,0)</f>
        <v>11122.223842450885</v>
      </c>
    </row>
    <row r="11" spans="3:15">
      <c r="F11" t="s">
        <v>3869</v>
      </c>
      <c r="K11" t="s">
        <v>3868</v>
      </c>
    </row>
    <row r="12" spans="3:15" ht="45">
      <c r="D12" s="423" t="s">
        <v>3861</v>
      </c>
      <c r="E12" s="423" t="s">
        <v>3862</v>
      </c>
      <c r="F12" s="423" t="s">
        <v>3865</v>
      </c>
      <c r="G12" s="423" t="s">
        <v>3866</v>
      </c>
      <c r="H12" s="423" t="s">
        <v>3867</v>
      </c>
      <c r="K12" s="423" t="s">
        <v>3861</v>
      </c>
      <c r="L12" s="423" t="s">
        <v>3862</v>
      </c>
      <c r="M12" s="423" t="s">
        <v>3865</v>
      </c>
      <c r="N12" s="423" t="s">
        <v>3866</v>
      </c>
      <c r="O12" s="423" t="s">
        <v>3867</v>
      </c>
    </row>
    <row r="13" spans="3:15">
      <c r="D13" s="18">
        <v>1</v>
      </c>
      <c r="E13" s="422">
        <f>$H$9</f>
        <v>11122.223842450885</v>
      </c>
      <c r="F13" s="221">
        <f>H6*$H$7/12</f>
        <v>5000</v>
      </c>
      <c r="G13" s="424">
        <f>E13-F13</f>
        <v>6122.2238424508851</v>
      </c>
      <c r="H13" s="424">
        <f>H6-G13</f>
        <v>493877.77615754912</v>
      </c>
      <c r="K13" s="18">
        <f>1</f>
        <v>1</v>
      </c>
      <c r="L13" s="422">
        <f>$C$9</f>
        <v>11012.102814307807</v>
      </c>
      <c r="M13" s="18">
        <v>0</v>
      </c>
      <c r="N13" s="422">
        <f>L13</f>
        <v>11012.102814307807</v>
      </c>
      <c r="O13" s="422">
        <f>H6-N13</f>
        <v>488987.89718569221</v>
      </c>
    </row>
    <row r="14" spans="3:15">
      <c r="D14" s="18">
        <f>D13+1</f>
        <v>2</v>
      </c>
      <c r="E14" s="422">
        <f t="shared" ref="E14:E72" si="0">$H$9</f>
        <v>11122.223842450885</v>
      </c>
      <c r="F14" s="424">
        <f>H13*$H$7/12</f>
        <v>4938.7777615754912</v>
      </c>
      <c r="G14" s="424">
        <f>E14-F14</f>
        <v>6183.4460808753938</v>
      </c>
      <c r="H14" s="424">
        <f>H13-G14</f>
        <v>487694.33007667371</v>
      </c>
      <c r="K14" s="18">
        <f>K13+1</f>
        <v>2</v>
      </c>
      <c r="L14" s="422">
        <f t="shared" ref="L14:L72" si="1">$C$9</f>
        <v>11012.102814307807</v>
      </c>
      <c r="M14" s="422">
        <f>O13*$H$7/12</f>
        <v>4889.8789718569215</v>
      </c>
      <c r="N14" s="422">
        <f>L14-M14</f>
        <v>6122.223842450886</v>
      </c>
      <c r="O14" s="422">
        <f>O13-N14</f>
        <v>482865.67334324133</v>
      </c>
    </row>
    <row r="15" spans="3:15">
      <c r="D15" s="18">
        <f t="shared" ref="D15:D72" si="2">D14+1</f>
        <v>3</v>
      </c>
      <c r="E15" s="422">
        <f t="shared" si="0"/>
        <v>11122.223842450885</v>
      </c>
      <c r="F15" s="424">
        <f t="shared" ref="F15:F72" si="3">H14*$H$7/12</f>
        <v>4876.9433007667367</v>
      </c>
      <c r="G15" s="424">
        <f t="shared" ref="G15:G72" si="4">E15-F15</f>
        <v>6245.2805416841484</v>
      </c>
      <c r="H15" s="424">
        <f t="shared" ref="H15:H72" si="5">H14-G15</f>
        <v>481449.04953498958</v>
      </c>
      <c r="K15" s="18">
        <f t="shared" ref="K15:K72" si="6">K14+1</f>
        <v>3</v>
      </c>
      <c r="L15" s="422">
        <f t="shared" si="1"/>
        <v>11012.102814307807</v>
      </c>
      <c r="M15" s="422">
        <f t="shared" ref="M15:M72" si="7">O14*$H$7/12</f>
        <v>4828.6567334324127</v>
      </c>
      <c r="N15" s="422">
        <f t="shared" ref="N15:N72" si="8">L15-M15</f>
        <v>6183.4460808753947</v>
      </c>
      <c r="O15" s="422">
        <f t="shared" ref="O15:O72" si="9">O14-N15</f>
        <v>476682.22726236592</v>
      </c>
    </row>
    <row r="16" spans="3:15">
      <c r="D16" s="18">
        <f t="shared" si="2"/>
        <v>4</v>
      </c>
      <c r="E16" s="422">
        <f t="shared" si="0"/>
        <v>11122.223842450885</v>
      </c>
      <c r="F16" s="424">
        <f t="shared" si="3"/>
        <v>4814.4904953498954</v>
      </c>
      <c r="G16" s="424">
        <f t="shared" si="4"/>
        <v>6307.7333471009897</v>
      </c>
      <c r="H16" s="424">
        <f t="shared" si="5"/>
        <v>475141.31618788862</v>
      </c>
      <c r="K16" s="18">
        <f t="shared" si="6"/>
        <v>4</v>
      </c>
      <c r="L16" s="422">
        <f t="shared" si="1"/>
        <v>11012.102814307807</v>
      </c>
      <c r="M16" s="422">
        <f t="shared" si="7"/>
        <v>4766.822272623659</v>
      </c>
      <c r="N16" s="422">
        <f t="shared" si="8"/>
        <v>6245.2805416841484</v>
      </c>
      <c r="O16" s="422">
        <f t="shared" si="9"/>
        <v>470436.94672068179</v>
      </c>
    </row>
    <row r="17" spans="4:15">
      <c r="D17" s="18">
        <f t="shared" si="2"/>
        <v>5</v>
      </c>
      <c r="E17" s="422">
        <f t="shared" si="0"/>
        <v>11122.223842450885</v>
      </c>
      <c r="F17" s="424">
        <f t="shared" si="3"/>
        <v>4751.4131618788861</v>
      </c>
      <c r="G17" s="424">
        <f t="shared" si="4"/>
        <v>6370.810680571999</v>
      </c>
      <c r="H17" s="424">
        <f t="shared" si="5"/>
        <v>468770.50550731661</v>
      </c>
      <c r="K17" s="18">
        <f t="shared" si="6"/>
        <v>5</v>
      </c>
      <c r="L17" s="422">
        <f t="shared" si="1"/>
        <v>11012.102814307807</v>
      </c>
      <c r="M17" s="422">
        <f t="shared" si="7"/>
        <v>4704.3694672068177</v>
      </c>
      <c r="N17" s="422">
        <f t="shared" si="8"/>
        <v>6307.7333471009897</v>
      </c>
      <c r="O17" s="422">
        <f t="shared" si="9"/>
        <v>464129.21337358083</v>
      </c>
    </row>
    <row r="18" spans="4:15">
      <c r="D18" s="18">
        <f t="shared" si="2"/>
        <v>6</v>
      </c>
      <c r="E18" s="422">
        <f t="shared" si="0"/>
        <v>11122.223842450885</v>
      </c>
      <c r="F18" s="424">
        <f t="shared" si="3"/>
        <v>4687.7050550731665</v>
      </c>
      <c r="G18" s="424">
        <f t="shared" si="4"/>
        <v>6434.5187873777186</v>
      </c>
      <c r="H18" s="424">
        <f t="shared" si="5"/>
        <v>462335.98671993887</v>
      </c>
      <c r="K18" s="18">
        <f t="shared" si="6"/>
        <v>6</v>
      </c>
      <c r="L18" s="422">
        <f t="shared" si="1"/>
        <v>11012.102814307807</v>
      </c>
      <c r="M18" s="422">
        <f t="shared" si="7"/>
        <v>4641.2921337358084</v>
      </c>
      <c r="N18" s="422">
        <f t="shared" si="8"/>
        <v>6370.810680571999</v>
      </c>
      <c r="O18" s="422">
        <f t="shared" si="9"/>
        <v>457758.40269300883</v>
      </c>
    </row>
    <row r="19" spans="4:15">
      <c r="D19" s="18">
        <f t="shared" si="2"/>
        <v>7</v>
      </c>
      <c r="E19" s="422">
        <f t="shared" si="0"/>
        <v>11122.223842450885</v>
      </c>
      <c r="F19" s="424">
        <f t="shared" si="3"/>
        <v>4623.3598671993886</v>
      </c>
      <c r="G19" s="424">
        <f t="shared" si="4"/>
        <v>6498.8639752514964</v>
      </c>
      <c r="H19" s="424">
        <f t="shared" si="5"/>
        <v>455837.12274468737</v>
      </c>
      <c r="K19" s="18">
        <f t="shared" si="6"/>
        <v>7</v>
      </c>
      <c r="L19" s="422">
        <f t="shared" si="1"/>
        <v>11012.102814307807</v>
      </c>
      <c r="M19" s="422">
        <f t="shared" si="7"/>
        <v>4577.5840269300879</v>
      </c>
      <c r="N19" s="422">
        <f t="shared" si="8"/>
        <v>6434.5187873777195</v>
      </c>
      <c r="O19" s="422">
        <f t="shared" si="9"/>
        <v>451323.88390563108</v>
      </c>
    </row>
    <row r="20" spans="4:15">
      <c r="D20" s="18">
        <f t="shared" si="2"/>
        <v>8</v>
      </c>
      <c r="E20" s="422">
        <f t="shared" si="0"/>
        <v>11122.223842450885</v>
      </c>
      <c r="F20" s="424">
        <f t="shared" si="3"/>
        <v>4558.3712274468735</v>
      </c>
      <c r="G20" s="424">
        <f t="shared" si="4"/>
        <v>6563.8526150040116</v>
      </c>
      <c r="H20" s="424">
        <f t="shared" si="5"/>
        <v>449273.27012968337</v>
      </c>
      <c r="K20" s="18">
        <f t="shared" si="6"/>
        <v>8</v>
      </c>
      <c r="L20" s="422">
        <f t="shared" si="1"/>
        <v>11012.102814307807</v>
      </c>
      <c r="M20" s="422">
        <f t="shared" si="7"/>
        <v>4513.238839056311</v>
      </c>
      <c r="N20" s="422">
        <f t="shared" si="8"/>
        <v>6498.8639752514964</v>
      </c>
      <c r="O20" s="422">
        <f t="shared" si="9"/>
        <v>444825.01993037958</v>
      </c>
    </row>
    <row r="21" spans="4:15">
      <c r="D21" s="18">
        <f t="shared" si="2"/>
        <v>9</v>
      </c>
      <c r="E21" s="422">
        <f t="shared" si="0"/>
        <v>11122.223842450885</v>
      </c>
      <c r="F21" s="424">
        <f t="shared" si="3"/>
        <v>4492.7327012968335</v>
      </c>
      <c r="G21" s="424">
        <f t="shared" si="4"/>
        <v>6629.4911411540515</v>
      </c>
      <c r="H21" s="424">
        <f t="shared" si="5"/>
        <v>442643.77898852935</v>
      </c>
      <c r="K21" s="18">
        <f t="shared" si="6"/>
        <v>9</v>
      </c>
      <c r="L21" s="422">
        <f t="shared" si="1"/>
        <v>11012.102814307807</v>
      </c>
      <c r="M21" s="422">
        <f t="shared" si="7"/>
        <v>4448.2501993037959</v>
      </c>
      <c r="N21" s="422">
        <f t="shared" si="8"/>
        <v>6563.8526150040116</v>
      </c>
      <c r="O21" s="422">
        <f t="shared" si="9"/>
        <v>438261.16731537558</v>
      </c>
    </row>
    <row r="22" spans="4:15">
      <c r="D22" s="18">
        <f t="shared" si="2"/>
        <v>10</v>
      </c>
      <c r="E22" s="422">
        <f t="shared" si="0"/>
        <v>11122.223842450885</v>
      </c>
      <c r="F22" s="424">
        <f t="shared" si="3"/>
        <v>4426.4377898852936</v>
      </c>
      <c r="G22" s="424">
        <f t="shared" si="4"/>
        <v>6695.7860525655915</v>
      </c>
      <c r="H22" s="424">
        <f t="shared" si="5"/>
        <v>435947.99293596373</v>
      </c>
      <c r="K22" s="18">
        <f t="shared" si="6"/>
        <v>10</v>
      </c>
      <c r="L22" s="422">
        <f t="shared" si="1"/>
        <v>11012.102814307807</v>
      </c>
      <c r="M22" s="422">
        <f t="shared" si="7"/>
        <v>4382.6116731537559</v>
      </c>
      <c r="N22" s="422">
        <f t="shared" si="8"/>
        <v>6629.4911411540515</v>
      </c>
      <c r="O22" s="422">
        <f t="shared" si="9"/>
        <v>431631.67617422156</v>
      </c>
    </row>
    <row r="23" spans="4:15">
      <c r="D23" s="18">
        <f t="shared" si="2"/>
        <v>11</v>
      </c>
      <c r="E23" s="422">
        <f t="shared" si="0"/>
        <v>11122.223842450885</v>
      </c>
      <c r="F23" s="424">
        <f t="shared" si="3"/>
        <v>4359.479929359637</v>
      </c>
      <c r="G23" s="424">
        <f t="shared" si="4"/>
        <v>6762.743913091248</v>
      </c>
      <c r="H23" s="424">
        <f t="shared" si="5"/>
        <v>429185.24902287248</v>
      </c>
      <c r="K23" s="18">
        <f t="shared" si="6"/>
        <v>11</v>
      </c>
      <c r="L23" s="422">
        <f t="shared" si="1"/>
        <v>11012.102814307807</v>
      </c>
      <c r="M23" s="422">
        <f t="shared" si="7"/>
        <v>4316.3167617422159</v>
      </c>
      <c r="N23" s="422">
        <f t="shared" si="8"/>
        <v>6695.7860525655915</v>
      </c>
      <c r="O23" s="422">
        <f t="shared" si="9"/>
        <v>424935.89012165595</v>
      </c>
    </row>
    <row r="24" spans="4:15">
      <c r="D24" s="18">
        <f t="shared" si="2"/>
        <v>12</v>
      </c>
      <c r="E24" s="422">
        <f t="shared" si="0"/>
        <v>11122.223842450885</v>
      </c>
      <c r="F24" s="424">
        <f t="shared" si="3"/>
        <v>4291.8524902287245</v>
      </c>
      <c r="G24" s="424">
        <f t="shared" si="4"/>
        <v>6830.3713522221606</v>
      </c>
      <c r="H24" s="424">
        <f t="shared" si="5"/>
        <v>422354.87767065031</v>
      </c>
      <c r="K24" s="18">
        <f t="shared" si="6"/>
        <v>12</v>
      </c>
      <c r="L24" s="422">
        <f t="shared" si="1"/>
        <v>11012.102814307807</v>
      </c>
      <c r="M24" s="422">
        <f t="shared" si="7"/>
        <v>4249.3589012165594</v>
      </c>
      <c r="N24" s="422">
        <f t="shared" si="8"/>
        <v>6762.743913091248</v>
      </c>
      <c r="O24" s="422">
        <f t="shared" si="9"/>
        <v>418173.14620856469</v>
      </c>
    </row>
    <row r="25" spans="4:15">
      <c r="D25" s="18">
        <f t="shared" si="2"/>
        <v>13</v>
      </c>
      <c r="E25" s="422">
        <f t="shared" si="0"/>
        <v>11122.223842450885</v>
      </c>
      <c r="F25" s="424">
        <f t="shared" si="3"/>
        <v>4223.5487767065033</v>
      </c>
      <c r="G25" s="424">
        <f t="shared" si="4"/>
        <v>6898.6750657443818</v>
      </c>
      <c r="H25" s="424">
        <f t="shared" si="5"/>
        <v>415456.20260490594</v>
      </c>
      <c r="K25" s="18">
        <f t="shared" si="6"/>
        <v>13</v>
      </c>
      <c r="L25" s="422">
        <f t="shared" si="1"/>
        <v>11012.102814307807</v>
      </c>
      <c r="M25" s="422">
        <f t="shared" si="7"/>
        <v>4181.7314620856469</v>
      </c>
      <c r="N25" s="422">
        <f t="shared" si="8"/>
        <v>6830.3713522221606</v>
      </c>
      <c r="O25" s="422">
        <f t="shared" si="9"/>
        <v>411342.77485634253</v>
      </c>
    </row>
    <row r="26" spans="4:15">
      <c r="D26" s="18">
        <f t="shared" si="2"/>
        <v>14</v>
      </c>
      <c r="E26" s="422">
        <f t="shared" si="0"/>
        <v>11122.223842450885</v>
      </c>
      <c r="F26" s="424">
        <f t="shared" si="3"/>
        <v>4154.5620260490587</v>
      </c>
      <c r="G26" s="424">
        <f t="shared" si="4"/>
        <v>6967.6618164018264</v>
      </c>
      <c r="H26" s="424">
        <f t="shared" si="5"/>
        <v>408488.54078850412</v>
      </c>
      <c r="K26" s="18">
        <f t="shared" si="6"/>
        <v>14</v>
      </c>
      <c r="L26" s="422">
        <f t="shared" si="1"/>
        <v>11012.102814307807</v>
      </c>
      <c r="M26" s="422">
        <f t="shared" si="7"/>
        <v>4113.4277485634257</v>
      </c>
      <c r="N26" s="422">
        <f t="shared" si="8"/>
        <v>6898.6750657443818</v>
      </c>
      <c r="O26" s="422">
        <f t="shared" si="9"/>
        <v>404444.09979059815</v>
      </c>
    </row>
    <row r="27" spans="4:15">
      <c r="D27" s="18">
        <f t="shared" si="2"/>
        <v>15</v>
      </c>
      <c r="E27" s="422">
        <f t="shared" si="0"/>
        <v>11122.223842450885</v>
      </c>
      <c r="F27" s="424">
        <f t="shared" si="3"/>
        <v>4084.8854078850413</v>
      </c>
      <c r="G27" s="424">
        <f t="shared" si="4"/>
        <v>7037.3384345658433</v>
      </c>
      <c r="H27" s="424">
        <f t="shared" si="5"/>
        <v>401451.20235393825</v>
      </c>
      <c r="K27" s="18">
        <f t="shared" si="6"/>
        <v>15</v>
      </c>
      <c r="L27" s="422">
        <f t="shared" si="1"/>
        <v>11012.102814307807</v>
      </c>
      <c r="M27" s="422">
        <f t="shared" si="7"/>
        <v>4044.4409979059815</v>
      </c>
      <c r="N27" s="422">
        <f t="shared" si="8"/>
        <v>6967.6618164018255</v>
      </c>
      <c r="O27" s="422">
        <f t="shared" si="9"/>
        <v>397476.43797419633</v>
      </c>
    </row>
    <row r="28" spans="4:15">
      <c r="D28" s="18">
        <f t="shared" si="2"/>
        <v>16</v>
      </c>
      <c r="E28" s="422">
        <f t="shared" si="0"/>
        <v>11122.223842450885</v>
      </c>
      <c r="F28" s="424">
        <f t="shared" si="3"/>
        <v>4014.5120235393824</v>
      </c>
      <c r="G28" s="424">
        <f t="shared" si="4"/>
        <v>7107.7118189115026</v>
      </c>
      <c r="H28" s="424">
        <f t="shared" si="5"/>
        <v>394343.49053502677</v>
      </c>
      <c r="K28" s="18">
        <f t="shared" si="6"/>
        <v>16</v>
      </c>
      <c r="L28" s="422">
        <f t="shared" si="1"/>
        <v>11012.102814307807</v>
      </c>
      <c r="M28" s="422">
        <f t="shared" si="7"/>
        <v>3974.7643797419628</v>
      </c>
      <c r="N28" s="422">
        <f t="shared" si="8"/>
        <v>7037.3384345658451</v>
      </c>
      <c r="O28" s="422">
        <f t="shared" si="9"/>
        <v>390439.09953963046</v>
      </c>
    </row>
    <row r="29" spans="4:15">
      <c r="D29" s="18">
        <f t="shared" si="2"/>
        <v>17</v>
      </c>
      <c r="E29" s="422">
        <f t="shared" si="0"/>
        <v>11122.223842450885</v>
      </c>
      <c r="F29" s="424">
        <f t="shared" si="3"/>
        <v>3943.4349053502679</v>
      </c>
      <c r="G29" s="424">
        <f t="shared" si="4"/>
        <v>7178.7889371006167</v>
      </c>
      <c r="H29" s="424">
        <f t="shared" si="5"/>
        <v>387164.70159792615</v>
      </c>
      <c r="K29" s="18">
        <f t="shared" si="6"/>
        <v>17</v>
      </c>
      <c r="L29" s="422">
        <f t="shared" si="1"/>
        <v>11012.102814307807</v>
      </c>
      <c r="M29" s="422">
        <f t="shared" si="7"/>
        <v>3904.3909953963048</v>
      </c>
      <c r="N29" s="422">
        <f t="shared" si="8"/>
        <v>7107.7118189115026</v>
      </c>
      <c r="O29" s="422">
        <f t="shared" si="9"/>
        <v>383331.38772071898</v>
      </c>
    </row>
    <row r="30" spans="4:15">
      <c r="D30" s="18">
        <f t="shared" si="2"/>
        <v>18</v>
      </c>
      <c r="E30" s="422">
        <f t="shared" si="0"/>
        <v>11122.223842450885</v>
      </c>
      <c r="F30" s="424">
        <f t="shared" si="3"/>
        <v>3871.6470159792611</v>
      </c>
      <c r="G30" s="424">
        <f t="shared" si="4"/>
        <v>7250.5768264716244</v>
      </c>
      <c r="H30" s="424">
        <f t="shared" si="5"/>
        <v>379914.12477145455</v>
      </c>
      <c r="K30" s="18">
        <f t="shared" si="6"/>
        <v>18</v>
      </c>
      <c r="L30" s="422">
        <f t="shared" si="1"/>
        <v>11012.102814307807</v>
      </c>
      <c r="M30" s="422">
        <f t="shared" si="7"/>
        <v>3833.3138772071893</v>
      </c>
      <c r="N30" s="422">
        <f t="shared" si="8"/>
        <v>7178.7889371006186</v>
      </c>
      <c r="O30" s="422">
        <f t="shared" si="9"/>
        <v>376152.59878361836</v>
      </c>
    </row>
    <row r="31" spans="4:15">
      <c r="D31" s="18">
        <f t="shared" si="2"/>
        <v>19</v>
      </c>
      <c r="E31" s="422">
        <f t="shared" si="0"/>
        <v>11122.223842450885</v>
      </c>
      <c r="F31" s="424">
        <f t="shared" si="3"/>
        <v>3799.1412477145454</v>
      </c>
      <c r="G31" s="424">
        <f t="shared" si="4"/>
        <v>7323.0825947363392</v>
      </c>
      <c r="H31" s="424">
        <f t="shared" si="5"/>
        <v>372591.04217671818</v>
      </c>
      <c r="K31" s="18">
        <f t="shared" si="6"/>
        <v>19</v>
      </c>
      <c r="L31" s="422">
        <f t="shared" si="1"/>
        <v>11012.102814307807</v>
      </c>
      <c r="M31" s="422">
        <f t="shared" si="7"/>
        <v>3761.5259878361835</v>
      </c>
      <c r="N31" s="422">
        <f t="shared" si="8"/>
        <v>7250.5768264716244</v>
      </c>
      <c r="O31" s="422">
        <f t="shared" si="9"/>
        <v>368902.02195714676</v>
      </c>
    </row>
    <row r="32" spans="4:15">
      <c r="D32" s="18">
        <f t="shared" si="2"/>
        <v>20</v>
      </c>
      <c r="E32" s="422">
        <f t="shared" si="0"/>
        <v>11122.223842450885</v>
      </c>
      <c r="F32" s="424">
        <f t="shared" si="3"/>
        <v>3725.9104217671816</v>
      </c>
      <c r="G32" s="424">
        <f t="shared" si="4"/>
        <v>7396.313420683704</v>
      </c>
      <c r="H32" s="424">
        <f t="shared" si="5"/>
        <v>365194.72875603446</v>
      </c>
      <c r="K32" s="18">
        <f t="shared" si="6"/>
        <v>20</v>
      </c>
      <c r="L32" s="422">
        <f t="shared" si="1"/>
        <v>11012.102814307807</v>
      </c>
      <c r="M32" s="422">
        <f t="shared" si="7"/>
        <v>3689.0202195714678</v>
      </c>
      <c r="N32" s="422">
        <f t="shared" si="8"/>
        <v>7323.0825947363392</v>
      </c>
      <c r="O32" s="422">
        <f t="shared" si="9"/>
        <v>361578.9393624104</v>
      </c>
    </row>
    <row r="33" spans="4:15">
      <c r="D33" s="18">
        <f t="shared" si="2"/>
        <v>21</v>
      </c>
      <c r="E33" s="422">
        <f t="shared" si="0"/>
        <v>11122.223842450885</v>
      </c>
      <c r="F33" s="424">
        <f t="shared" si="3"/>
        <v>3651.9472875603442</v>
      </c>
      <c r="G33" s="424">
        <f t="shared" si="4"/>
        <v>7470.2765548905409</v>
      </c>
      <c r="H33" s="424">
        <f t="shared" si="5"/>
        <v>357724.4522011439</v>
      </c>
      <c r="K33" s="18">
        <f t="shared" si="6"/>
        <v>21</v>
      </c>
      <c r="L33" s="422">
        <f t="shared" si="1"/>
        <v>11012.102814307807</v>
      </c>
      <c r="M33" s="422">
        <f t="shared" si="7"/>
        <v>3615.7893936241039</v>
      </c>
      <c r="N33" s="422">
        <f t="shared" si="8"/>
        <v>7396.313420683704</v>
      </c>
      <c r="O33" s="422">
        <f t="shared" si="9"/>
        <v>354182.62594172667</v>
      </c>
    </row>
    <row r="34" spans="4:15">
      <c r="D34" s="18">
        <f t="shared" si="2"/>
        <v>22</v>
      </c>
      <c r="E34" s="422">
        <f t="shared" si="0"/>
        <v>11122.223842450885</v>
      </c>
      <c r="F34" s="424">
        <f t="shared" si="3"/>
        <v>3577.2445220114387</v>
      </c>
      <c r="G34" s="424">
        <f t="shared" si="4"/>
        <v>7544.9793204394464</v>
      </c>
      <c r="H34" s="424">
        <f t="shared" si="5"/>
        <v>350179.47288070444</v>
      </c>
      <c r="K34" s="18">
        <f t="shared" si="6"/>
        <v>22</v>
      </c>
      <c r="L34" s="422">
        <f t="shared" si="1"/>
        <v>11012.102814307807</v>
      </c>
      <c r="M34" s="422">
        <f t="shared" si="7"/>
        <v>3541.8262594172666</v>
      </c>
      <c r="N34" s="422">
        <f t="shared" si="8"/>
        <v>7470.2765548905409</v>
      </c>
      <c r="O34" s="422">
        <f t="shared" si="9"/>
        <v>346712.34938683611</v>
      </c>
    </row>
    <row r="35" spans="4:15">
      <c r="D35" s="18">
        <f t="shared" si="2"/>
        <v>23</v>
      </c>
      <c r="E35" s="422">
        <f t="shared" si="0"/>
        <v>11122.223842450885</v>
      </c>
      <c r="F35" s="424">
        <f t="shared" si="3"/>
        <v>3501.7947288070445</v>
      </c>
      <c r="G35" s="424">
        <f t="shared" si="4"/>
        <v>7620.4291136438405</v>
      </c>
      <c r="H35" s="424">
        <f t="shared" si="5"/>
        <v>342559.04376706062</v>
      </c>
      <c r="K35" s="18">
        <f t="shared" si="6"/>
        <v>23</v>
      </c>
      <c r="L35" s="422">
        <f t="shared" si="1"/>
        <v>11012.102814307807</v>
      </c>
      <c r="M35" s="422">
        <f t="shared" si="7"/>
        <v>3467.123493868361</v>
      </c>
      <c r="N35" s="422">
        <f t="shared" si="8"/>
        <v>7544.9793204394464</v>
      </c>
      <c r="O35" s="422">
        <f t="shared" si="9"/>
        <v>339167.37006639666</v>
      </c>
    </row>
    <row r="36" spans="4:15">
      <c r="D36" s="18">
        <f t="shared" si="2"/>
        <v>24</v>
      </c>
      <c r="E36" s="422">
        <f t="shared" si="0"/>
        <v>11122.223842450885</v>
      </c>
      <c r="F36" s="424">
        <f t="shared" si="3"/>
        <v>3425.5904376706062</v>
      </c>
      <c r="G36" s="424">
        <f t="shared" si="4"/>
        <v>7696.6334047802793</v>
      </c>
      <c r="H36" s="424">
        <f t="shared" si="5"/>
        <v>334862.41036228032</v>
      </c>
      <c r="K36" s="18">
        <f t="shared" si="6"/>
        <v>24</v>
      </c>
      <c r="L36" s="422">
        <f t="shared" si="1"/>
        <v>11012.102814307807</v>
      </c>
      <c r="M36" s="422">
        <f t="shared" si="7"/>
        <v>3391.6737006639664</v>
      </c>
      <c r="N36" s="422">
        <f t="shared" si="8"/>
        <v>7620.4291136438405</v>
      </c>
      <c r="O36" s="422">
        <f t="shared" si="9"/>
        <v>331546.94095275283</v>
      </c>
    </row>
    <row r="37" spans="4:15">
      <c r="D37" s="18">
        <f t="shared" si="2"/>
        <v>25</v>
      </c>
      <c r="E37" s="422">
        <f t="shared" si="0"/>
        <v>11122.223842450885</v>
      </c>
      <c r="F37" s="424">
        <f t="shared" si="3"/>
        <v>3348.6241036228034</v>
      </c>
      <c r="G37" s="424">
        <f t="shared" si="4"/>
        <v>7773.5997388280812</v>
      </c>
      <c r="H37" s="424">
        <f t="shared" si="5"/>
        <v>327088.81062345224</v>
      </c>
      <c r="K37" s="18">
        <f t="shared" si="6"/>
        <v>25</v>
      </c>
      <c r="L37" s="422">
        <f t="shared" si="1"/>
        <v>11012.102814307807</v>
      </c>
      <c r="M37" s="422">
        <f t="shared" si="7"/>
        <v>3315.4694095275281</v>
      </c>
      <c r="N37" s="422">
        <f t="shared" si="8"/>
        <v>7696.6334047802793</v>
      </c>
      <c r="O37" s="422">
        <f t="shared" si="9"/>
        <v>323850.30754797254</v>
      </c>
    </row>
    <row r="38" spans="4:15">
      <c r="D38" s="18">
        <f t="shared" si="2"/>
        <v>26</v>
      </c>
      <c r="E38" s="422">
        <f t="shared" si="0"/>
        <v>11122.223842450885</v>
      </c>
      <c r="F38" s="424">
        <f t="shared" si="3"/>
        <v>3270.8881062345222</v>
      </c>
      <c r="G38" s="424">
        <f t="shared" si="4"/>
        <v>7851.3357362163624</v>
      </c>
      <c r="H38" s="424">
        <f t="shared" si="5"/>
        <v>319237.47488723591</v>
      </c>
      <c r="K38" s="18">
        <f t="shared" si="6"/>
        <v>26</v>
      </c>
      <c r="L38" s="422">
        <f t="shared" si="1"/>
        <v>11012.102814307807</v>
      </c>
      <c r="M38" s="422">
        <f t="shared" si="7"/>
        <v>3238.5030754797249</v>
      </c>
      <c r="N38" s="422">
        <f t="shared" si="8"/>
        <v>7773.599738828083</v>
      </c>
      <c r="O38" s="422">
        <f t="shared" si="9"/>
        <v>316076.70780914446</v>
      </c>
    </row>
    <row r="39" spans="4:15">
      <c r="D39" s="18">
        <f t="shared" si="2"/>
        <v>27</v>
      </c>
      <c r="E39" s="422">
        <f t="shared" si="0"/>
        <v>11122.223842450885</v>
      </c>
      <c r="F39" s="424">
        <f t="shared" si="3"/>
        <v>3192.3747488723589</v>
      </c>
      <c r="G39" s="424">
        <f t="shared" si="4"/>
        <v>7929.8490935785267</v>
      </c>
      <c r="H39" s="424">
        <f t="shared" si="5"/>
        <v>311307.62579365738</v>
      </c>
      <c r="K39" s="18">
        <f t="shared" si="6"/>
        <v>27</v>
      </c>
      <c r="L39" s="422">
        <f t="shared" si="1"/>
        <v>11012.102814307807</v>
      </c>
      <c r="M39" s="422">
        <f t="shared" si="7"/>
        <v>3160.7670780914445</v>
      </c>
      <c r="N39" s="422">
        <f t="shared" si="8"/>
        <v>7851.3357362163624</v>
      </c>
      <c r="O39" s="422">
        <f t="shared" si="9"/>
        <v>308225.37207292812</v>
      </c>
    </row>
    <row r="40" spans="4:15">
      <c r="D40" s="18">
        <f t="shared" si="2"/>
        <v>28</v>
      </c>
      <c r="E40" s="422">
        <f t="shared" si="0"/>
        <v>11122.223842450885</v>
      </c>
      <c r="F40" s="424">
        <f t="shared" si="3"/>
        <v>3113.0762579365733</v>
      </c>
      <c r="G40" s="424">
        <f t="shared" si="4"/>
        <v>8009.1475845143123</v>
      </c>
      <c r="H40" s="424">
        <f t="shared" si="5"/>
        <v>303298.4782091431</v>
      </c>
      <c r="K40" s="18">
        <f t="shared" si="6"/>
        <v>28</v>
      </c>
      <c r="L40" s="422">
        <f t="shared" si="1"/>
        <v>11012.102814307807</v>
      </c>
      <c r="M40" s="422">
        <f t="shared" si="7"/>
        <v>3082.2537207292812</v>
      </c>
      <c r="N40" s="422">
        <f t="shared" si="8"/>
        <v>7929.8490935785267</v>
      </c>
      <c r="O40" s="422">
        <f t="shared" si="9"/>
        <v>300295.5229793496</v>
      </c>
    </row>
    <row r="41" spans="4:15">
      <c r="D41" s="18">
        <f t="shared" si="2"/>
        <v>29</v>
      </c>
      <c r="E41" s="422">
        <f t="shared" si="0"/>
        <v>11122.223842450885</v>
      </c>
      <c r="F41" s="424">
        <f t="shared" si="3"/>
        <v>3032.984782091431</v>
      </c>
      <c r="G41" s="424">
        <f t="shared" si="4"/>
        <v>8089.239060359454</v>
      </c>
      <c r="H41" s="424">
        <f t="shared" si="5"/>
        <v>295209.23914878361</v>
      </c>
      <c r="K41" s="18">
        <f t="shared" si="6"/>
        <v>29</v>
      </c>
      <c r="L41" s="422">
        <f t="shared" si="1"/>
        <v>11012.102814307807</v>
      </c>
      <c r="M41" s="422">
        <f t="shared" si="7"/>
        <v>3002.9552297934956</v>
      </c>
      <c r="N41" s="422">
        <f t="shared" si="8"/>
        <v>8009.1475845143123</v>
      </c>
      <c r="O41" s="422">
        <f t="shared" si="9"/>
        <v>292286.37539483531</v>
      </c>
    </row>
    <row r="42" spans="4:15">
      <c r="D42" s="18">
        <f t="shared" si="2"/>
        <v>30</v>
      </c>
      <c r="E42" s="422">
        <f t="shared" si="0"/>
        <v>11122.223842450885</v>
      </c>
      <c r="F42" s="424">
        <f t="shared" si="3"/>
        <v>2952.0923914878363</v>
      </c>
      <c r="G42" s="424">
        <f t="shared" si="4"/>
        <v>8170.1314509630483</v>
      </c>
      <c r="H42" s="424">
        <f t="shared" si="5"/>
        <v>287039.10769782058</v>
      </c>
      <c r="K42" s="18">
        <f t="shared" si="6"/>
        <v>30</v>
      </c>
      <c r="L42" s="422">
        <f t="shared" si="1"/>
        <v>11012.102814307807</v>
      </c>
      <c r="M42" s="422">
        <f t="shared" si="7"/>
        <v>2922.863753948353</v>
      </c>
      <c r="N42" s="422">
        <f t="shared" si="8"/>
        <v>8089.239060359454</v>
      </c>
      <c r="O42" s="422">
        <f t="shared" si="9"/>
        <v>284197.13633447583</v>
      </c>
    </row>
    <row r="43" spans="4:15">
      <c r="D43" s="18">
        <f t="shared" si="2"/>
        <v>31</v>
      </c>
      <c r="E43" s="422">
        <f t="shared" si="0"/>
        <v>11122.223842450885</v>
      </c>
      <c r="F43" s="424">
        <f t="shared" si="3"/>
        <v>2870.3910769782055</v>
      </c>
      <c r="G43" s="424">
        <f t="shared" si="4"/>
        <v>8251.83276547268</v>
      </c>
      <c r="H43" s="424">
        <f t="shared" si="5"/>
        <v>278787.27493234788</v>
      </c>
      <c r="K43" s="18">
        <f t="shared" si="6"/>
        <v>31</v>
      </c>
      <c r="L43" s="422">
        <f t="shared" si="1"/>
        <v>11012.102814307807</v>
      </c>
      <c r="M43" s="422">
        <f t="shared" si="7"/>
        <v>2841.9713633447586</v>
      </c>
      <c r="N43" s="422">
        <f t="shared" si="8"/>
        <v>8170.1314509630483</v>
      </c>
      <c r="O43" s="422">
        <f t="shared" si="9"/>
        <v>276027.0048835128</v>
      </c>
    </row>
    <row r="44" spans="4:15">
      <c r="D44" s="18">
        <f t="shared" si="2"/>
        <v>32</v>
      </c>
      <c r="E44" s="422">
        <f t="shared" si="0"/>
        <v>11122.223842450885</v>
      </c>
      <c r="F44" s="424">
        <f t="shared" si="3"/>
        <v>2787.8727493234787</v>
      </c>
      <c r="G44" s="424">
        <f t="shared" si="4"/>
        <v>8334.3510931274068</v>
      </c>
      <c r="H44" s="424">
        <f t="shared" si="5"/>
        <v>270452.92383922049</v>
      </c>
      <c r="K44" s="18">
        <f t="shared" si="6"/>
        <v>32</v>
      </c>
      <c r="L44" s="422">
        <f t="shared" si="1"/>
        <v>11012.102814307807</v>
      </c>
      <c r="M44" s="422">
        <f t="shared" si="7"/>
        <v>2760.2700488351279</v>
      </c>
      <c r="N44" s="422">
        <f t="shared" si="8"/>
        <v>8251.83276547268</v>
      </c>
      <c r="O44" s="422">
        <f t="shared" si="9"/>
        <v>267775.17211804009</v>
      </c>
    </row>
    <row r="45" spans="4:15">
      <c r="D45" s="18">
        <f t="shared" si="2"/>
        <v>33</v>
      </c>
      <c r="E45" s="422">
        <f t="shared" si="0"/>
        <v>11122.223842450885</v>
      </c>
      <c r="F45" s="424">
        <f t="shared" si="3"/>
        <v>2704.5292383922047</v>
      </c>
      <c r="G45" s="424">
        <f t="shared" si="4"/>
        <v>8417.6946040586809</v>
      </c>
      <c r="H45" s="424">
        <f t="shared" si="5"/>
        <v>262035.22923516179</v>
      </c>
      <c r="K45" s="18">
        <f t="shared" si="6"/>
        <v>33</v>
      </c>
      <c r="L45" s="422">
        <f t="shared" si="1"/>
        <v>11012.102814307807</v>
      </c>
      <c r="M45" s="422">
        <f t="shared" si="7"/>
        <v>2677.7517211804011</v>
      </c>
      <c r="N45" s="422">
        <f t="shared" si="8"/>
        <v>8334.3510931274068</v>
      </c>
      <c r="O45" s="422">
        <f t="shared" si="9"/>
        <v>259440.8210249127</v>
      </c>
    </row>
    <row r="46" spans="4:15">
      <c r="D46" s="18">
        <f t="shared" si="2"/>
        <v>34</v>
      </c>
      <c r="E46" s="422">
        <f t="shared" si="0"/>
        <v>11122.223842450885</v>
      </c>
      <c r="F46" s="424">
        <f t="shared" si="3"/>
        <v>2620.352292351618</v>
      </c>
      <c r="G46" s="424">
        <f t="shared" si="4"/>
        <v>8501.8715500992676</v>
      </c>
      <c r="H46" s="424">
        <f t="shared" si="5"/>
        <v>253533.35768506254</v>
      </c>
      <c r="K46" s="18">
        <f t="shared" si="6"/>
        <v>34</v>
      </c>
      <c r="L46" s="422">
        <f t="shared" si="1"/>
        <v>11012.102814307807</v>
      </c>
      <c r="M46" s="422">
        <f t="shared" si="7"/>
        <v>2594.408210249127</v>
      </c>
      <c r="N46" s="422">
        <f t="shared" si="8"/>
        <v>8417.6946040586809</v>
      </c>
      <c r="O46" s="422">
        <f t="shared" si="9"/>
        <v>251023.12642085401</v>
      </c>
    </row>
    <row r="47" spans="4:15">
      <c r="D47" s="18">
        <f t="shared" si="2"/>
        <v>35</v>
      </c>
      <c r="E47" s="422">
        <f t="shared" si="0"/>
        <v>11122.223842450885</v>
      </c>
      <c r="F47" s="424">
        <f t="shared" si="3"/>
        <v>2535.3335768506254</v>
      </c>
      <c r="G47" s="424">
        <f t="shared" si="4"/>
        <v>8586.8902656002592</v>
      </c>
      <c r="H47" s="424">
        <f t="shared" si="5"/>
        <v>244946.46741946228</v>
      </c>
      <c r="K47" s="18">
        <f t="shared" si="6"/>
        <v>35</v>
      </c>
      <c r="L47" s="422">
        <f t="shared" si="1"/>
        <v>11012.102814307807</v>
      </c>
      <c r="M47" s="422">
        <f t="shared" si="7"/>
        <v>2510.2312642085399</v>
      </c>
      <c r="N47" s="422">
        <f t="shared" si="8"/>
        <v>8501.8715500992676</v>
      </c>
      <c r="O47" s="422">
        <f t="shared" si="9"/>
        <v>242521.25487075475</v>
      </c>
    </row>
    <row r="48" spans="4:15">
      <c r="D48" s="18">
        <f t="shared" si="2"/>
        <v>36</v>
      </c>
      <c r="E48" s="422">
        <f t="shared" si="0"/>
        <v>11122.223842450885</v>
      </c>
      <c r="F48" s="424">
        <f t="shared" si="3"/>
        <v>2449.4646741946226</v>
      </c>
      <c r="G48" s="424">
        <f t="shared" si="4"/>
        <v>8672.7591682562634</v>
      </c>
      <c r="H48" s="424">
        <f t="shared" si="5"/>
        <v>236273.70825120603</v>
      </c>
      <c r="K48" s="18">
        <f t="shared" si="6"/>
        <v>36</v>
      </c>
      <c r="L48" s="422">
        <f t="shared" si="1"/>
        <v>11012.102814307807</v>
      </c>
      <c r="M48" s="422">
        <f t="shared" si="7"/>
        <v>2425.2125487075477</v>
      </c>
      <c r="N48" s="422">
        <f t="shared" si="8"/>
        <v>8586.8902656002592</v>
      </c>
      <c r="O48" s="422">
        <f t="shared" si="9"/>
        <v>233934.36460515449</v>
      </c>
    </row>
    <row r="49" spans="4:15">
      <c r="D49" s="18">
        <f t="shared" si="2"/>
        <v>37</v>
      </c>
      <c r="E49" s="422">
        <f t="shared" si="0"/>
        <v>11122.223842450885</v>
      </c>
      <c r="F49" s="424">
        <f t="shared" si="3"/>
        <v>2362.7370825120602</v>
      </c>
      <c r="G49" s="424">
        <f t="shared" si="4"/>
        <v>8759.4867599388253</v>
      </c>
      <c r="H49" s="424">
        <f t="shared" si="5"/>
        <v>227514.22149126721</v>
      </c>
      <c r="K49" s="18">
        <f t="shared" si="6"/>
        <v>37</v>
      </c>
      <c r="L49" s="422">
        <f t="shared" si="1"/>
        <v>11012.102814307807</v>
      </c>
      <c r="M49" s="422">
        <f t="shared" si="7"/>
        <v>2339.343646051545</v>
      </c>
      <c r="N49" s="422">
        <f t="shared" si="8"/>
        <v>8672.7591682562634</v>
      </c>
      <c r="O49" s="422">
        <f t="shared" si="9"/>
        <v>225261.60543689824</v>
      </c>
    </row>
    <row r="50" spans="4:15">
      <c r="D50" s="18">
        <f t="shared" si="2"/>
        <v>38</v>
      </c>
      <c r="E50" s="422">
        <f t="shared" si="0"/>
        <v>11122.223842450885</v>
      </c>
      <c r="F50" s="424">
        <f t="shared" si="3"/>
        <v>2275.142214912672</v>
      </c>
      <c r="G50" s="424">
        <f t="shared" si="4"/>
        <v>8847.0816275382131</v>
      </c>
      <c r="H50" s="424">
        <f t="shared" si="5"/>
        <v>218667.13986372898</v>
      </c>
      <c r="K50" s="18">
        <f t="shared" si="6"/>
        <v>38</v>
      </c>
      <c r="L50" s="422">
        <f t="shared" si="1"/>
        <v>11012.102814307807</v>
      </c>
      <c r="M50" s="422">
        <f t="shared" si="7"/>
        <v>2252.6160543689825</v>
      </c>
      <c r="N50" s="422">
        <f t="shared" si="8"/>
        <v>8759.4867599388253</v>
      </c>
      <c r="O50" s="422">
        <f t="shared" si="9"/>
        <v>216502.11867695942</v>
      </c>
    </row>
    <row r="51" spans="4:15">
      <c r="D51" s="18">
        <f t="shared" si="2"/>
        <v>39</v>
      </c>
      <c r="E51" s="422">
        <f t="shared" si="0"/>
        <v>11122.223842450885</v>
      </c>
      <c r="F51" s="424">
        <f t="shared" si="3"/>
        <v>2186.6713986372897</v>
      </c>
      <c r="G51" s="424">
        <f t="shared" si="4"/>
        <v>8935.5524438135944</v>
      </c>
      <c r="H51" s="424">
        <f t="shared" si="5"/>
        <v>209731.58741991539</v>
      </c>
      <c r="K51" s="18">
        <f t="shared" si="6"/>
        <v>39</v>
      </c>
      <c r="L51" s="422">
        <f t="shared" si="1"/>
        <v>11012.102814307807</v>
      </c>
      <c r="M51" s="422">
        <f t="shared" si="7"/>
        <v>2165.0211867695939</v>
      </c>
      <c r="N51" s="422">
        <f t="shared" si="8"/>
        <v>8847.0816275382131</v>
      </c>
      <c r="O51" s="422">
        <f t="shared" si="9"/>
        <v>207655.0370494212</v>
      </c>
    </row>
    <row r="52" spans="4:15">
      <c r="D52" s="18">
        <f t="shared" si="2"/>
        <v>40</v>
      </c>
      <c r="E52" s="422">
        <f t="shared" si="0"/>
        <v>11122.223842450885</v>
      </c>
      <c r="F52" s="424">
        <f t="shared" si="3"/>
        <v>2097.3158741991538</v>
      </c>
      <c r="G52" s="424">
        <f t="shared" si="4"/>
        <v>9024.9079682517313</v>
      </c>
      <c r="H52" s="424">
        <f t="shared" si="5"/>
        <v>200706.67945166366</v>
      </c>
      <c r="K52" s="18">
        <f t="shared" si="6"/>
        <v>40</v>
      </c>
      <c r="L52" s="422">
        <f t="shared" si="1"/>
        <v>11012.102814307807</v>
      </c>
      <c r="M52" s="422">
        <f t="shared" si="7"/>
        <v>2076.5503704942116</v>
      </c>
      <c r="N52" s="422">
        <f t="shared" si="8"/>
        <v>8935.5524438135963</v>
      </c>
      <c r="O52" s="422">
        <f t="shared" si="9"/>
        <v>198719.48460560761</v>
      </c>
    </row>
    <row r="53" spans="4:15">
      <c r="D53" s="18">
        <f t="shared" si="2"/>
        <v>41</v>
      </c>
      <c r="E53" s="422">
        <f t="shared" si="0"/>
        <v>11122.223842450885</v>
      </c>
      <c r="F53" s="424">
        <f t="shared" si="3"/>
        <v>2007.0667945166367</v>
      </c>
      <c r="G53" s="424">
        <f t="shared" si="4"/>
        <v>9115.1570479342481</v>
      </c>
      <c r="H53" s="424">
        <f t="shared" si="5"/>
        <v>191591.52240372941</v>
      </c>
      <c r="K53" s="18">
        <f t="shared" si="6"/>
        <v>41</v>
      </c>
      <c r="L53" s="422">
        <f t="shared" si="1"/>
        <v>11012.102814307807</v>
      </c>
      <c r="M53" s="422">
        <f t="shared" si="7"/>
        <v>1987.1948460560761</v>
      </c>
      <c r="N53" s="422">
        <f t="shared" si="8"/>
        <v>9024.9079682517313</v>
      </c>
      <c r="O53" s="422">
        <f t="shared" si="9"/>
        <v>189694.57663735587</v>
      </c>
    </row>
    <row r="54" spans="4:15">
      <c r="D54" s="18">
        <f t="shared" si="2"/>
        <v>42</v>
      </c>
      <c r="E54" s="422">
        <f t="shared" si="0"/>
        <v>11122.223842450885</v>
      </c>
      <c r="F54" s="424">
        <f t="shared" si="3"/>
        <v>1915.9152240372941</v>
      </c>
      <c r="G54" s="424">
        <f t="shared" si="4"/>
        <v>9206.30861841359</v>
      </c>
      <c r="H54" s="424">
        <f t="shared" si="5"/>
        <v>182385.21378531581</v>
      </c>
      <c r="K54" s="18">
        <f t="shared" si="6"/>
        <v>42</v>
      </c>
      <c r="L54" s="422">
        <f t="shared" si="1"/>
        <v>11012.102814307807</v>
      </c>
      <c r="M54" s="422">
        <f t="shared" si="7"/>
        <v>1896.9457663735586</v>
      </c>
      <c r="N54" s="422">
        <f t="shared" si="8"/>
        <v>9115.1570479342481</v>
      </c>
      <c r="O54" s="422">
        <f t="shared" si="9"/>
        <v>180579.41958942162</v>
      </c>
    </row>
    <row r="55" spans="4:15">
      <c r="D55" s="18">
        <f t="shared" si="2"/>
        <v>43</v>
      </c>
      <c r="E55" s="422">
        <f t="shared" si="0"/>
        <v>11122.223842450885</v>
      </c>
      <c r="F55" s="424">
        <f t="shared" si="3"/>
        <v>1823.852137853158</v>
      </c>
      <c r="G55" s="424">
        <f t="shared" si="4"/>
        <v>9298.3717045977264</v>
      </c>
      <c r="H55" s="424">
        <f t="shared" si="5"/>
        <v>173086.84208071808</v>
      </c>
      <c r="K55" s="18">
        <f t="shared" si="6"/>
        <v>43</v>
      </c>
      <c r="L55" s="422">
        <f t="shared" si="1"/>
        <v>11012.102814307807</v>
      </c>
      <c r="M55" s="422">
        <f t="shared" si="7"/>
        <v>1805.7941958942163</v>
      </c>
      <c r="N55" s="422">
        <f t="shared" si="8"/>
        <v>9206.3086184135918</v>
      </c>
      <c r="O55" s="422">
        <f t="shared" si="9"/>
        <v>171373.11097100802</v>
      </c>
    </row>
    <row r="56" spans="4:15">
      <c r="D56" s="18">
        <f t="shared" si="2"/>
        <v>44</v>
      </c>
      <c r="E56" s="422">
        <f t="shared" si="0"/>
        <v>11122.223842450885</v>
      </c>
      <c r="F56" s="424">
        <f t="shared" si="3"/>
        <v>1730.8684208071809</v>
      </c>
      <c r="G56" s="424">
        <f t="shared" si="4"/>
        <v>9391.3554216437042</v>
      </c>
      <c r="H56" s="424">
        <f t="shared" si="5"/>
        <v>163695.48665907438</v>
      </c>
      <c r="K56" s="18">
        <f t="shared" si="6"/>
        <v>44</v>
      </c>
      <c r="L56" s="422">
        <f t="shared" si="1"/>
        <v>11012.102814307807</v>
      </c>
      <c r="M56" s="422">
        <f t="shared" si="7"/>
        <v>1713.7311097100801</v>
      </c>
      <c r="N56" s="422">
        <f t="shared" si="8"/>
        <v>9298.3717045977282</v>
      </c>
      <c r="O56" s="422">
        <f t="shared" si="9"/>
        <v>162074.7392664103</v>
      </c>
    </row>
    <row r="57" spans="4:15">
      <c r="D57" s="18">
        <f t="shared" si="2"/>
        <v>45</v>
      </c>
      <c r="E57" s="422">
        <f t="shared" si="0"/>
        <v>11122.223842450885</v>
      </c>
      <c r="F57" s="424">
        <f t="shared" si="3"/>
        <v>1636.9548665907439</v>
      </c>
      <c r="G57" s="424">
        <f t="shared" si="4"/>
        <v>9485.2689758601409</v>
      </c>
      <c r="H57" s="424">
        <f t="shared" si="5"/>
        <v>154210.21768321423</v>
      </c>
      <c r="K57" s="18">
        <f t="shared" si="6"/>
        <v>45</v>
      </c>
      <c r="L57" s="422">
        <f t="shared" si="1"/>
        <v>11012.102814307807</v>
      </c>
      <c r="M57" s="422">
        <f t="shared" si="7"/>
        <v>1620.747392664103</v>
      </c>
      <c r="N57" s="422">
        <f t="shared" si="8"/>
        <v>9391.3554216437042</v>
      </c>
      <c r="O57" s="422">
        <f t="shared" si="9"/>
        <v>152683.38384476659</v>
      </c>
    </row>
    <row r="58" spans="4:15">
      <c r="D58" s="18">
        <f t="shared" si="2"/>
        <v>46</v>
      </c>
      <c r="E58" s="422">
        <f t="shared" si="0"/>
        <v>11122.223842450885</v>
      </c>
      <c r="F58" s="424">
        <f t="shared" si="3"/>
        <v>1542.1021768321423</v>
      </c>
      <c r="G58" s="424">
        <f t="shared" si="4"/>
        <v>9580.1216656187426</v>
      </c>
      <c r="H58" s="424">
        <f t="shared" si="5"/>
        <v>144630.0960175955</v>
      </c>
      <c r="K58" s="18">
        <f t="shared" si="6"/>
        <v>46</v>
      </c>
      <c r="L58" s="422">
        <f t="shared" si="1"/>
        <v>11012.102814307807</v>
      </c>
      <c r="M58" s="422">
        <f t="shared" si="7"/>
        <v>1526.8338384476658</v>
      </c>
      <c r="N58" s="422">
        <f t="shared" si="8"/>
        <v>9485.2689758601409</v>
      </c>
      <c r="O58" s="422">
        <f t="shared" si="9"/>
        <v>143198.11486890644</v>
      </c>
    </row>
    <row r="59" spans="4:15">
      <c r="D59" s="18">
        <f t="shared" si="2"/>
        <v>47</v>
      </c>
      <c r="E59" s="422">
        <f t="shared" si="0"/>
        <v>11122.223842450885</v>
      </c>
      <c r="F59" s="424">
        <f t="shared" si="3"/>
        <v>1446.300960175955</v>
      </c>
      <c r="G59" s="424">
        <f t="shared" si="4"/>
        <v>9675.9228822749301</v>
      </c>
      <c r="H59" s="424">
        <f t="shared" si="5"/>
        <v>134954.17313532057</v>
      </c>
      <c r="K59" s="18">
        <f t="shared" si="6"/>
        <v>47</v>
      </c>
      <c r="L59" s="422">
        <f t="shared" si="1"/>
        <v>11012.102814307807</v>
      </c>
      <c r="M59" s="422">
        <f t="shared" si="7"/>
        <v>1431.9811486890642</v>
      </c>
      <c r="N59" s="422">
        <f t="shared" si="8"/>
        <v>9580.1216656187426</v>
      </c>
      <c r="O59" s="422">
        <f t="shared" si="9"/>
        <v>133617.99320328771</v>
      </c>
    </row>
    <row r="60" spans="4:15">
      <c r="D60" s="18">
        <f t="shared" si="2"/>
        <v>48</v>
      </c>
      <c r="E60" s="422">
        <f t="shared" si="0"/>
        <v>11122.223842450885</v>
      </c>
      <c r="F60" s="424">
        <f t="shared" si="3"/>
        <v>1349.5417313532057</v>
      </c>
      <c r="G60" s="424">
        <f t="shared" si="4"/>
        <v>9772.6821110976798</v>
      </c>
      <c r="H60" s="424">
        <f t="shared" si="5"/>
        <v>125181.49102422289</v>
      </c>
      <c r="K60" s="18">
        <f t="shared" si="6"/>
        <v>48</v>
      </c>
      <c r="L60" s="422">
        <f t="shared" si="1"/>
        <v>11012.102814307807</v>
      </c>
      <c r="M60" s="422">
        <f t="shared" si="7"/>
        <v>1336.1799320328771</v>
      </c>
      <c r="N60" s="422">
        <f t="shared" si="8"/>
        <v>9675.9228822749301</v>
      </c>
      <c r="O60" s="422">
        <f t="shared" si="9"/>
        <v>123942.07032101278</v>
      </c>
    </row>
    <row r="61" spans="4:15">
      <c r="D61" s="18">
        <f t="shared" si="2"/>
        <v>49</v>
      </c>
      <c r="E61" s="422">
        <f t="shared" si="0"/>
        <v>11122.223842450885</v>
      </c>
      <c r="F61" s="424">
        <f t="shared" si="3"/>
        <v>1251.814910242229</v>
      </c>
      <c r="G61" s="424">
        <f t="shared" si="4"/>
        <v>9870.4089322086566</v>
      </c>
      <c r="H61" s="424">
        <f t="shared" si="5"/>
        <v>115311.08209201424</v>
      </c>
      <c r="K61" s="18">
        <f t="shared" si="6"/>
        <v>49</v>
      </c>
      <c r="L61" s="422">
        <f t="shared" si="1"/>
        <v>11012.102814307807</v>
      </c>
      <c r="M61" s="422">
        <f t="shared" si="7"/>
        <v>1239.4207032101278</v>
      </c>
      <c r="N61" s="422">
        <f t="shared" si="8"/>
        <v>9772.6821110976798</v>
      </c>
      <c r="O61" s="422">
        <f t="shared" si="9"/>
        <v>114169.38820991511</v>
      </c>
    </row>
    <row r="62" spans="4:15">
      <c r="D62" s="18">
        <f t="shared" si="2"/>
        <v>50</v>
      </c>
      <c r="E62" s="422">
        <f t="shared" si="0"/>
        <v>11122.223842450885</v>
      </c>
      <c r="F62" s="424">
        <f t="shared" si="3"/>
        <v>1153.1108209201423</v>
      </c>
      <c r="G62" s="424">
        <f t="shared" si="4"/>
        <v>9969.1130215307421</v>
      </c>
      <c r="H62" s="424">
        <f t="shared" si="5"/>
        <v>105341.96907048349</v>
      </c>
      <c r="K62" s="18">
        <f t="shared" si="6"/>
        <v>50</v>
      </c>
      <c r="L62" s="422">
        <f t="shared" si="1"/>
        <v>11012.102814307807</v>
      </c>
      <c r="M62" s="422">
        <f t="shared" si="7"/>
        <v>1141.6938820991511</v>
      </c>
      <c r="N62" s="422">
        <f t="shared" si="8"/>
        <v>9870.4089322086566</v>
      </c>
      <c r="O62" s="422">
        <f t="shared" si="9"/>
        <v>104298.97927770646</v>
      </c>
    </row>
    <row r="63" spans="4:15">
      <c r="D63" s="18">
        <f t="shared" si="2"/>
        <v>51</v>
      </c>
      <c r="E63" s="422">
        <f t="shared" si="0"/>
        <v>11122.223842450885</v>
      </c>
      <c r="F63" s="424">
        <f t="shared" si="3"/>
        <v>1053.4196907048349</v>
      </c>
      <c r="G63" s="424">
        <f t="shared" si="4"/>
        <v>10068.80415174605</v>
      </c>
      <c r="H63" s="424">
        <f t="shared" si="5"/>
        <v>95273.164918737442</v>
      </c>
      <c r="K63" s="18">
        <f t="shared" si="6"/>
        <v>51</v>
      </c>
      <c r="L63" s="422">
        <f t="shared" si="1"/>
        <v>11012.102814307807</v>
      </c>
      <c r="M63" s="422">
        <f t="shared" si="7"/>
        <v>1042.9897927770646</v>
      </c>
      <c r="N63" s="422">
        <f t="shared" si="8"/>
        <v>9969.1130215307421</v>
      </c>
      <c r="O63" s="422">
        <f t="shared" si="9"/>
        <v>94329.866256175708</v>
      </c>
    </row>
    <row r="64" spans="4:15">
      <c r="D64" s="18">
        <f t="shared" si="2"/>
        <v>52</v>
      </c>
      <c r="E64" s="422">
        <f t="shared" si="0"/>
        <v>11122.223842450885</v>
      </c>
      <c r="F64" s="424">
        <f t="shared" si="3"/>
        <v>952.73164918737439</v>
      </c>
      <c r="G64" s="424">
        <f t="shared" si="4"/>
        <v>10169.492193263512</v>
      </c>
      <c r="H64" s="424">
        <f t="shared" si="5"/>
        <v>85103.672725473938</v>
      </c>
      <c r="K64" s="18">
        <f t="shared" si="6"/>
        <v>52</v>
      </c>
      <c r="L64" s="422">
        <f t="shared" si="1"/>
        <v>11012.102814307807</v>
      </c>
      <c r="M64" s="422">
        <f t="shared" si="7"/>
        <v>943.29866256175694</v>
      </c>
      <c r="N64" s="422">
        <f t="shared" si="8"/>
        <v>10068.80415174605</v>
      </c>
      <c r="O64" s="422">
        <f t="shared" si="9"/>
        <v>84261.062104429657</v>
      </c>
    </row>
    <row r="65" spans="4:15">
      <c r="D65" s="18">
        <f t="shared" si="2"/>
        <v>53</v>
      </c>
      <c r="E65" s="422">
        <f t="shared" si="0"/>
        <v>11122.223842450885</v>
      </c>
      <c r="F65" s="424">
        <f t="shared" si="3"/>
        <v>851.03672725473928</v>
      </c>
      <c r="G65" s="424">
        <f t="shared" si="4"/>
        <v>10271.187115196146</v>
      </c>
      <c r="H65" s="424">
        <f t="shared" si="5"/>
        <v>74832.485610277799</v>
      </c>
      <c r="K65" s="18">
        <f t="shared" si="6"/>
        <v>53</v>
      </c>
      <c r="L65" s="422">
        <f t="shared" si="1"/>
        <v>11012.102814307807</v>
      </c>
      <c r="M65" s="422">
        <f t="shared" si="7"/>
        <v>842.61062104429664</v>
      </c>
      <c r="N65" s="422">
        <f t="shared" si="8"/>
        <v>10169.492193263512</v>
      </c>
      <c r="O65" s="422">
        <f t="shared" si="9"/>
        <v>74091.569911166152</v>
      </c>
    </row>
    <row r="66" spans="4:15">
      <c r="D66" s="18">
        <f t="shared" si="2"/>
        <v>54</v>
      </c>
      <c r="E66" s="422">
        <f t="shared" si="0"/>
        <v>11122.223842450885</v>
      </c>
      <c r="F66" s="424">
        <f t="shared" si="3"/>
        <v>748.32485610277797</v>
      </c>
      <c r="G66" s="424">
        <f t="shared" si="4"/>
        <v>10373.898986348107</v>
      </c>
      <c r="H66" s="424">
        <f t="shared" si="5"/>
        <v>64458.586623929688</v>
      </c>
      <c r="K66" s="18">
        <f t="shared" si="6"/>
        <v>54</v>
      </c>
      <c r="L66" s="422">
        <f t="shared" si="1"/>
        <v>11012.102814307807</v>
      </c>
      <c r="M66" s="422">
        <f t="shared" si="7"/>
        <v>740.91569911166152</v>
      </c>
      <c r="N66" s="422">
        <f t="shared" si="8"/>
        <v>10271.187115196146</v>
      </c>
      <c r="O66" s="422">
        <f t="shared" si="9"/>
        <v>63820.382795970007</v>
      </c>
    </row>
    <row r="67" spans="4:15">
      <c r="D67" s="18">
        <f t="shared" si="2"/>
        <v>55</v>
      </c>
      <c r="E67" s="422">
        <f t="shared" si="0"/>
        <v>11122.223842450885</v>
      </c>
      <c r="F67" s="424">
        <f t="shared" si="3"/>
        <v>644.58586623929693</v>
      </c>
      <c r="G67" s="424">
        <f t="shared" si="4"/>
        <v>10477.637976211588</v>
      </c>
      <c r="H67" s="424">
        <f t="shared" si="5"/>
        <v>53980.948647718098</v>
      </c>
      <c r="K67" s="18">
        <f t="shared" si="6"/>
        <v>55</v>
      </c>
      <c r="L67" s="422">
        <f t="shared" si="1"/>
        <v>11012.102814307807</v>
      </c>
      <c r="M67" s="422">
        <f t="shared" si="7"/>
        <v>638.20382795970011</v>
      </c>
      <c r="N67" s="422">
        <f t="shared" si="8"/>
        <v>10373.898986348107</v>
      </c>
      <c r="O67" s="422">
        <f t="shared" si="9"/>
        <v>53446.483809621903</v>
      </c>
    </row>
    <row r="68" spans="4:15">
      <c r="D68" s="18">
        <f t="shared" si="2"/>
        <v>56</v>
      </c>
      <c r="E68" s="422">
        <f t="shared" si="0"/>
        <v>11122.223842450885</v>
      </c>
      <c r="F68" s="424">
        <f t="shared" si="3"/>
        <v>539.80948647718094</v>
      </c>
      <c r="G68" s="424">
        <f t="shared" si="4"/>
        <v>10582.414355973704</v>
      </c>
      <c r="H68" s="424">
        <f t="shared" si="5"/>
        <v>43398.534291744392</v>
      </c>
      <c r="K68" s="18">
        <f t="shared" si="6"/>
        <v>56</v>
      </c>
      <c r="L68" s="422">
        <f t="shared" si="1"/>
        <v>11012.102814307807</v>
      </c>
      <c r="M68" s="422">
        <f t="shared" si="7"/>
        <v>534.46483809621907</v>
      </c>
      <c r="N68" s="422">
        <f t="shared" si="8"/>
        <v>10477.637976211588</v>
      </c>
      <c r="O68" s="422">
        <f t="shared" si="9"/>
        <v>42968.845833410312</v>
      </c>
    </row>
    <row r="69" spans="4:15">
      <c r="D69" s="18">
        <f t="shared" si="2"/>
        <v>57</v>
      </c>
      <c r="E69" s="422">
        <f t="shared" si="0"/>
        <v>11122.223842450885</v>
      </c>
      <c r="F69" s="424">
        <f t="shared" si="3"/>
        <v>433.98534291744392</v>
      </c>
      <c r="G69" s="424">
        <f t="shared" si="4"/>
        <v>10688.238499533441</v>
      </c>
      <c r="H69" s="424">
        <f t="shared" si="5"/>
        <v>32710.295792210949</v>
      </c>
      <c r="K69" s="18">
        <f t="shared" si="6"/>
        <v>57</v>
      </c>
      <c r="L69" s="422">
        <f t="shared" si="1"/>
        <v>11012.102814307807</v>
      </c>
      <c r="M69" s="422">
        <f t="shared" si="7"/>
        <v>429.68845833410313</v>
      </c>
      <c r="N69" s="422">
        <f t="shared" si="8"/>
        <v>10582.414355973704</v>
      </c>
      <c r="O69" s="422">
        <f t="shared" si="9"/>
        <v>32386.431477436607</v>
      </c>
    </row>
    <row r="70" spans="4:15">
      <c r="D70" s="18">
        <f t="shared" si="2"/>
        <v>58</v>
      </c>
      <c r="E70" s="422">
        <f t="shared" si="0"/>
        <v>11122.223842450885</v>
      </c>
      <c r="F70" s="424">
        <f t="shared" si="3"/>
        <v>327.10295792210951</v>
      </c>
      <c r="G70" s="424">
        <f t="shared" si="4"/>
        <v>10795.120884528775</v>
      </c>
      <c r="H70" s="424">
        <f t="shared" si="5"/>
        <v>21915.174907682172</v>
      </c>
      <c r="K70" s="18">
        <f t="shared" si="6"/>
        <v>58</v>
      </c>
      <c r="L70" s="422">
        <f t="shared" si="1"/>
        <v>11012.102814307807</v>
      </c>
      <c r="M70" s="422">
        <f t="shared" si="7"/>
        <v>323.86431477436605</v>
      </c>
      <c r="N70" s="422">
        <f t="shared" si="8"/>
        <v>10688.238499533441</v>
      </c>
      <c r="O70" s="422">
        <f t="shared" si="9"/>
        <v>21698.192977903163</v>
      </c>
    </row>
    <row r="71" spans="4:15">
      <c r="D71" s="18">
        <f t="shared" si="2"/>
        <v>59</v>
      </c>
      <c r="E71" s="422">
        <f t="shared" si="0"/>
        <v>11122.223842450885</v>
      </c>
      <c r="F71" s="424">
        <f t="shared" si="3"/>
        <v>219.15174907682172</v>
      </c>
      <c r="G71" s="424">
        <f t="shared" si="4"/>
        <v>10903.072093374063</v>
      </c>
      <c r="H71" s="424">
        <f t="shared" si="5"/>
        <v>11012.102814308109</v>
      </c>
      <c r="K71" s="18">
        <f t="shared" si="6"/>
        <v>59</v>
      </c>
      <c r="L71" s="422">
        <f t="shared" si="1"/>
        <v>11012.102814307807</v>
      </c>
      <c r="M71" s="422">
        <f t="shared" si="7"/>
        <v>216.98192977903162</v>
      </c>
      <c r="N71" s="422">
        <f t="shared" si="8"/>
        <v>10795.120884528777</v>
      </c>
      <c r="O71" s="422">
        <f t="shared" si="9"/>
        <v>10903.072093374387</v>
      </c>
    </row>
    <row r="72" spans="4:15">
      <c r="D72" s="18">
        <f t="shared" si="2"/>
        <v>60</v>
      </c>
      <c r="E72" s="422">
        <f t="shared" si="0"/>
        <v>11122.223842450885</v>
      </c>
      <c r="F72" s="424">
        <f t="shared" si="3"/>
        <v>110.12102814308109</v>
      </c>
      <c r="G72" s="424">
        <f t="shared" si="4"/>
        <v>11012.102814307804</v>
      </c>
      <c r="H72" s="424">
        <f t="shared" si="5"/>
        <v>3.0559021979570389E-10</v>
      </c>
      <c r="K72" s="18">
        <f t="shared" si="6"/>
        <v>60</v>
      </c>
      <c r="L72" s="422">
        <f t="shared" si="1"/>
        <v>11012.102814307807</v>
      </c>
      <c r="M72" s="422">
        <f t="shared" si="7"/>
        <v>109.03072093374386</v>
      </c>
      <c r="N72" s="422">
        <f t="shared" si="8"/>
        <v>10903.072093374063</v>
      </c>
      <c r="O72" s="422">
        <f t="shared" si="9"/>
        <v>3.2378011383116245E-10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617" r:id="rId3" name="Scroll Bar 1">
              <controlPr defaultSize="0" autoPict="0">
                <anchor moveWithCells="1">
                  <from>
                    <xdr:col>8</xdr:col>
                    <xdr:colOff>962025</xdr:colOff>
                    <xdr:row>7</xdr:row>
                    <xdr:rowOff>0</xdr:rowOff>
                  </from>
                  <to>
                    <xdr:col>11</xdr:col>
                    <xdr:colOff>590550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18" r:id="rId4" name="Scroll Bar 2">
              <controlPr defaultSize="0" autoPict="0">
                <anchor moveWithCells="1">
                  <from>
                    <xdr:col>9</xdr:col>
                    <xdr:colOff>9525</xdr:colOff>
                    <xdr:row>5</xdr:row>
                    <xdr:rowOff>171450</xdr:rowOff>
                  </from>
                  <to>
                    <xdr:col>11</xdr:col>
                    <xdr:colOff>600075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19" r:id="rId5" name="Scroll Bar 3">
              <controlPr defaultSiz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11</xdr:col>
                    <xdr:colOff>600075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>
    <tabColor theme="0" tint="-0.34998626667073579"/>
  </sheetPr>
  <dimension ref="A1:Y120"/>
  <sheetViews>
    <sheetView showGridLines="0" topLeftCell="O1" zoomScale="130" zoomScaleNormal="130" workbookViewId="0">
      <selection activeCell="W9" sqref="W9"/>
    </sheetView>
  </sheetViews>
  <sheetFormatPr defaultColWidth="8" defaultRowHeight="12.75"/>
  <cols>
    <col min="1" max="1" width="10.42578125" style="40" customWidth="1"/>
    <col min="2" max="2" width="10.7109375" style="41" customWidth="1"/>
    <col min="3" max="3" width="10.85546875" style="41" customWidth="1"/>
    <col min="4" max="4" width="8.5703125" style="41" customWidth="1"/>
    <col min="5" max="5" width="8.42578125" style="41" customWidth="1"/>
    <col min="6" max="6" width="10.140625" style="43" customWidth="1"/>
    <col min="7" max="7" width="9.85546875" style="43" customWidth="1"/>
    <col min="8" max="8" width="9.42578125" style="43" customWidth="1"/>
    <col min="9" max="9" width="12" style="43" customWidth="1"/>
    <col min="10" max="10" width="8.140625" style="43" bestFit="1" customWidth="1"/>
    <col min="11" max="11" width="9.140625" style="43" bestFit="1" customWidth="1"/>
    <col min="12" max="12" width="8.140625" style="43" bestFit="1" customWidth="1"/>
    <col min="13" max="13" width="9.140625" style="43" bestFit="1" customWidth="1"/>
    <col min="14" max="14" width="15.28515625" style="43" customWidth="1"/>
    <col min="15" max="16" width="25.42578125" style="43" customWidth="1"/>
    <col min="17" max="17" width="21.85546875" style="43" customWidth="1"/>
    <col min="18" max="20" width="8" style="43" customWidth="1"/>
    <col min="21" max="21" width="15.42578125" style="43" bestFit="1" customWidth="1"/>
    <col min="22" max="22" width="8" style="43" customWidth="1"/>
    <col min="23" max="23" width="16.42578125" style="43" customWidth="1"/>
    <col min="24" max="24" width="8" style="43"/>
    <col min="25" max="25" width="9" style="43" bestFit="1" customWidth="1"/>
    <col min="26" max="16384" width="8" style="43"/>
  </cols>
  <sheetData>
    <row r="1" spans="1:25" ht="63.75">
      <c r="F1" s="637"/>
      <c r="G1" s="637"/>
      <c r="H1" s="637"/>
      <c r="I1" s="42">
        <v>0.2</v>
      </c>
      <c r="J1" s="42">
        <v>0.3</v>
      </c>
      <c r="L1" s="42">
        <v>0.05</v>
      </c>
      <c r="N1" s="44" t="s">
        <v>336</v>
      </c>
      <c r="O1" s="45" t="s">
        <v>337</v>
      </c>
      <c r="P1" s="45" t="s">
        <v>338</v>
      </c>
      <c r="Q1" s="46" t="s">
        <v>339</v>
      </c>
    </row>
    <row r="2" spans="1:25" ht="15" thickBot="1">
      <c r="A2" s="47" t="s">
        <v>83</v>
      </c>
      <c r="B2" s="47" t="s">
        <v>84</v>
      </c>
      <c r="C2" s="47" t="s">
        <v>85</v>
      </c>
      <c r="D2" s="47" t="s">
        <v>86</v>
      </c>
      <c r="E2" s="47" t="s">
        <v>87</v>
      </c>
      <c r="F2" s="47" t="s">
        <v>88</v>
      </c>
      <c r="G2" s="47" t="s">
        <v>89</v>
      </c>
      <c r="H2" s="47" t="s">
        <v>90</v>
      </c>
      <c r="I2" s="48" t="s">
        <v>340</v>
      </c>
      <c r="J2" s="48" t="s">
        <v>341</v>
      </c>
      <c r="K2" s="49" t="s">
        <v>342</v>
      </c>
      <c r="L2" s="49" t="s">
        <v>343</v>
      </c>
      <c r="M2" s="49" t="s">
        <v>344</v>
      </c>
      <c r="N2" s="204"/>
      <c r="O2" s="204"/>
      <c r="P2" s="204"/>
      <c r="Q2" s="204"/>
    </row>
    <row r="3" spans="1:25">
      <c r="A3" s="14">
        <v>1</v>
      </c>
      <c r="B3" s="15" t="s">
        <v>159</v>
      </c>
      <c r="C3" s="15" t="s">
        <v>160</v>
      </c>
      <c r="D3" s="15" t="s">
        <v>76</v>
      </c>
      <c r="E3" s="15" t="s">
        <v>94</v>
      </c>
      <c r="F3" s="50">
        <v>10</v>
      </c>
      <c r="G3" s="51">
        <v>28126</v>
      </c>
      <c r="H3" s="52">
        <v>12500</v>
      </c>
      <c r="I3" s="52">
        <f>$H3*I$1</f>
        <v>2500</v>
      </c>
      <c r="J3" s="52">
        <f t="shared" ref="J3:J66" si="0">$H3*J$1</f>
        <v>3750</v>
      </c>
      <c r="K3" s="52">
        <f>H3+I3+J3</f>
        <v>18750</v>
      </c>
      <c r="L3" s="52">
        <f>K3*$L$1</f>
        <v>937.5</v>
      </c>
      <c r="M3" s="52">
        <f>K3-L3</f>
        <v>17812.5</v>
      </c>
      <c r="N3" s="59">
        <f>IF(H3&gt;10000,5%,10%)*H3</f>
        <v>625</v>
      </c>
      <c r="O3" s="52">
        <f>IF(H3&gt;10000,5%,IF(H3&lt;5000,15%,10%))*H3</f>
        <v>625</v>
      </c>
      <c r="P3" s="52">
        <f>IF(OR(D3="Admin",D3="sales"),2500,1000)</f>
        <v>2500</v>
      </c>
      <c r="Q3" s="52">
        <f>IF(AND(E3="east",OR(D3="admin",D3="sales")),5000,2500)</f>
        <v>2500</v>
      </c>
      <c r="U3" s="426"/>
    </row>
    <row r="4" spans="1:25">
      <c r="A4" s="14">
        <v>2</v>
      </c>
      <c r="B4" s="15" t="s">
        <v>139</v>
      </c>
      <c r="C4" s="15" t="s">
        <v>138</v>
      </c>
      <c r="D4" s="15" t="s">
        <v>93</v>
      </c>
      <c r="E4" s="15" t="s">
        <v>94</v>
      </c>
      <c r="F4" s="50">
        <v>70</v>
      </c>
      <c r="G4" s="51">
        <v>36220</v>
      </c>
      <c r="H4" s="52">
        <v>4000</v>
      </c>
      <c r="I4" s="52">
        <f t="shared" ref="I4:I23" si="1">$H4*I$1</f>
        <v>800</v>
      </c>
      <c r="J4" s="52">
        <f t="shared" si="0"/>
        <v>1200</v>
      </c>
      <c r="K4" s="52">
        <f t="shared" ref="K4:K67" si="2">H4+I4+J4</f>
        <v>6000</v>
      </c>
      <c r="L4" s="52">
        <f t="shared" ref="L4:L67" si="3">K4*$L$1</f>
        <v>300</v>
      </c>
      <c r="M4" s="52">
        <f t="shared" ref="M4:M67" si="4">K4-L4</f>
        <v>5700</v>
      </c>
      <c r="N4" s="59">
        <f t="shared" ref="N4:N67" si="5">IF(H4&gt;10000,5%,10%)*H4</f>
        <v>400</v>
      </c>
      <c r="O4" s="52">
        <f t="shared" ref="O4:O67" si="6">IF(H4&gt;10000,5%,IF(H4&lt;5000,15%,10%))*H4</f>
        <v>600</v>
      </c>
      <c r="P4" s="52">
        <f t="shared" ref="P4:P67" si="7">IF(OR(D4="Admin",D4="sales"),2500,1000)</f>
        <v>2500</v>
      </c>
      <c r="Q4" s="52">
        <f t="shared" ref="Q4:Q67" si="8">IF(AND(E4="east",OR(D4="admin",D4="sales")),5000,2500)</f>
        <v>2500</v>
      </c>
    </row>
    <row r="5" spans="1:25">
      <c r="A5" s="14">
        <v>2</v>
      </c>
      <c r="B5" s="15" t="s">
        <v>126</v>
      </c>
      <c r="C5" s="15" t="s">
        <v>127</v>
      </c>
      <c r="D5" s="15" t="s">
        <v>76</v>
      </c>
      <c r="E5" s="15" t="s">
        <v>98</v>
      </c>
      <c r="F5" s="50">
        <v>10</v>
      </c>
      <c r="G5" s="51">
        <v>28126</v>
      </c>
      <c r="H5" s="52">
        <v>10000</v>
      </c>
      <c r="I5" s="52">
        <f t="shared" si="1"/>
        <v>2000</v>
      </c>
      <c r="J5" s="52">
        <f t="shared" si="0"/>
        <v>3000</v>
      </c>
      <c r="K5" s="52">
        <f t="shared" si="2"/>
        <v>15000</v>
      </c>
      <c r="L5" s="52">
        <f t="shared" si="3"/>
        <v>750</v>
      </c>
      <c r="M5" s="52">
        <f t="shared" si="4"/>
        <v>14250</v>
      </c>
      <c r="N5" s="59">
        <f t="shared" si="5"/>
        <v>1000</v>
      </c>
      <c r="O5" s="52">
        <f t="shared" si="6"/>
        <v>1000</v>
      </c>
      <c r="P5" s="52">
        <f t="shared" si="7"/>
        <v>2500</v>
      </c>
      <c r="Q5" s="52">
        <f t="shared" si="8"/>
        <v>2500</v>
      </c>
      <c r="U5" s="427"/>
    </row>
    <row r="6" spans="1:25">
      <c r="A6" s="14">
        <v>3</v>
      </c>
      <c r="B6" s="15" t="s">
        <v>137</v>
      </c>
      <c r="C6" s="15" t="s">
        <v>200</v>
      </c>
      <c r="D6" s="15" t="s">
        <v>97</v>
      </c>
      <c r="E6" s="15" t="s">
        <v>103</v>
      </c>
      <c r="F6" s="50">
        <v>20</v>
      </c>
      <c r="G6" s="51">
        <v>29183</v>
      </c>
      <c r="H6" s="52">
        <v>7000</v>
      </c>
      <c r="I6" s="52">
        <f t="shared" si="1"/>
        <v>1400</v>
      </c>
      <c r="J6" s="52">
        <f t="shared" si="0"/>
        <v>2100</v>
      </c>
      <c r="K6" s="52">
        <f t="shared" si="2"/>
        <v>10500</v>
      </c>
      <c r="L6" s="52">
        <f t="shared" si="3"/>
        <v>525</v>
      </c>
      <c r="M6" s="52">
        <f t="shared" si="4"/>
        <v>9975</v>
      </c>
      <c r="N6" s="59">
        <f t="shared" si="5"/>
        <v>700</v>
      </c>
      <c r="O6" s="52">
        <f t="shared" si="6"/>
        <v>700</v>
      </c>
      <c r="P6" s="52">
        <f t="shared" si="7"/>
        <v>1000</v>
      </c>
      <c r="Q6" s="52">
        <f t="shared" si="8"/>
        <v>2500</v>
      </c>
    </row>
    <row r="7" spans="1:25">
      <c r="A7" s="14">
        <v>4</v>
      </c>
      <c r="B7" s="15" t="s">
        <v>165</v>
      </c>
      <c r="C7" s="15" t="s">
        <v>166</v>
      </c>
      <c r="D7" s="15" t="s">
        <v>125</v>
      </c>
      <c r="E7" s="15" t="s">
        <v>94</v>
      </c>
      <c r="F7" s="50">
        <v>30</v>
      </c>
      <c r="G7" s="51">
        <v>32755</v>
      </c>
      <c r="H7" s="52">
        <v>12000</v>
      </c>
      <c r="I7" s="52">
        <f t="shared" si="1"/>
        <v>2400</v>
      </c>
      <c r="J7" s="52">
        <f t="shared" si="0"/>
        <v>3600</v>
      </c>
      <c r="K7" s="52">
        <f t="shared" si="2"/>
        <v>18000</v>
      </c>
      <c r="L7" s="52">
        <f t="shared" si="3"/>
        <v>900</v>
      </c>
      <c r="M7" s="52">
        <f t="shared" si="4"/>
        <v>17100</v>
      </c>
      <c r="N7" s="59">
        <f t="shared" si="5"/>
        <v>600</v>
      </c>
      <c r="O7" s="52">
        <f t="shared" si="6"/>
        <v>600</v>
      </c>
      <c r="P7" s="52">
        <f t="shared" si="7"/>
        <v>1000</v>
      </c>
      <c r="Q7" s="52">
        <f t="shared" si="8"/>
        <v>2500</v>
      </c>
      <c r="U7" s="428">
        <v>45726</v>
      </c>
      <c r="W7" s="429">
        <f>DATE(YEAR(U7)+IF(MONTH(U7)&gt;3,1,0),3,31)</f>
        <v>45747</v>
      </c>
      <c r="Y7" s="54"/>
    </row>
    <row r="8" spans="1:25">
      <c r="A8" s="14">
        <v>5</v>
      </c>
      <c r="B8" s="15" t="s">
        <v>230</v>
      </c>
      <c r="C8" s="15" t="s">
        <v>231</v>
      </c>
      <c r="D8" s="15" t="s">
        <v>115</v>
      </c>
      <c r="E8" s="15" t="s">
        <v>103</v>
      </c>
      <c r="F8" s="50">
        <v>60</v>
      </c>
      <c r="G8" s="51">
        <v>33102</v>
      </c>
      <c r="H8" s="52">
        <v>7900</v>
      </c>
      <c r="I8" s="52">
        <f t="shared" si="1"/>
        <v>1580</v>
      </c>
      <c r="J8" s="52">
        <f t="shared" si="0"/>
        <v>2370</v>
      </c>
      <c r="K8" s="52">
        <f t="shared" si="2"/>
        <v>11850</v>
      </c>
      <c r="L8" s="52">
        <f t="shared" si="3"/>
        <v>592.5</v>
      </c>
      <c r="M8" s="52">
        <f t="shared" si="4"/>
        <v>11257.5</v>
      </c>
      <c r="N8" s="59">
        <f t="shared" si="5"/>
        <v>790</v>
      </c>
      <c r="O8" s="52">
        <f t="shared" si="6"/>
        <v>790</v>
      </c>
      <c r="P8" s="52">
        <f t="shared" si="7"/>
        <v>1000</v>
      </c>
      <c r="Q8" s="52">
        <f t="shared" si="8"/>
        <v>2500</v>
      </c>
    </row>
    <row r="9" spans="1:25" ht="15">
      <c r="A9" s="14">
        <v>5</v>
      </c>
      <c r="B9" s="15" t="s">
        <v>250</v>
      </c>
      <c r="C9" s="15" t="s">
        <v>251</v>
      </c>
      <c r="D9" s="15" t="s">
        <v>125</v>
      </c>
      <c r="E9" s="15" t="s">
        <v>120</v>
      </c>
      <c r="F9" s="50">
        <v>30</v>
      </c>
      <c r="G9" s="51">
        <v>32390</v>
      </c>
      <c r="H9" s="52">
        <v>7100</v>
      </c>
      <c r="I9" s="52">
        <f t="shared" si="1"/>
        <v>1420</v>
      </c>
      <c r="J9" s="52">
        <f t="shared" si="0"/>
        <v>2130</v>
      </c>
      <c r="K9" s="52">
        <f t="shared" si="2"/>
        <v>10650</v>
      </c>
      <c r="L9" s="52">
        <f t="shared" si="3"/>
        <v>532.5</v>
      </c>
      <c r="M9" s="52">
        <f t="shared" si="4"/>
        <v>10117.5</v>
      </c>
      <c r="N9" s="59">
        <f t="shared" si="5"/>
        <v>710</v>
      </c>
      <c r="O9" s="52">
        <f t="shared" si="6"/>
        <v>710</v>
      </c>
      <c r="P9" s="52">
        <f t="shared" si="7"/>
        <v>1000</v>
      </c>
      <c r="Q9" s="52">
        <f t="shared" si="8"/>
        <v>2500</v>
      </c>
      <c r="S9" s="53"/>
      <c r="T9" s="53"/>
      <c r="U9" s="53"/>
      <c r="V9" s="53"/>
      <c r="W9" s="53"/>
    </row>
    <row r="10" spans="1:25">
      <c r="A10" s="14">
        <v>6</v>
      </c>
      <c r="B10" s="15" t="s">
        <v>195</v>
      </c>
      <c r="C10" s="15" t="s">
        <v>196</v>
      </c>
      <c r="D10" s="15" t="s">
        <v>125</v>
      </c>
      <c r="E10" s="15" t="s">
        <v>94</v>
      </c>
      <c r="F10" s="50">
        <v>30</v>
      </c>
      <c r="G10" s="51">
        <v>32755</v>
      </c>
      <c r="H10" s="52">
        <v>7100</v>
      </c>
      <c r="I10" s="52">
        <f t="shared" si="1"/>
        <v>1420</v>
      </c>
      <c r="J10" s="52">
        <f t="shared" si="0"/>
        <v>2130</v>
      </c>
      <c r="K10" s="52">
        <f t="shared" si="2"/>
        <v>10650</v>
      </c>
      <c r="L10" s="52">
        <f t="shared" si="3"/>
        <v>532.5</v>
      </c>
      <c r="M10" s="52">
        <f t="shared" si="4"/>
        <v>10117.5</v>
      </c>
      <c r="N10" s="59">
        <f t="shared" si="5"/>
        <v>710</v>
      </c>
      <c r="O10" s="52">
        <f t="shared" si="6"/>
        <v>710</v>
      </c>
      <c r="P10" s="52">
        <f t="shared" si="7"/>
        <v>1000</v>
      </c>
      <c r="Q10" s="52">
        <f t="shared" si="8"/>
        <v>2500</v>
      </c>
      <c r="S10" s="61"/>
      <c r="T10" s="61"/>
      <c r="U10" s="61"/>
      <c r="W10" s="56"/>
    </row>
    <row r="11" spans="1:25">
      <c r="A11" s="14">
        <v>7</v>
      </c>
      <c r="B11" s="15" t="s">
        <v>110</v>
      </c>
      <c r="C11" s="15" t="s">
        <v>111</v>
      </c>
      <c r="D11" s="15" t="s">
        <v>76</v>
      </c>
      <c r="E11" s="15" t="s">
        <v>94</v>
      </c>
      <c r="F11" s="50">
        <v>10</v>
      </c>
      <c r="G11" s="51">
        <v>36506</v>
      </c>
      <c r="H11" s="52">
        <v>8500</v>
      </c>
      <c r="I11" s="52">
        <f t="shared" si="1"/>
        <v>1700</v>
      </c>
      <c r="J11" s="52">
        <f t="shared" si="0"/>
        <v>2550</v>
      </c>
      <c r="K11" s="52">
        <f t="shared" si="2"/>
        <v>12750</v>
      </c>
      <c r="L11" s="52">
        <f t="shared" si="3"/>
        <v>637.5</v>
      </c>
      <c r="M11" s="52">
        <f t="shared" si="4"/>
        <v>12112.5</v>
      </c>
      <c r="N11" s="59">
        <f t="shared" si="5"/>
        <v>850</v>
      </c>
      <c r="O11" s="52">
        <f t="shared" si="6"/>
        <v>850</v>
      </c>
      <c r="P11" s="52">
        <f t="shared" si="7"/>
        <v>2500</v>
      </c>
      <c r="Q11" s="52">
        <f t="shared" si="8"/>
        <v>2500</v>
      </c>
      <c r="S11" s="61"/>
      <c r="T11" s="61"/>
      <c r="U11" s="61"/>
      <c r="W11" s="56"/>
    </row>
    <row r="12" spans="1:25">
      <c r="A12" s="16">
        <v>8</v>
      </c>
      <c r="B12" s="17" t="s">
        <v>246</v>
      </c>
      <c r="C12" s="17" t="s">
        <v>247</v>
      </c>
      <c r="D12" s="17" t="s">
        <v>97</v>
      </c>
      <c r="E12" s="15" t="s">
        <v>94</v>
      </c>
      <c r="F12" s="57">
        <v>20</v>
      </c>
      <c r="G12" s="58">
        <v>28326</v>
      </c>
      <c r="H12" s="59">
        <v>9000</v>
      </c>
      <c r="I12" s="52">
        <f t="shared" si="1"/>
        <v>1800</v>
      </c>
      <c r="J12" s="52">
        <f t="shared" si="0"/>
        <v>2700</v>
      </c>
      <c r="K12" s="52">
        <f t="shared" si="2"/>
        <v>13500</v>
      </c>
      <c r="L12" s="52">
        <f t="shared" si="3"/>
        <v>675</v>
      </c>
      <c r="M12" s="52">
        <f t="shared" si="4"/>
        <v>12825</v>
      </c>
      <c r="N12" s="59">
        <f t="shared" si="5"/>
        <v>900</v>
      </c>
      <c r="O12" s="52">
        <f t="shared" si="6"/>
        <v>900</v>
      </c>
      <c r="P12" s="52">
        <f t="shared" si="7"/>
        <v>1000</v>
      </c>
      <c r="Q12" s="52">
        <f t="shared" si="8"/>
        <v>2500</v>
      </c>
      <c r="S12" s="61"/>
      <c r="T12" s="61"/>
      <c r="U12" s="61"/>
      <c r="W12" s="56"/>
    </row>
    <row r="13" spans="1:25">
      <c r="A13" s="14">
        <v>9</v>
      </c>
      <c r="B13" s="15" t="s">
        <v>203</v>
      </c>
      <c r="C13" s="15" t="s">
        <v>204</v>
      </c>
      <c r="D13" s="15" t="s">
        <v>143</v>
      </c>
      <c r="E13" s="15" t="s">
        <v>103</v>
      </c>
      <c r="F13" s="50">
        <v>40</v>
      </c>
      <c r="G13" s="51">
        <v>31402</v>
      </c>
      <c r="H13" s="52">
        <v>8500</v>
      </c>
      <c r="I13" s="52">
        <f t="shared" si="1"/>
        <v>1700</v>
      </c>
      <c r="J13" s="52">
        <f t="shared" si="0"/>
        <v>2550</v>
      </c>
      <c r="K13" s="52">
        <f t="shared" si="2"/>
        <v>12750</v>
      </c>
      <c r="L13" s="52">
        <f t="shared" si="3"/>
        <v>637.5</v>
      </c>
      <c r="M13" s="52">
        <f t="shared" si="4"/>
        <v>12112.5</v>
      </c>
      <c r="N13" s="59">
        <f t="shared" si="5"/>
        <v>850</v>
      </c>
      <c r="O13" s="52">
        <f t="shared" si="6"/>
        <v>850</v>
      </c>
      <c r="P13" s="52">
        <f t="shared" si="7"/>
        <v>1000</v>
      </c>
      <c r="Q13" s="52">
        <f t="shared" si="8"/>
        <v>2500</v>
      </c>
      <c r="S13" s="61"/>
      <c r="T13" s="61"/>
      <c r="U13" s="61"/>
      <c r="V13" s="60"/>
      <c r="W13" s="62"/>
    </row>
    <row r="14" spans="1:25">
      <c r="A14" s="14">
        <v>10</v>
      </c>
      <c r="B14" s="15" t="s">
        <v>181</v>
      </c>
      <c r="C14" s="15" t="s">
        <v>205</v>
      </c>
      <c r="D14" s="15" t="s">
        <v>93</v>
      </c>
      <c r="E14" s="15" t="s">
        <v>120</v>
      </c>
      <c r="F14" s="50">
        <v>70</v>
      </c>
      <c r="G14" s="51">
        <v>30376</v>
      </c>
      <c r="H14" s="52">
        <v>12000</v>
      </c>
      <c r="I14" s="52">
        <f t="shared" si="1"/>
        <v>2400</v>
      </c>
      <c r="J14" s="52">
        <f t="shared" si="0"/>
        <v>3600</v>
      </c>
      <c r="K14" s="52">
        <f t="shared" si="2"/>
        <v>18000</v>
      </c>
      <c r="L14" s="52">
        <f t="shared" si="3"/>
        <v>900</v>
      </c>
      <c r="M14" s="52">
        <f t="shared" si="4"/>
        <v>17100</v>
      </c>
      <c r="N14" s="59">
        <f t="shared" si="5"/>
        <v>600</v>
      </c>
      <c r="O14" s="52">
        <f t="shared" si="6"/>
        <v>600</v>
      </c>
      <c r="P14" s="52">
        <f t="shared" si="7"/>
        <v>2500</v>
      </c>
      <c r="Q14" s="52">
        <f t="shared" si="8"/>
        <v>2500</v>
      </c>
      <c r="S14" s="61"/>
      <c r="T14" s="61"/>
      <c r="U14" s="61"/>
      <c r="W14" s="56"/>
    </row>
    <row r="15" spans="1:25">
      <c r="A15" s="14">
        <v>11</v>
      </c>
      <c r="B15" s="15" t="s">
        <v>206</v>
      </c>
      <c r="C15" s="15" t="s">
        <v>207</v>
      </c>
      <c r="D15" s="15" t="s">
        <v>143</v>
      </c>
      <c r="E15" s="15" t="s">
        <v>94</v>
      </c>
      <c r="F15" s="50">
        <v>40</v>
      </c>
      <c r="G15" s="51">
        <v>31027</v>
      </c>
      <c r="H15" s="52">
        <v>11000</v>
      </c>
      <c r="I15" s="52">
        <f t="shared" si="1"/>
        <v>2200</v>
      </c>
      <c r="J15" s="52">
        <f t="shared" si="0"/>
        <v>3300</v>
      </c>
      <c r="K15" s="52">
        <f t="shared" si="2"/>
        <v>16500</v>
      </c>
      <c r="L15" s="52">
        <f t="shared" si="3"/>
        <v>825</v>
      </c>
      <c r="M15" s="52">
        <f t="shared" si="4"/>
        <v>15675</v>
      </c>
      <c r="N15" s="59">
        <f t="shared" si="5"/>
        <v>550</v>
      </c>
      <c r="O15" s="52">
        <f t="shared" si="6"/>
        <v>550</v>
      </c>
      <c r="P15" s="52">
        <f t="shared" si="7"/>
        <v>1000</v>
      </c>
      <c r="Q15" s="52">
        <f t="shared" si="8"/>
        <v>2500</v>
      </c>
      <c r="S15" s="61"/>
      <c r="T15" s="61"/>
      <c r="U15" s="61"/>
      <c r="W15" s="56"/>
    </row>
    <row r="16" spans="1:25">
      <c r="A16" s="16">
        <v>12</v>
      </c>
      <c r="B16" s="17" t="s">
        <v>252</v>
      </c>
      <c r="C16" s="17" t="s">
        <v>259</v>
      </c>
      <c r="D16" s="17" t="s">
        <v>260</v>
      </c>
      <c r="E16" s="15" t="s">
        <v>103</v>
      </c>
      <c r="F16" s="57">
        <v>80</v>
      </c>
      <c r="G16" s="58">
        <v>31028</v>
      </c>
      <c r="H16" s="59">
        <v>15000</v>
      </c>
      <c r="I16" s="52">
        <f t="shared" si="1"/>
        <v>3000</v>
      </c>
      <c r="J16" s="52">
        <f t="shared" si="0"/>
        <v>4500</v>
      </c>
      <c r="K16" s="52">
        <f t="shared" si="2"/>
        <v>22500</v>
      </c>
      <c r="L16" s="52">
        <f t="shared" si="3"/>
        <v>1125</v>
      </c>
      <c r="M16" s="52">
        <f t="shared" si="4"/>
        <v>21375</v>
      </c>
      <c r="N16" s="59">
        <f t="shared" si="5"/>
        <v>750</v>
      </c>
      <c r="O16" s="52">
        <f t="shared" si="6"/>
        <v>750</v>
      </c>
      <c r="P16" s="52">
        <f t="shared" si="7"/>
        <v>1000</v>
      </c>
      <c r="Q16" s="52">
        <f t="shared" si="8"/>
        <v>2500</v>
      </c>
      <c r="S16" s="61"/>
      <c r="T16" s="61"/>
      <c r="U16" s="61"/>
      <c r="V16" s="60"/>
      <c r="W16" s="62"/>
    </row>
    <row r="17" spans="1:23">
      <c r="A17" s="14">
        <v>13</v>
      </c>
      <c r="B17" s="15" t="s">
        <v>190</v>
      </c>
      <c r="C17" s="15" t="s">
        <v>191</v>
      </c>
      <c r="D17" s="15" t="s">
        <v>115</v>
      </c>
      <c r="E17" s="15" t="s">
        <v>98</v>
      </c>
      <c r="F17" s="50">
        <v>60</v>
      </c>
      <c r="G17" s="51">
        <v>31029</v>
      </c>
      <c r="H17" s="52">
        <v>8500</v>
      </c>
      <c r="I17" s="52">
        <f t="shared" si="1"/>
        <v>1700</v>
      </c>
      <c r="J17" s="52">
        <f t="shared" si="0"/>
        <v>2550</v>
      </c>
      <c r="K17" s="52">
        <f t="shared" si="2"/>
        <v>12750</v>
      </c>
      <c r="L17" s="52">
        <f t="shared" si="3"/>
        <v>637.5</v>
      </c>
      <c r="M17" s="52">
        <f t="shared" si="4"/>
        <v>12112.5</v>
      </c>
      <c r="N17" s="59">
        <f t="shared" si="5"/>
        <v>850</v>
      </c>
      <c r="O17" s="52">
        <f t="shared" si="6"/>
        <v>850</v>
      </c>
      <c r="P17" s="52">
        <f t="shared" si="7"/>
        <v>1000</v>
      </c>
      <c r="Q17" s="52">
        <f t="shared" si="8"/>
        <v>2500</v>
      </c>
      <c r="S17" s="61"/>
      <c r="T17" s="61"/>
      <c r="U17" s="61"/>
      <c r="W17" s="56"/>
    </row>
    <row r="18" spans="1:23">
      <c r="A18" s="14">
        <v>14</v>
      </c>
      <c r="B18" s="15" t="s">
        <v>121</v>
      </c>
      <c r="C18" s="15" t="s">
        <v>122</v>
      </c>
      <c r="D18" s="15" t="s">
        <v>115</v>
      </c>
      <c r="E18" s="15" t="s">
        <v>94</v>
      </c>
      <c r="F18" s="50">
        <v>60</v>
      </c>
      <c r="G18" s="51">
        <v>31030</v>
      </c>
      <c r="H18" s="52">
        <v>8500</v>
      </c>
      <c r="I18" s="52">
        <f t="shared" si="1"/>
        <v>1700</v>
      </c>
      <c r="J18" s="52">
        <f t="shared" si="0"/>
        <v>2550</v>
      </c>
      <c r="K18" s="52">
        <f t="shared" si="2"/>
        <v>12750</v>
      </c>
      <c r="L18" s="52">
        <f t="shared" si="3"/>
        <v>637.5</v>
      </c>
      <c r="M18" s="52">
        <f t="shared" si="4"/>
        <v>12112.5</v>
      </c>
      <c r="N18" s="59">
        <f t="shared" si="5"/>
        <v>850</v>
      </c>
      <c r="O18" s="52">
        <f t="shared" si="6"/>
        <v>850</v>
      </c>
      <c r="P18" s="52">
        <f t="shared" si="7"/>
        <v>1000</v>
      </c>
      <c r="Q18" s="52">
        <f t="shared" si="8"/>
        <v>2500</v>
      </c>
      <c r="S18" s="61"/>
      <c r="T18" s="61"/>
      <c r="U18" s="61"/>
      <c r="W18" s="56"/>
    </row>
    <row r="19" spans="1:23">
      <c r="A19" s="14">
        <v>15</v>
      </c>
      <c r="B19" s="15" t="s">
        <v>104</v>
      </c>
      <c r="C19" s="15" t="s">
        <v>105</v>
      </c>
      <c r="D19" s="15" t="s">
        <v>93</v>
      </c>
      <c r="E19" s="15" t="s">
        <v>94</v>
      </c>
      <c r="F19" s="50">
        <v>70</v>
      </c>
      <c r="G19" s="51">
        <v>30376</v>
      </c>
      <c r="H19" s="52">
        <v>9000</v>
      </c>
      <c r="I19" s="52">
        <f t="shared" si="1"/>
        <v>1800</v>
      </c>
      <c r="J19" s="52">
        <f t="shared" si="0"/>
        <v>2700</v>
      </c>
      <c r="K19" s="52">
        <f t="shared" si="2"/>
        <v>13500</v>
      </c>
      <c r="L19" s="52">
        <f t="shared" si="3"/>
        <v>675</v>
      </c>
      <c r="M19" s="52">
        <f t="shared" si="4"/>
        <v>12825</v>
      </c>
      <c r="N19" s="59">
        <f t="shared" si="5"/>
        <v>900</v>
      </c>
      <c r="O19" s="52">
        <f t="shared" si="6"/>
        <v>900</v>
      </c>
      <c r="P19" s="52">
        <f t="shared" si="7"/>
        <v>2500</v>
      </c>
      <c r="Q19" s="52">
        <f t="shared" si="8"/>
        <v>2500</v>
      </c>
      <c r="S19" s="61"/>
      <c r="T19" s="61"/>
      <c r="U19" s="61"/>
      <c r="W19" s="56"/>
    </row>
    <row r="20" spans="1:23" s="60" customFormat="1">
      <c r="A20" s="14">
        <v>16</v>
      </c>
      <c r="B20" s="15" t="s">
        <v>254</v>
      </c>
      <c r="C20" s="15" t="s">
        <v>255</v>
      </c>
      <c r="D20" s="15" t="s">
        <v>93</v>
      </c>
      <c r="E20" s="15" t="s">
        <v>103</v>
      </c>
      <c r="F20" s="50">
        <v>70</v>
      </c>
      <c r="G20" s="51">
        <v>30376</v>
      </c>
      <c r="H20" s="52">
        <v>9000</v>
      </c>
      <c r="I20" s="52">
        <f t="shared" si="1"/>
        <v>1800</v>
      </c>
      <c r="J20" s="52">
        <f t="shared" si="0"/>
        <v>2700</v>
      </c>
      <c r="K20" s="52">
        <f t="shared" si="2"/>
        <v>13500</v>
      </c>
      <c r="L20" s="52">
        <f t="shared" si="3"/>
        <v>675</v>
      </c>
      <c r="M20" s="52">
        <f t="shared" si="4"/>
        <v>12825</v>
      </c>
      <c r="N20" s="59">
        <f t="shared" si="5"/>
        <v>900</v>
      </c>
      <c r="O20" s="52">
        <f t="shared" si="6"/>
        <v>900</v>
      </c>
      <c r="P20" s="52">
        <f t="shared" si="7"/>
        <v>2500</v>
      </c>
      <c r="Q20" s="52">
        <f t="shared" si="8"/>
        <v>5000</v>
      </c>
      <c r="R20" s="43"/>
      <c r="S20" s="61"/>
      <c r="U20" s="61"/>
      <c r="W20" s="62"/>
    </row>
    <row r="21" spans="1:23">
      <c r="A21" s="14">
        <v>17</v>
      </c>
      <c r="B21" s="15" t="s">
        <v>215</v>
      </c>
      <c r="C21" s="15" t="s">
        <v>216</v>
      </c>
      <c r="D21" s="15" t="s">
        <v>97</v>
      </c>
      <c r="E21" s="15" t="s">
        <v>120</v>
      </c>
      <c r="F21" s="50">
        <v>20</v>
      </c>
      <c r="G21" s="51">
        <v>31637</v>
      </c>
      <c r="H21" s="52">
        <v>6000</v>
      </c>
      <c r="I21" s="52">
        <f t="shared" si="1"/>
        <v>1200</v>
      </c>
      <c r="J21" s="52">
        <f t="shared" si="0"/>
        <v>1800</v>
      </c>
      <c r="K21" s="52">
        <f t="shared" si="2"/>
        <v>9000</v>
      </c>
      <c r="L21" s="52">
        <f t="shared" si="3"/>
        <v>450</v>
      </c>
      <c r="M21" s="52">
        <f t="shared" si="4"/>
        <v>8550</v>
      </c>
      <c r="N21" s="59">
        <f t="shared" si="5"/>
        <v>600</v>
      </c>
      <c r="O21" s="52">
        <f t="shared" si="6"/>
        <v>600</v>
      </c>
      <c r="P21" s="52">
        <f t="shared" si="7"/>
        <v>1000</v>
      </c>
      <c r="Q21" s="52">
        <f t="shared" si="8"/>
        <v>2500</v>
      </c>
      <c r="S21" s="61"/>
      <c r="T21" s="61"/>
      <c r="U21" s="61"/>
      <c r="V21" s="60"/>
      <c r="W21" s="62"/>
    </row>
    <row r="22" spans="1:23">
      <c r="A22" s="14">
        <v>18</v>
      </c>
      <c r="B22" s="15" t="s">
        <v>155</v>
      </c>
      <c r="C22" s="15" t="s">
        <v>156</v>
      </c>
      <c r="D22" s="15" t="s">
        <v>97</v>
      </c>
      <c r="E22" s="15" t="s">
        <v>94</v>
      </c>
      <c r="F22" s="50">
        <v>20</v>
      </c>
      <c r="G22" s="51">
        <v>36316</v>
      </c>
      <c r="H22" s="52">
        <v>3400</v>
      </c>
      <c r="I22" s="52">
        <f t="shared" si="1"/>
        <v>680</v>
      </c>
      <c r="J22" s="52">
        <f t="shared" si="0"/>
        <v>1020</v>
      </c>
      <c r="K22" s="52">
        <f t="shared" si="2"/>
        <v>5100</v>
      </c>
      <c r="L22" s="52">
        <f t="shared" si="3"/>
        <v>255</v>
      </c>
      <c r="M22" s="52">
        <f t="shared" si="4"/>
        <v>4845</v>
      </c>
      <c r="N22" s="59">
        <f t="shared" si="5"/>
        <v>340</v>
      </c>
      <c r="O22" s="52">
        <f t="shared" si="6"/>
        <v>510</v>
      </c>
      <c r="P22" s="52">
        <f t="shared" si="7"/>
        <v>1000</v>
      </c>
      <c r="Q22" s="52">
        <f t="shared" si="8"/>
        <v>2500</v>
      </c>
      <c r="S22" s="61"/>
      <c r="T22" s="61"/>
      <c r="U22" s="61"/>
      <c r="W22" s="56"/>
    </row>
    <row r="23" spans="1:23">
      <c r="A23" s="14">
        <v>19</v>
      </c>
      <c r="B23" s="15" t="s">
        <v>148</v>
      </c>
      <c r="C23" s="15" t="s">
        <v>149</v>
      </c>
      <c r="D23" s="15" t="s">
        <v>97</v>
      </c>
      <c r="E23" s="15" t="s">
        <v>94</v>
      </c>
      <c r="F23" s="50">
        <v>20</v>
      </c>
      <c r="G23" s="51">
        <v>36317</v>
      </c>
      <c r="H23" s="52">
        <v>4500</v>
      </c>
      <c r="I23" s="52">
        <f t="shared" si="1"/>
        <v>900</v>
      </c>
      <c r="J23" s="52">
        <f t="shared" si="0"/>
        <v>1350</v>
      </c>
      <c r="K23" s="52">
        <f t="shared" si="2"/>
        <v>6750</v>
      </c>
      <c r="L23" s="52">
        <f t="shared" si="3"/>
        <v>337.5</v>
      </c>
      <c r="M23" s="52">
        <f t="shared" si="4"/>
        <v>6412.5</v>
      </c>
      <c r="N23" s="59">
        <f t="shared" si="5"/>
        <v>450</v>
      </c>
      <c r="O23" s="52">
        <f t="shared" si="6"/>
        <v>675</v>
      </c>
      <c r="P23" s="52">
        <f t="shared" si="7"/>
        <v>1000</v>
      </c>
      <c r="Q23" s="52">
        <f t="shared" si="8"/>
        <v>2500</v>
      </c>
      <c r="S23" s="61"/>
      <c r="T23" s="61"/>
      <c r="U23" s="61"/>
      <c r="V23" s="60"/>
      <c r="W23" s="62"/>
    </row>
    <row r="24" spans="1:23">
      <c r="A24" s="14">
        <v>20</v>
      </c>
      <c r="B24" s="15" t="s">
        <v>187</v>
      </c>
      <c r="C24" s="15" t="s">
        <v>186</v>
      </c>
      <c r="D24" s="15" t="s">
        <v>97</v>
      </c>
      <c r="E24" s="15" t="s">
        <v>103</v>
      </c>
      <c r="F24" s="50">
        <v>20</v>
      </c>
      <c r="G24" s="51">
        <v>36318</v>
      </c>
      <c r="H24" s="52">
        <v>4500</v>
      </c>
      <c r="I24" s="52">
        <f t="shared" ref="I24:I43" si="9">$H24*I$1</f>
        <v>900</v>
      </c>
      <c r="J24" s="52">
        <f t="shared" si="0"/>
        <v>1350</v>
      </c>
      <c r="K24" s="52">
        <f t="shared" si="2"/>
        <v>6750</v>
      </c>
      <c r="L24" s="52">
        <f t="shared" si="3"/>
        <v>337.5</v>
      </c>
      <c r="M24" s="52">
        <f t="shared" si="4"/>
        <v>6412.5</v>
      </c>
      <c r="N24" s="59">
        <f t="shared" si="5"/>
        <v>450</v>
      </c>
      <c r="O24" s="52">
        <f t="shared" si="6"/>
        <v>675</v>
      </c>
      <c r="P24" s="52">
        <f t="shared" si="7"/>
        <v>1000</v>
      </c>
      <c r="Q24" s="52">
        <f t="shared" si="8"/>
        <v>2500</v>
      </c>
      <c r="S24" s="61"/>
      <c r="T24" s="61"/>
      <c r="U24" s="61"/>
      <c r="W24" s="56"/>
    </row>
    <row r="25" spans="1:23">
      <c r="A25" s="14">
        <v>21</v>
      </c>
      <c r="B25" s="15" t="s">
        <v>134</v>
      </c>
      <c r="C25" s="15" t="s">
        <v>135</v>
      </c>
      <c r="D25" s="15" t="s">
        <v>97</v>
      </c>
      <c r="E25" s="15" t="s">
        <v>120</v>
      </c>
      <c r="F25" s="50">
        <v>20</v>
      </c>
      <c r="G25" s="51">
        <v>36319</v>
      </c>
      <c r="H25" s="52">
        <v>4500</v>
      </c>
      <c r="I25" s="52">
        <f t="shared" si="9"/>
        <v>900</v>
      </c>
      <c r="J25" s="52">
        <f t="shared" si="0"/>
        <v>1350</v>
      </c>
      <c r="K25" s="52">
        <f t="shared" si="2"/>
        <v>6750</v>
      </c>
      <c r="L25" s="52">
        <f t="shared" si="3"/>
        <v>337.5</v>
      </c>
      <c r="M25" s="52">
        <f t="shared" si="4"/>
        <v>6412.5</v>
      </c>
      <c r="N25" s="59">
        <f t="shared" si="5"/>
        <v>450</v>
      </c>
      <c r="O25" s="52">
        <f t="shared" si="6"/>
        <v>675</v>
      </c>
      <c r="P25" s="52">
        <f t="shared" si="7"/>
        <v>1000</v>
      </c>
      <c r="Q25" s="52">
        <f t="shared" si="8"/>
        <v>2500</v>
      </c>
      <c r="S25" s="61"/>
      <c r="T25" s="61"/>
      <c r="U25" s="61"/>
      <c r="W25" s="56"/>
    </row>
    <row r="26" spans="1:23">
      <c r="A26" s="14">
        <v>22</v>
      </c>
      <c r="B26" s="15" t="s">
        <v>188</v>
      </c>
      <c r="C26" s="15" t="s">
        <v>189</v>
      </c>
      <c r="D26" s="15" t="s">
        <v>76</v>
      </c>
      <c r="E26" s="15" t="s">
        <v>120</v>
      </c>
      <c r="F26" s="50">
        <v>10</v>
      </c>
      <c r="G26" s="51">
        <v>29362</v>
      </c>
      <c r="H26" s="52">
        <v>8500</v>
      </c>
      <c r="I26" s="52">
        <f t="shared" si="9"/>
        <v>1700</v>
      </c>
      <c r="J26" s="52">
        <f t="shared" si="0"/>
        <v>2550</v>
      </c>
      <c r="K26" s="52">
        <f t="shared" si="2"/>
        <v>12750</v>
      </c>
      <c r="L26" s="52">
        <f t="shared" si="3"/>
        <v>637.5</v>
      </c>
      <c r="M26" s="52">
        <f t="shared" si="4"/>
        <v>12112.5</v>
      </c>
      <c r="N26" s="59">
        <f t="shared" si="5"/>
        <v>850</v>
      </c>
      <c r="O26" s="52">
        <f t="shared" si="6"/>
        <v>850</v>
      </c>
      <c r="P26" s="52">
        <f t="shared" si="7"/>
        <v>2500</v>
      </c>
      <c r="Q26" s="52">
        <f t="shared" si="8"/>
        <v>2500</v>
      </c>
      <c r="S26" s="61"/>
      <c r="T26" s="61"/>
      <c r="U26" s="61"/>
      <c r="W26" s="56"/>
    </row>
    <row r="27" spans="1:23">
      <c r="A27" s="14">
        <v>23</v>
      </c>
      <c r="B27" s="15" t="s">
        <v>212</v>
      </c>
      <c r="C27" s="15" t="s">
        <v>213</v>
      </c>
      <c r="D27" s="15" t="s">
        <v>125</v>
      </c>
      <c r="E27" s="15" t="s">
        <v>120</v>
      </c>
      <c r="F27" s="50">
        <v>30</v>
      </c>
      <c r="G27" s="51">
        <v>36274</v>
      </c>
      <c r="H27" s="52">
        <v>4500</v>
      </c>
      <c r="I27" s="52">
        <f t="shared" si="9"/>
        <v>900</v>
      </c>
      <c r="J27" s="52">
        <f t="shared" si="0"/>
        <v>1350</v>
      </c>
      <c r="K27" s="52">
        <f t="shared" si="2"/>
        <v>6750</v>
      </c>
      <c r="L27" s="52">
        <f t="shared" si="3"/>
        <v>337.5</v>
      </c>
      <c r="M27" s="52">
        <f t="shared" si="4"/>
        <v>6412.5</v>
      </c>
      <c r="N27" s="59">
        <f t="shared" si="5"/>
        <v>450</v>
      </c>
      <c r="O27" s="52">
        <f t="shared" si="6"/>
        <v>675</v>
      </c>
      <c r="P27" s="52">
        <f t="shared" si="7"/>
        <v>1000</v>
      </c>
      <c r="Q27" s="52">
        <f t="shared" si="8"/>
        <v>2500</v>
      </c>
      <c r="S27" s="61"/>
      <c r="T27" s="61"/>
      <c r="U27" s="61"/>
      <c r="W27" s="56"/>
    </row>
    <row r="28" spans="1:23">
      <c r="A28" s="14">
        <v>24</v>
      </c>
      <c r="B28" s="15" t="s">
        <v>128</v>
      </c>
      <c r="C28" s="15" t="s">
        <v>129</v>
      </c>
      <c r="D28" s="15" t="s">
        <v>76</v>
      </c>
      <c r="E28" s="15" t="s">
        <v>98</v>
      </c>
      <c r="F28" s="50">
        <v>10</v>
      </c>
      <c r="G28" s="51">
        <v>30225</v>
      </c>
      <c r="H28" s="52">
        <v>11000</v>
      </c>
      <c r="I28" s="52">
        <f t="shared" si="9"/>
        <v>2200</v>
      </c>
      <c r="J28" s="52">
        <f t="shared" si="0"/>
        <v>3300</v>
      </c>
      <c r="K28" s="52">
        <f t="shared" si="2"/>
        <v>16500</v>
      </c>
      <c r="L28" s="52">
        <f t="shared" si="3"/>
        <v>825</v>
      </c>
      <c r="M28" s="52">
        <f t="shared" si="4"/>
        <v>15675</v>
      </c>
      <c r="N28" s="59">
        <f t="shared" si="5"/>
        <v>550</v>
      </c>
      <c r="O28" s="52">
        <f t="shared" si="6"/>
        <v>550</v>
      </c>
      <c r="P28" s="52">
        <f t="shared" si="7"/>
        <v>2500</v>
      </c>
      <c r="Q28" s="52">
        <f t="shared" si="8"/>
        <v>2500</v>
      </c>
      <c r="S28" s="61"/>
      <c r="T28" s="61"/>
      <c r="U28" s="61"/>
      <c r="W28" s="56"/>
    </row>
    <row r="29" spans="1:23">
      <c r="A29" s="14">
        <v>25</v>
      </c>
      <c r="B29" s="15" t="s">
        <v>201</v>
      </c>
      <c r="C29" s="15" t="s">
        <v>202</v>
      </c>
      <c r="D29" s="15" t="s">
        <v>76</v>
      </c>
      <c r="E29" s="15" t="s">
        <v>103</v>
      </c>
      <c r="F29" s="50">
        <v>10</v>
      </c>
      <c r="G29" s="51">
        <v>33787</v>
      </c>
      <c r="H29" s="52">
        <v>7500</v>
      </c>
      <c r="I29" s="52">
        <f t="shared" si="9"/>
        <v>1500</v>
      </c>
      <c r="J29" s="52">
        <f t="shared" si="0"/>
        <v>2250</v>
      </c>
      <c r="K29" s="52">
        <f t="shared" si="2"/>
        <v>11250</v>
      </c>
      <c r="L29" s="52">
        <f t="shared" si="3"/>
        <v>562.5</v>
      </c>
      <c r="M29" s="52">
        <f t="shared" si="4"/>
        <v>10687.5</v>
      </c>
      <c r="N29" s="59">
        <f t="shared" si="5"/>
        <v>750</v>
      </c>
      <c r="O29" s="52">
        <f t="shared" si="6"/>
        <v>750</v>
      </c>
      <c r="P29" s="52">
        <f t="shared" si="7"/>
        <v>2500</v>
      </c>
      <c r="Q29" s="52">
        <f t="shared" si="8"/>
        <v>5000</v>
      </c>
      <c r="S29" s="61"/>
      <c r="T29" s="61"/>
      <c r="U29" s="61"/>
      <c r="W29" s="56"/>
    </row>
    <row r="30" spans="1:23">
      <c r="A30" s="14">
        <v>26</v>
      </c>
      <c r="B30" s="15" t="s">
        <v>270</v>
      </c>
      <c r="C30" s="15" t="s">
        <v>271</v>
      </c>
      <c r="D30" s="15" t="s">
        <v>125</v>
      </c>
      <c r="E30" s="15" t="s">
        <v>98</v>
      </c>
      <c r="F30" s="50">
        <v>30</v>
      </c>
      <c r="G30" s="51">
        <v>34777</v>
      </c>
      <c r="H30" s="52">
        <v>6000</v>
      </c>
      <c r="I30" s="52">
        <f t="shared" si="9"/>
        <v>1200</v>
      </c>
      <c r="J30" s="52">
        <f t="shared" si="0"/>
        <v>1800</v>
      </c>
      <c r="K30" s="52">
        <f t="shared" si="2"/>
        <v>9000</v>
      </c>
      <c r="L30" s="52">
        <f t="shared" si="3"/>
        <v>450</v>
      </c>
      <c r="M30" s="52">
        <f t="shared" si="4"/>
        <v>8550</v>
      </c>
      <c r="N30" s="59">
        <f t="shared" si="5"/>
        <v>600</v>
      </c>
      <c r="O30" s="52">
        <f t="shared" si="6"/>
        <v>600</v>
      </c>
      <c r="P30" s="52">
        <f t="shared" si="7"/>
        <v>1000</v>
      </c>
      <c r="Q30" s="52">
        <f t="shared" si="8"/>
        <v>2500</v>
      </c>
      <c r="S30" s="61"/>
      <c r="T30" s="61"/>
      <c r="U30" s="61"/>
      <c r="W30" s="56"/>
    </row>
    <row r="31" spans="1:23">
      <c r="A31" s="14">
        <v>27</v>
      </c>
      <c r="B31" s="15" t="s">
        <v>232</v>
      </c>
      <c r="C31" s="15" t="s">
        <v>233</v>
      </c>
      <c r="D31" s="15" t="s">
        <v>93</v>
      </c>
      <c r="E31" s="15" t="s">
        <v>120</v>
      </c>
      <c r="F31" s="50">
        <v>70</v>
      </c>
      <c r="G31" s="51">
        <v>35189</v>
      </c>
      <c r="H31" s="52">
        <v>5500</v>
      </c>
      <c r="I31" s="52">
        <f t="shared" si="9"/>
        <v>1100</v>
      </c>
      <c r="J31" s="52">
        <f t="shared" si="0"/>
        <v>1650</v>
      </c>
      <c r="K31" s="52">
        <f t="shared" si="2"/>
        <v>8250</v>
      </c>
      <c r="L31" s="52">
        <f t="shared" si="3"/>
        <v>412.5</v>
      </c>
      <c r="M31" s="52">
        <f t="shared" si="4"/>
        <v>7837.5</v>
      </c>
      <c r="N31" s="59">
        <f t="shared" si="5"/>
        <v>550</v>
      </c>
      <c r="O31" s="52">
        <f t="shared" si="6"/>
        <v>550</v>
      </c>
      <c r="P31" s="52">
        <f t="shared" si="7"/>
        <v>2500</v>
      </c>
      <c r="Q31" s="52">
        <f t="shared" si="8"/>
        <v>2500</v>
      </c>
      <c r="S31" s="61"/>
      <c r="T31" s="61"/>
      <c r="U31" s="61"/>
      <c r="W31" s="56"/>
    </row>
    <row r="32" spans="1:23">
      <c r="A32" s="16">
        <v>28</v>
      </c>
      <c r="B32" s="17" t="s">
        <v>169</v>
      </c>
      <c r="C32" s="17" t="s">
        <v>170</v>
      </c>
      <c r="D32" s="17" t="s">
        <v>115</v>
      </c>
      <c r="E32" s="15" t="s">
        <v>94</v>
      </c>
      <c r="F32" s="57">
        <v>60</v>
      </c>
      <c r="G32" s="58">
        <v>32435</v>
      </c>
      <c r="H32" s="59">
        <v>8100</v>
      </c>
      <c r="I32" s="52">
        <f t="shared" si="9"/>
        <v>1620</v>
      </c>
      <c r="J32" s="52">
        <f t="shared" si="0"/>
        <v>2430</v>
      </c>
      <c r="K32" s="52">
        <f t="shared" si="2"/>
        <v>12150</v>
      </c>
      <c r="L32" s="52">
        <f t="shared" si="3"/>
        <v>607.5</v>
      </c>
      <c r="M32" s="52">
        <f t="shared" si="4"/>
        <v>11542.5</v>
      </c>
      <c r="N32" s="59">
        <f t="shared" si="5"/>
        <v>810</v>
      </c>
      <c r="O32" s="52">
        <f t="shared" si="6"/>
        <v>810</v>
      </c>
      <c r="P32" s="52">
        <f t="shared" si="7"/>
        <v>1000</v>
      </c>
      <c r="Q32" s="52">
        <f t="shared" si="8"/>
        <v>2500</v>
      </c>
      <c r="S32" s="61"/>
      <c r="T32" s="61"/>
      <c r="U32" s="61"/>
      <c r="W32" s="56"/>
    </row>
    <row r="33" spans="1:23">
      <c r="A33" s="14">
        <v>29</v>
      </c>
      <c r="B33" s="15" t="s">
        <v>234</v>
      </c>
      <c r="C33" s="15" t="s">
        <v>235</v>
      </c>
      <c r="D33" s="15" t="s">
        <v>125</v>
      </c>
      <c r="E33" s="15" t="s">
        <v>103</v>
      </c>
      <c r="F33" s="50">
        <v>30</v>
      </c>
      <c r="G33" s="51">
        <v>30225</v>
      </c>
      <c r="H33" s="52">
        <v>9000</v>
      </c>
      <c r="I33" s="52">
        <f t="shared" si="9"/>
        <v>1800</v>
      </c>
      <c r="J33" s="52">
        <f t="shared" si="0"/>
        <v>2700</v>
      </c>
      <c r="K33" s="52">
        <f t="shared" si="2"/>
        <v>13500</v>
      </c>
      <c r="L33" s="52">
        <f t="shared" si="3"/>
        <v>675</v>
      </c>
      <c r="M33" s="52">
        <f t="shared" si="4"/>
        <v>12825</v>
      </c>
      <c r="N33" s="59">
        <f t="shared" si="5"/>
        <v>900</v>
      </c>
      <c r="O33" s="52">
        <f t="shared" si="6"/>
        <v>900</v>
      </c>
      <c r="P33" s="52">
        <f t="shared" si="7"/>
        <v>1000</v>
      </c>
      <c r="Q33" s="52">
        <f t="shared" si="8"/>
        <v>2500</v>
      </c>
      <c r="S33" s="61"/>
      <c r="T33" s="61"/>
      <c r="U33" s="61"/>
      <c r="W33" s="56"/>
    </row>
    <row r="34" spans="1:23">
      <c r="A34" s="16">
        <v>30</v>
      </c>
      <c r="B34" s="17" t="s">
        <v>220</v>
      </c>
      <c r="C34" s="17" t="s">
        <v>221</v>
      </c>
      <c r="D34" s="17" t="s">
        <v>100</v>
      </c>
      <c r="E34" s="15" t="s">
        <v>94</v>
      </c>
      <c r="F34" s="57">
        <v>50</v>
      </c>
      <c r="G34" s="58">
        <v>30225</v>
      </c>
      <c r="H34" s="59">
        <v>9000</v>
      </c>
      <c r="I34" s="52">
        <f t="shared" si="9"/>
        <v>1800</v>
      </c>
      <c r="J34" s="52">
        <f t="shared" si="0"/>
        <v>2700</v>
      </c>
      <c r="K34" s="52">
        <f t="shared" si="2"/>
        <v>13500</v>
      </c>
      <c r="L34" s="52">
        <f t="shared" si="3"/>
        <v>675</v>
      </c>
      <c r="M34" s="52">
        <f t="shared" si="4"/>
        <v>12825</v>
      </c>
      <c r="N34" s="59">
        <f t="shared" si="5"/>
        <v>900</v>
      </c>
      <c r="O34" s="52">
        <f t="shared" si="6"/>
        <v>900</v>
      </c>
      <c r="P34" s="52">
        <f t="shared" si="7"/>
        <v>1000</v>
      </c>
      <c r="Q34" s="52">
        <f t="shared" si="8"/>
        <v>2500</v>
      </c>
      <c r="S34" s="61"/>
      <c r="T34" s="61"/>
      <c r="U34" s="61"/>
      <c r="W34" s="56"/>
    </row>
    <row r="35" spans="1:23">
      <c r="A35" s="14">
        <v>31</v>
      </c>
      <c r="B35" s="15" t="s">
        <v>242</v>
      </c>
      <c r="C35" s="15" t="s">
        <v>243</v>
      </c>
      <c r="D35" s="15" t="s">
        <v>100</v>
      </c>
      <c r="E35" s="15" t="s">
        <v>98</v>
      </c>
      <c r="F35" s="50">
        <v>50</v>
      </c>
      <c r="G35" s="51">
        <v>35618</v>
      </c>
      <c r="H35" s="52">
        <v>4000</v>
      </c>
      <c r="I35" s="52">
        <f t="shared" si="9"/>
        <v>800</v>
      </c>
      <c r="J35" s="52">
        <f t="shared" si="0"/>
        <v>1200</v>
      </c>
      <c r="K35" s="52">
        <f t="shared" si="2"/>
        <v>6000</v>
      </c>
      <c r="L35" s="52">
        <f t="shared" si="3"/>
        <v>300</v>
      </c>
      <c r="M35" s="52">
        <f t="shared" si="4"/>
        <v>5700</v>
      </c>
      <c r="N35" s="59">
        <f t="shared" si="5"/>
        <v>400</v>
      </c>
      <c r="O35" s="52">
        <f t="shared" si="6"/>
        <v>600</v>
      </c>
      <c r="P35" s="52">
        <f t="shared" si="7"/>
        <v>1000</v>
      </c>
      <c r="Q35" s="52">
        <f t="shared" si="8"/>
        <v>2500</v>
      </c>
      <c r="S35" s="61"/>
      <c r="T35" s="61"/>
      <c r="U35" s="61"/>
      <c r="W35" s="56"/>
    </row>
    <row r="36" spans="1:23" s="60" customFormat="1">
      <c r="A36" s="14">
        <v>32</v>
      </c>
      <c r="B36" s="15" t="s">
        <v>99</v>
      </c>
      <c r="C36" s="15" t="s">
        <v>96</v>
      </c>
      <c r="D36" s="15" t="s">
        <v>100</v>
      </c>
      <c r="E36" s="15" t="s">
        <v>94</v>
      </c>
      <c r="F36" s="50">
        <v>50</v>
      </c>
      <c r="G36" s="51">
        <v>33510</v>
      </c>
      <c r="H36" s="52">
        <v>5000</v>
      </c>
      <c r="I36" s="52">
        <f t="shared" si="9"/>
        <v>1000</v>
      </c>
      <c r="J36" s="52">
        <f t="shared" si="0"/>
        <v>1500</v>
      </c>
      <c r="K36" s="52">
        <f t="shared" si="2"/>
        <v>7500</v>
      </c>
      <c r="L36" s="52">
        <f t="shared" si="3"/>
        <v>375</v>
      </c>
      <c r="M36" s="52">
        <f t="shared" si="4"/>
        <v>7125</v>
      </c>
      <c r="N36" s="59">
        <f t="shared" si="5"/>
        <v>500</v>
      </c>
      <c r="O36" s="52">
        <f t="shared" si="6"/>
        <v>500</v>
      </c>
      <c r="P36" s="52">
        <f t="shared" si="7"/>
        <v>1000</v>
      </c>
      <c r="Q36" s="52">
        <f t="shared" si="8"/>
        <v>2500</v>
      </c>
      <c r="R36" s="43"/>
      <c r="S36" s="61"/>
      <c r="T36" s="61"/>
      <c r="U36" s="61"/>
      <c r="V36" s="43"/>
      <c r="W36" s="56"/>
    </row>
    <row r="37" spans="1:23" s="60" customFormat="1">
      <c r="A37" s="14">
        <v>33</v>
      </c>
      <c r="B37" s="15" t="s">
        <v>222</v>
      </c>
      <c r="C37" s="15" t="s">
        <v>221</v>
      </c>
      <c r="D37" s="15" t="s">
        <v>97</v>
      </c>
      <c r="E37" s="15" t="s">
        <v>94</v>
      </c>
      <c r="F37" s="50">
        <v>20</v>
      </c>
      <c r="G37" s="51">
        <v>33729</v>
      </c>
      <c r="H37" s="52">
        <v>5300</v>
      </c>
      <c r="I37" s="52">
        <f t="shared" si="9"/>
        <v>1060</v>
      </c>
      <c r="J37" s="52">
        <f t="shared" si="0"/>
        <v>1590</v>
      </c>
      <c r="K37" s="52">
        <f t="shared" si="2"/>
        <v>7950</v>
      </c>
      <c r="L37" s="52">
        <f t="shared" si="3"/>
        <v>397.5</v>
      </c>
      <c r="M37" s="52">
        <f t="shared" si="4"/>
        <v>7552.5</v>
      </c>
      <c r="N37" s="59">
        <f t="shared" si="5"/>
        <v>530</v>
      </c>
      <c r="O37" s="52">
        <f t="shared" si="6"/>
        <v>530</v>
      </c>
      <c r="P37" s="52">
        <f t="shared" si="7"/>
        <v>1000</v>
      </c>
      <c r="Q37" s="52">
        <f t="shared" si="8"/>
        <v>2500</v>
      </c>
      <c r="S37" s="61"/>
      <c r="T37" s="61"/>
      <c r="U37" s="61"/>
      <c r="V37" s="43"/>
      <c r="W37" s="56"/>
    </row>
    <row r="38" spans="1:23">
      <c r="A38" s="14">
        <v>34</v>
      </c>
      <c r="B38" s="15" t="s">
        <v>188</v>
      </c>
      <c r="C38" s="15" t="s">
        <v>214</v>
      </c>
      <c r="D38" s="15" t="s">
        <v>115</v>
      </c>
      <c r="E38" s="15" t="s">
        <v>98</v>
      </c>
      <c r="F38" s="50">
        <v>10</v>
      </c>
      <c r="G38" s="51">
        <v>34580</v>
      </c>
      <c r="H38" s="52">
        <v>6700</v>
      </c>
      <c r="I38" s="52">
        <f t="shared" si="9"/>
        <v>1340</v>
      </c>
      <c r="J38" s="52">
        <f t="shared" si="0"/>
        <v>2010</v>
      </c>
      <c r="K38" s="52">
        <f t="shared" si="2"/>
        <v>10050</v>
      </c>
      <c r="L38" s="52">
        <f t="shared" si="3"/>
        <v>502.5</v>
      </c>
      <c r="M38" s="52">
        <f t="shared" si="4"/>
        <v>9547.5</v>
      </c>
      <c r="N38" s="59">
        <f t="shared" si="5"/>
        <v>670</v>
      </c>
      <c r="O38" s="52">
        <f t="shared" si="6"/>
        <v>670</v>
      </c>
      <c r="P38" s="52">
        <f t="shared" si="7"/>
        <v>1000</v>
      </c>
      <c r="Q38" s="52">
        <f t="shared" si="8"/>
        <v>2500</v>
      </c>
      <c r="S38" s="61"/>
      <c r="T38" s="61"/>
      <c r="U38" s="61"/>
      <c r="W38" s="56"/>
    </row>
    <row r="39" spans="1:23">
      <c r="A39" s="14">
        <v>35</v>
      </c>
      <c r="B39" s="15" t="s">
        <v>181</v>
      </c>
      <c r="C39" s="15" t="s">
        <v>182</v>
      </c>
      <c r="D39" s="15" t="s">
        <v>143</v>
      </c>
      <c r="E39" s="15" t="s">
        <v>120</v>
      </c>
      <c r="F39" s="50">
        <v>40</v>
      </c>
      <c r="G39" s="51">
        <v>30225</v>
      </c>
      <c r="H39" s="52">
        <v>14000</v>
      </c>
      <c r="I39" s="52">
        <f t="shared" si="9"/>
        <v>2800</v>
      </c>
      <c r="J39" s="52">
        <f t="shared" si="0"/>
        <v>4200</v>
      </c>
      <c r="K39" s="52">
        <f t="shared" si="2"/>
        <v>21000</v>
      </c>
      <c r="L39" s="52">
        <f t="shared" si="3"/>
        <v>1050</v>
      </c>
      <c r="M39" s="52">
        <f t="shared" si="4"/>
        <v>19950</v>
      </c>
      <c r="N39" s="59">
        <f t="shared" si="5"/>
        <v>700</v>
      </c>
      <c r="O39" s="52">
        <f t="shared" si="6"/>
        <v>700</v>
      </c>
      <c r="P39" s="52">
        <f t="shared" si="7"/>
        <v>1000</v>
      </c>
      <c r="Q39" s="52">
        <f t="shared" si="8"/>
        <v>2500</v>
      </c>
      <c r="S39" s="61"/>
      <c r="T39" s="61"/>
      <c r="U39" s="61"/>
      <c r="W39" s="56"/>
    </row>
    <row r="40" spans="1:23">
      <c r="A40" s="16">
        <v>36</v>
      </c>
      <c r="B40" s="17" t="s">
        <v>173</v>
      </c>
      <c r="C40" s="17" t="s">
        <v>174</v>
      </c>
      <c r="D40" s="17" t="s">
        <v>143</v>
      </c>
      <c r="E40" s="15" t="s">
        <v>98</v>
      </c>
      <c r="F40" s="57">
        <v>40</v>
      </c>
      <c r="G40" s="58">
        <v>30225</v>
      </c>
      <c r="H40" s="59">
        <v>14000</v>
      </c>
      <c r="I40" s="52">
        <f t="shared" si="9"/>
        <v>2800</v>
      </c>
      <c r="J40" s="52">
        <f t="shared" si="0"/>
        <v>4200</v>
      </c>
      <c r="K40" s="52">
        <f t="shared" si="2"/>
        <v>21000</v>
      </c>
      <c r="L40" s="52">
        <f t="shared" si="3"/>
        <v>1050</v>
      </c>
      <c r="M40" s="52">
        <f t="shared" si="4"/>
        <v>19950</v>
      </c>
      <c r="N40" s="59">
        <f t="shared" si="5"/>
        <v>700</v>
      </c>
      <c r="O40" s="52">
        <f t="shared" si="6"/>
        <v>700</v>
      </c>
      <c r="P40" s="52">
        <f t="shared" si="7"/>
        <v>1000</v>
      </c>
      <c r="Q40" s="52">
        <f t="shared" si="8"/>
        <v>2500</v>
      </c>
      <c r="S40" s="61"/>
      <c r="T40" s="61"/>
      <c r="U40" s="61"/>
      <c r="V40" s="60"/>
      <c r="W40" s="62"/>
    </row>
    <row r="41" spans="1:23">
      <c r="A41" s="14">
        <v>37</v>
      </c>
      <c r="B41" s="15" t="s">
        <v>252</v>
      </c>
      <c r="C41" s="15" t="s">
        <v>253</v>
      </c>
      <c r="D41" s="15" t="s">
        <v>143</v>
      </c>
      <c r="E41" s="15" t="s">
        <v>94</v>
      </c>
      <c r="F41" s="50">
        <v>40</v>
      </c>
      <c r="G41" s="51">
        <v>30225</v>
      </c>
      <c r="H41" s="52">
        <v>14000</v>
      </c>
      <c r="I41" s="52">
        <f t="shared" si="9"/>
        <v>2800</v>
      </c>
      <c r="J41" s="52">
        <f t="shared" si="0"/>
        <v>4200</v>
      </c>
      <c r="K41" s="52">
        <f t="shared" si="2"/>
        <v>21000</v>
      </c>
      <c r="L41" s="52">
        <f t="shared" si="3"/>
        <v>1050</v>
      </c>
      <c r="M41" s="52">
        <f t="shared" si="4"/>
        <v>19950</v>
      </c>
      <c r="N41" s="59">
        <f t="shared" si="5"/>
        <v>700</v>
      </c>
      <c r="O41" s="52">
        <f t="shared" si="6"/>
        <v>700</v>
      </c>
      <c r="P41" s="52">
        <f t="shared" si="7"/>
        <v>1000</v>
      </c>
      <c r="Q41" s="52">
        <f t="shared" si="8"/>
        <v>2500</v>
      </c>
      <c r="S41" s="61"/>
      <c r="U41" s="61"/>
      <c r="W41" s="56"/>
    </row>
    <row r="42" spans="1:23">
      <c r="A42" s="14">
        <v>38</v>
      </c>
      <c r="B42" s="15" t="s">
        <v>167</v>
      </c>
      <c r="C42" s="15" t="s">
        <v>168</v>
      </c>
      <c r="D42" s="15" t="s">
        <v>76</v>
      </c>
      <c r="E42" s="15" t="s">
        <v>94</v>
      </c>
      <c r="F42" s="50">
        <v>10</v>
      </c>
      <c r="G42" s="51">
        <v>33510</v>
      </c>
      <c r="H42" s="52">
        <v>6000</v>
      </c>
      <c r="I42" s="52">
        <f t="shared" si="9"/>
        <v>1200</v>
      </c>
      <c r="J42" s="52">
        <f t="shared" si="0"/>
        <v>1800</v>
      </c>
      <c r="K42" s="52">
        <f t="shared" si="2"/>
        <v>9000</v>
      </c>
      <c r="L42" s="52">
        <f t="shared" si="3"/>
        <v>450</v>
      </c>
      <c r="M42" s="52">
        <f t="shared" si="4"/>
        <v>8550</v>
      </c>
      <c r="N42" s="59">
        <f t="shared" si="5"/>
        <v>600</v>
      </c>
      <c r="O42" s="52">
        <f t="shared" si="6"/>
        <v>600</v>
      </c>
      <c r="P42" s="52">
        <f t="shared" si="7"/>
        <v>2500</v>
      </c>
      <c r="Q42" s="52">
        <f t="shared" si="8"/>
        <v>2500</v>
      </c>
      <c r="S42" s="61"/>
      <c r="T42" s="61"/>
      <c r="U42" s="61"/>
      <c r="W42" s="56"/>
    </row>
    <row r="43" spans="1:23">
      <c r="A43" s="14">
        <v>39</v>
      </c>
      <c r="B43" s="15" t="s">
        <v>151</v>
      </c>
      <c r="C43" s="15" t="s">
        <v>152</v>
      </c>
      <c r="D43" s="15" t="s">
        <v>93</v>
      </c>
      <c r="E43" s="15" t="s">
        <v>98</v>
      </c>
      <c r="F43" s="50">
        <v>70</v>
      </c>
      <c r="G43" s="51">
        <v>35595</v>
      </c>
      <c r="H43" s="52">
        <v>4500</v>
      </c>
      <c r="I43" s="52">
        <f t="shared" si="9"/>
        <v>900</v>
      </c>
      <c r="J43" s="52">
        <f t="shared" si="0"/>
        <v>1350</v>
      </c>
      <c r="K43" s="52">
        <f t="shared" si="2"/>
        <v>6750</v>
      </c>
      <c r="L43" s="52">
        <f t="shared" si="3"/>
        <v>337.5</v>
      </c>
      <c r="M43" s="52">
        <f t="shared" si="4"/>
        <v>6412.5</v>
      </c>
      <c r="N43" s="59">
        <f t="shared" si="5"/>
        <v>450</v>
      </c>
      <c r="O43" s="52">
        <f t="shared" si="6"/>
        <v>675</v>
      </c>
      <c r="P43" s="52">
        <f t="shared" si="7"/>
        <v>2500</v>
      </c>
      <c r="Q43" s="52">
        <f t="shared" si="8"/>
        <v>2500</v>
      </c>
      <c r="S43" s="61"/>
      <c r="T43" s="61"/>
      <c r="U43" s="61"/>
      <c r="W43" s="56"/>
    </row>
    <row r="44" spans="1:23">
      <c r="A44" s="14">
        <v>40</v>
      </c>
      <c r="B44" s="15" t="s">
        <v>188</v>
      </c>
      <c r="C44" s="15" t="s">
        <v>237</v>
      </c>
      <c r="D44" s="15" t="s">
        <v>125</v>
      </c>
      <c r="E44" s="15" t="s">
        <v>103</v>
      </c>
      <c r="F44" s="50">
        <v>10</v>
      </c>
      <c r="G44" s="51">
        <v>33510</v>
      </c>
      <c r="H44" s="52">
        <v>7600</v>
      </c>
      <c r="I44" s="52">
        <f t="shared" ref="I44:I63" si="10">$H44*I$1</f>
        <v>1520</v>
      </c>
      <c r="J44" s="52">
        <f t="shared" si="0"/>
        <v>2280</v>
      </c>
      <c r="K44" s="52">
        <f t="shared" si="2"/>
        <v>11400</v>
      </c>
      <c r="L44" s="52">
        <f t="shared" si="3"/>
        <v>570</v>
      </c>
      <c r="M44" s="52">
        <f t="shared" si="4"/>
        <v>10830</v>
      </c>
      <c r="N44" s="59">
        <f t="shared" si="5"/>
        <v>760</v>
      </c>
      <c r="O44" s="52">
        <f t="shared" si="6"/>
        <v>760</v>
      </c>
      <c r="P44" s="52">
        <f t="shared" si="7"/>
        <v>1000</v>
      </c>
      <c r="Q44" s="52">
        <f t="shared" si="8"/>
        <v>2500</v>
      </c>
      <c r="S44" s="61"/>
      <c r="T44" s="61"/>
      <c r="U44" s="61"/>
      <c r="W44" s="56"/>
    </row>
    <row r="45" spans="1:23" s="60" customFormat="1">
      <c r="A45" s="14">
        <v>41</v>
      </c>
      <c r="B45" s="15" t="s">
        <v>114</v>
      </c>
      <c r="C45" s="15" t="s">
        <v>113</v>
      </c>
      <c r="D45" s="15" t="s">
        <v>115</v>
      </c>
      <c r="E45" s="15" t="s">
        <v>103</v>
      </c>
      <c r="F45" s="50">
        <v>60</v>
      </c>
      <c r="G45" s="51">
        <v>32435</v>
      </c>
      <c r="H45" s="52">
        <v>9000</v>
      </c>
      <c r="I45" s="52">
        <f t="shared" si="10"/>
        <v>1800</v>
      </c>
      <c r="J45" s="52">
        <f t="shared" si="0"/>
        <v>2700</v>
      </c>
      <c r="K45" s="52">
        <f t="shared" si="2"/>
        <v>13500</v>
      </c>
      <c r="L45" s="52">
        <f t="shared" si="3"/>
        <v>675</v>
      </c>
      <c r="M45" s="52">
        <f t="shared" si="4"/>
        <v>12825</v>
      </c>
      <c r="N45" s="59">
        <f t="shared" si="5"/>
        <v>900</v>
      </c>
      <c r="O45" s="52">
        <f t="shared" si="6"/>
        <v>900</v>
      </c>
      <c r="P45" s="52">
        <f t="shared" si="7"/>
        <v>1000</v>
      </c>
      <c r="Q45" s="52">
        <f t="shared" si="8"/>
        <v>2500</v>
      </c>
      <c r="S45" s="61"/>
      <c r="T45" s="61"/>
      <c r="U45" s="61"/>
      <c r="V45" s="43"/>
      <c r="W45" s="56"/>
    </row>
    <row r="46" spans="1:23">
      <c r="A46" s="14">
        <v>42</v>
      </c>
      <c r="B46" s="15" t="s">
        <v>219</v>
      </c>
      <c r="C46" s="15" t="s">
        <v>218</v>
      </c>
      <c r="D46" s="15" t="s">
        <v>115</v>
      </c>
      <c r="E46" s="15" t="s">
        <v>120</v>
      </c>
      <c r="F46" s="50">
        <v>60</v>
      </c>
      <c r="G46" s="51">
        <v>33194</v>
      </c>
      <c r="H46" s="52">
        <v>7900</v>
      </c>
      <c r="I46" s="52">
        <f t="shared" si="10"/>
        <v>1580</v>
      </c>
      <c r="J46" s="52">
        <f t="shared" si="0"/>
        <v>2370</v>
      </c>
      <c r="K46" s="52">
        <f t="shared" si="2"/>
        <v>11850</v>
      </c>
      <c r="L46" s="52">
        <f t="shared" si="3"/>
        <v>592.5</v>
      </c>
      <c r="M46" s="52">
        <f t="shared" si="4"/>
        <v>11257.5</v>
      </c>
      <c r="N46" s="59">
        <f t="shared" si="5"/>
        <v>790</v>
      </c>
      <c r="O46" s="52">
        <f t="shared" si="6"/>
        <v>790</v>
      </c>
      <c r="P46" s="52">
        <f t="shared" si="7"/>
        <v>1000</v>
      </c>
      <c r="Q46" s="52">
        <f t="shared" si="8"/>
        <v>2500</v>
      </c>
      <c r="S46" s="61"/>
      <c r="T46" s="61"/>
      <c r="U46" s="61"/>
      <c r="W46" s="56"/>
    </row>
    <row r="47" spans="1:23">
      <c r="A47" s="14">
        <v>44</v>
      </c>
      <c r="B47" s="15" t="s">
        <v>197</v>
      </c>
      <c r="C47" s="15" t="s">
        <v>198</v>
      </c>
      <c r="D47" s="15" t="s">
        <v>125</v>
      </c>
      <c r="E47" s="15" t="s">
        <v>94</v>
      </c>
      <c r="F47" s="50">
        <v>30</v>
      </c>
      <c r="G47" s="51">
        <v>35618</v>
      </c>
      <c r="H47" s="52">
        <v>6500</v>
      </c>
      <c r="I47" s="52">
        <f t="shared" si="10"/>
        <v>1300</v>
      </c>
      <c r="J47" s="52">
        <f t="shared" si="0"/>
        <v>1950</v>
      </c>
      <c r="K47" s="52">
        <f t="shared" si="2"/>
        <v>9750</v>
      </c>
      <c r="L47" s="52">
        <f t="shared" si="3"/>
        <v>487.5</v>
      </c>
      <c r="M47" s="52">
        <f t="shared" si="4"/>
        <v>9262.5</v>
      </c>
      <c r="N47" s="59">
        <f t="shared" si="5"/>
        <v>650</v>
      </c>
      <c r="O47" s="52">
        <f t="shared" si="6"/>
        <v>650</v>
      </c>
      <c r="P47" s="52">
        <f t="shared" si="7"/>
        <v>1000</v>
      </c>
      <c r="Q47" s="52">
        <f t="shared" si="8"/>
        <v>2500</v>
      </c>
      <c r="S47" s="61"/>
      <c r="T47" s="61"/>
      <c r="U47" s="61"/>
      <c r="W47" s="56"/>
    </row>
    <row r="48" spans="1:23">
      <c r="A48" s="14">
        <v>45</v>
      </c>
      <c r="B48" s="15" t="s">
        <v>272</v>
      </c>
      <c r="C48" s="15" t="s">
        <v>273</v>
      </c>
      <c r="D48" s="15" t="s">
        <v>76</v>
      </c>
      <c r="E48" s="15" t="s">
        <v>94</v>
      </c>
      <c r="F48" s="50">
        <v>10</v>
      </c>
      <c r="G48" s="51">
        <v>33510</v>
      </c>
      <c r="H48" s="52">
        <v>9000</v>
      </c>
      <c r="I48" s="52">
        <f t="shared" si="10"/>
        <v>1800</v>
      </c>
      <c r="J48" s="52">
        <f t="shared" si="0"/>
        <v>2700</v>
      </c>
      <c r="K48" s="52">
        <f t="shared" si="2"/>
        <v>13500</v>
      </c>
      <c r="L48" s="52">
        <f t="shared" si="3"/>
        <v>675</v>
      </c>
      <c r="M48" s="52">
        <f t="shared" si="4"/>
        <v>12825</v>
      </c>
      <c r="N48" s="59">
        <f t="shared" si="5"/>
        <v>900</v>
      </c>
      <c r="O48" s="52">
        <f t="shared" si="6"/>
        <v>900</v>
      </c>
      <c r="P48" s="52">
        <f t="shared" si="7"/>
        <v>2500</v>
      </c>
      <c r="Q48" s="52">
        <f t="shared" si="8"/>
        <v>2500</v>
      </c>
      <c r="S48" s="61"/>
      <c r="T48" s="61"/>
      <c r="U48" s="61"/>
      <c r="W48" s="56"/>
    </row>
    <row r="49" spans="1:23">
      <c r="A49" s="14">
        <v>46</v>
      </c>
      <c r="B49" s="15" t="s">
        <v>225</v>
      </c>
      <c r="C49" s="15" t="s">
        <v>221</v>
      </c>
      <c r="D49" s="15" t="s">
        <v>93</v>
      </c>
      <c r="E49" s="15" t="s">
        <v>94</v>
      </c>
      <c r="F49" s="50">
        <v>70</v>
      </c>
      <c r="G49" s="51">
        <v>32180</v>
      </c>
      <c r="H49" s="52">
        <v>9000</v>
      </c>
      <c r="I49" s="52">
        <f t="shared" si="10"/>
        <v>1800</v>
      </c>
      <c r="J49" s="52">
        <f t="shared" si="0"/>
        <v>2700</v>
      </c>
      <c r="K49" s="52">
        <f t="shared" si="2"/>
        <v>13500</v>
      </c>
      <c r="L49" s="52">
        <f t="shared" si="3"/>
        <v>675</v>
      </c>
      <c r="M49" s="52">
        <f t="shared" si="4"/>
        <v>12825</v>
      </c>
      <c r="N49" s="59">
        <f t="shared" si="5"/>
        <v>900</v>
      </c>
      <c r="O49" s="52">
        <f t="shared" si="6"/>
        <v>900</v>
      </c>
      <c r="P49" s="52">
        <f t="shared" si="7"/>
        <v>2500</v>
      </c>
      <c r="Q49" s="52">
        <f t="shared" si="8"/>
        <v>2500</v>
      </c>
      <c r="S49" s="61"/>
      <c r="T49" s="61"/>
      <c r="U49" s="61"/>
      <c r="W49" s="56"/>
    </row>
    <row r="50" spans="1:23">
      <c r="A50" s="14">
        <v>47</v>
      </c>
      <c r="B50" s="15" t="s">
        <v>223</v>
      </c>
      <c r="C50" s="15" t="s">
        <v>221</v>
      </c>
      <c r="D50" s="15" t="s">
        <v>100</v>
      </c>
      <c r="E50" s="15" t="s">
        <v>120</v>
      </c>
      <c r="F50" s="50">
        <v>50</v>
      </c>
      <c r="G50" s="51">
        <v>32435</v>
      </c>
      <c r="H50" s="52">
        <v>9000</v>
      </c>
      <c r="I50" s="52">
        <f t="shared" si="10"/>
        <v>1800</v>
      </c>
      <c r="J50" s="52">
        <f t="shared" si="0"/>
        <v>2700</v>
      </c>
      <c r="K50" s="52">
        <f t="shared" si="2"/>
        <v>13500</v>
      </c>
      <c r="L50" s="52">
        <f t="shared" si="3"/>
        <v>675</v>
      </c>
      <c r="M50" s="52">
        <f t="shared" si="4"/>
        <v>12825</v>
      </c>
      <c r="N50" s="59">
        <f t="shared" si="5"/>
        <v>900</v>
      </c>
      <c r="O50" s="52">
        <f t="shared" si="6"/>
        <v>900</v>
      </c>
      <c r="P50" s="52">
        <f t="shared" si="7"/>
        <v>1000</v>
      </c>
      <c r="Q50" s="52">
        <f t="shared" si="8"/>
        <v>2500</v>
      </c>
      <c r="S50" s="61"/>
      <c r="T50" s="61"/>
      <c r="U50" s="61"/>
      <c r="W50" s="56"/>
    </row>
    <row r="51" spans="1:23">
      <c r="A51" s="14">
        <v>48</v>
      </c>
      <c r="B51" s="15" t="s">
        <v>208</v>
      </c>
      <c r="C51" s="15" t="s">
        <v>209</v>
      </c>
      <c r="D51" s="15" t="s">
        <v>100</v>
      </c>
      <c r="E51" s="15" t="s">
        <v>98</v>
      </c>
      <c r="F51" s="50">
        <v>50</v>
      </c>
      <c r="G51" s="51">
        <v>32435</v>
      </c>
      <c r="H51" s="52">
        <v>9000</v>
      </c>
      <c r="I51" s="52">
        <f t="shared" si="10"/>
        <v>1800</v>
      </c>
      <c r="J51" s="52">
        <f t="shared" si="0"/>
        <v>2700</v>
      </c>
      <c r="K51" s="52">
        <f t="shared" si="2"/>
        <v>13500</v>
      </c>
      <c r="L51" s="52">
        <f t="shared" si="3"/>
        <v>675</v>
      </c>
      <c r="M51" s="52">
        <f t="shared" si="4"/>
        <v>12825</v>
      </c>
      <c r="N51" s="59">
        <f t="shared" si="5"/>
        <v>900</v>
      </c>
      <c r="O51" s="52">
        <f t="shared" si="6"/>
        <v>900</v>
      </c>
      <c r="P51" s="52">
        <f t="shared" si="7"/>
        <v>1000</v>
      </c>
      <c r="Q51" s="52">
        <f t="shared" si="8"/>
        <v>2500</v>
      </c>
      <c r="S51" s="61"/>
      <c r="T51" s="61"/>
      <c r="U51" s="61"/>
      <c r="W51" s="56"/>
    </row>
    <row r="52" spans="1:23">
      <c r="A52" s="14">
        <v>49</v>
      </c>
      <c r="B52" s="15" t="s">
        <v>274</v>
      </c>
      <c r="C52" s="15" t="s">
        <v>273</v>
      </c>
      <c r="D52" s="15" t="s">
        <v>115</v>
      </c>
      <c r="E52" s="15" t="s">
        <v>120</v>
      </c>
      <c r="F52" s="50">
        <v>60</v>
      </c>
      <c r="G52" s="51">
        <v>32435</v>
      </c>
      <c r="H52" s="52">
        <v>9000</v>
      </c>
      <c r="I52" s="52">
        <f t="shared" si="10"/>
        <v>1800</v>
      </c>
      <c r="J52" s="52">
        <f t="shared" si="0"/>
        <v>2700</v>
      </c>
      <c r="K52" s="52">
        <f t="shared" si="2"/>
        <v>13500</v>
      </c>
      <c r="L52" s="52">
        <f t="shared" si="3"/>
        <v>675</v>
      </c>
      <c r="M52" s="52">
        <f t="shared" si="4"/>
        <v>12825</v>
      </c>
      <c r="N52" s="59">
        <f t="shared" si="5"/>
        <v>900</v>
      </c>
      <c r="O52" s="52">
        <f t="shared" si="6"/>
        <v>900</v>
      </c>
      <c r="P52" s="52">
        <f t="shared" si="7"/>
        <v>1000</v>
      </c>
      <c r="Q52" s="52">
        <f t="shared" si="8"/>
        <v>2500</v>
      </c>
      <c r="S52" s="61"/>
      <c r="T52" s="61"/>
      <c r="U52" s="61"/>
      <c r="W52" s="56"/>
    </row>
    <row r="53" spans="1:23">
      <c r="A53" s="14">
        <v>50</v>
      </c>
      <c r="B53" s="15" t="s">
        <v>248</v>
      </c>
      <c r="C53" s="15" t="s">
        <v>249</v>
      </c>
      <c r="D53" s="15" t="s">
        <v>76</v>
      </c>
      <c r="E53" s="15" t="s">
        <v>94</v>
      </c>
      <c r="F53" s="50">
        <v>10</v>
      </c>
      <c r="G53" s="51">
        <v>32436</v>
      </c>
      <c r="H53" s="52">
        <v>9000</v>
      </c>
      <c r="I53" s="52">
        <f t="shared" si="10"/>
        <v>1800</v>
      </c>
      <c r="J53" s="52">
        <f t="shared" si="0"/>
        <v>2700</v>
      </c>
      <c r="K53" s="52">
        <f t="shared" si="2"/>
        <v>13500</v>
      </c>
      <c r="L53" s="52">
        <f t="shared" si="3"/>
        <v>675</v>
      </c>
      <c r="M53" s="52">
        <f t="shared" si="4"/>
        <v>12825</v>
      </c>
      <c r="N53" s="59">
        <f t="shared" si="5"/>
        <v>900</v>
      </c>
      <c r="O53" s="52">
        <f t="shared" si="6"/>
        <v>900</v>
      </c>
      <c r="P53" s="52">
        <f t="shared" si="7"/>
        <v>2500</v>
      </c>
      <c r="Q53" s="52">
        <f t="shared" si="8"/>
        <v>2500</v>
      </c>
      <c r="S53" s="61"/>
      <c r="T53" s="61"/>
      <c r="U53" s="61"/>
      <c r="W53" s="56"/>
    </row>
    <row r="54" spans="1:23">
      <c r="A54" s="16">
        <v>51</v>
      </c>
      <c r="B54" s="15" t="s">
        <v>240</v>
      </c>
      <c r="C54" s="15" t="s">
        <v>241</v>
      </c>
      <c r="D54" s="15" t="s">
        <v>100</v>
      </c>
      <c r="E54" s="15" t="s">
        <v>94</v>
      </c>
      <c r="F54" s="50">
        <v>50</v>
      </c>
      <c r="G54" s="51">
        <v>32437</v>
      </c>
      <c r="H54" s="52">
        <v>11000</v>
      </c>
      <c r="I54" s="52">
        <f t="shared" si="10"/>
        <v>2200</v>
      </c>
      <c r="J54" s="52">
        <f t="shared" si="0"/>
        <v>3300</v>
      </c>
      <c r="K54" s="52">
        <f t="shared" si="2"/>
        <v>16500</v>
      </c>
      <c r="L54" s="52">
        <f t="shared" si="3"/>
        <v>825</v>
      </c>
      <c r="M54" s="52">
        <f t="shared" si="4"/>
        <v>15675</v>
      </c>
      <c r="N54" s="59">
        <f t="shared" si="5"/>
        <v>550</v>
      </c>
      <c r="O54" s="52">
        <f t="shared" si="6"/>
        <v>550</v>
      </c>
      <c r="P54" s="52">
        <f t="shared" si="7"/>
        <v>1000</v>
      </c>
      <c r="Q54" s="52">
        <f t="shared" si="8"/>
        <v>2500</v>
      </c>
      <c r="S54" s="61"/>
      <c r="T54" s="61"/>
      <c r="U54" s="61"/>
      <c r="W54" s="56"/>
    </row>
    <row r="55" spans="1:23">
      <c r="A55" s="14">
        <v>52</v>
      </c>
      <c r="B55" s="15" t="s">
        <v>130</v>
      </c>
      <c r="C55" s="15" t="s">
        <v>131</v>
      </c>
      <c r="D55" s="15" t="s">
        <v>100</v>
      </c>
      <c r="E55" s="15" t="s">
        <v>120</v>
      </c>
      <c r="F55" s="50">
        <v>50</v>
      </c>
      <c r="G55" s="51">
        <v>35034</v>
      </c>
      <c r="H55" s="52">
        <v>9000</v>
      </c>
      <c r="I55" s="52">
        <f t="shared" si="10"/>
        <v>1800</v>
      </c>
      <c r="J55" s="52">
        <f t="shared" si="0"/>
        <v>2700</v>
      </c>
      <c r="K55" s="52">
        <f t="shared" si="2"/>
        <v>13500</v>
      </c>
      <c r="L55" s="52">
        <f t="shared" si="3"/>
        <v>675</v>
      </c>
      <c r="M55" s="52">
        <f t="shared" si="4"/>
        <v>12825</v>
      </c>
      <c r="N55" s="59">
        <f t="shared" si="5"/>
        <v>900</v>
      </c>
      <c r="O55" s="52">
        <f t="shared" si="6"/>
        <v>900</v>
      </c>
      <c r="P55" s="52">
        <f t="shared" si="7"/>
        <v>1000</v>
      </c>
      <c r="Q55" s="52">
        <f t="shared" si="8"/>
        <v>2500</v>
      </c>
      <c r="S55" s="61"/>
      <c r="T55" s="61"/>
      <c r="U55" s="61"/>
      <c r="W55" s="56"/>
    </row>
    <row r="56" spans="1:23">
      <c r="A56" s="14">
        <v>53</v>
      </c>
      <c r="B56" s="15" t="s">
        <v>101</v>
      </c>
      <c r="C56" s="15" t="s">
        <v>102</v>
      </c>
      <c r="D56" s="15" t="s">
        <v>100</v>
      </c>
      <c r="E56" s="15" t="s">
        <v>103</v>
      </c>
      <c r="F56" s="50">
        <v>50</v>
      </c>
      <c r="G56" s="51">
        <v>34761</v>
      </c>
      <c r="H56" s="52">
        <v>9000</v>
      </c>
      <c r="I56" s="52">
        <f t="shared" si="10"/>
        <v>1800</v>
      </c>
      <c r="J56" s="52">
        <f t="shared" si="0"/>
        <v>2700</v>
      </c>
      <c r="K56" s="52">
        <f t="shared" si="2"/>
        <v>13500</v>
      </c>
      <c r="L56" s="52">
        <f t="shared" si="3"/>
        <v>675</v>
      </c>
      <c r="M56" s="52">
        <f t="shared" si="4"/>
        <v>12825</v>
      </c>
      <c r="N56" s="59">
        <f t="shared" si="5"/>
        <v>900</v>
      </c>
      <c r="O56" s="52">
        <f t="shared" si="6"/>
        <v>900</v>
      </c>
      <c r="P56" s="52">
        <f t="shared" si="7"/>
        <v>1000</v>
      </c>
      <c r="Q56" s="52">
        <f t="shared" si="8"/>
        <v>2500</v>
      </c>
      <c r="S56" s="61"/>
      <c r="T56" s="61"/>
      <c r="U56" s="61"/>
      <c r="W56" s="56"/>
    </row>
    <row r="57" spans="1:23">
      <c r="A57" s="14">
        <v>54</v>
      </c>
      <c r="B57" s="15" t="s">
        <v>163</v>
      </c>
      <c r="C57" s="15" t="s">
        <v>164</v>
      </c>
      <c r="D57" s="15" t="s">
        <v>100</v>
      </c>
      <c r="E57" s="15" t="s">
        <v>103</v>
      </c>
      <c r="F57" s="50">
        <v>50</v>
      </c>
      <c r="G57" s="51">
        <v>31717</v>
      </c>
      <c r="H57" s="52">
        <v>9000</v>
      </c>
      <c r="I57" s="52">
        <f t="shared" si="10"/>
        <v>1800</v>
      </c>
      <c r="J57" s="52">
        <f t="shared" si="0"/>
        <v>2700</v>
      </c>
      <c r="K57" s="52">
        <f t="shared" si="2"/>
        <v>13500</v>
      </c>
      <c r="L57" s="52">
        <f t="shared" si="3"/>
        <v>675</v>
      </c>
      <c r="M57" s="52">
        <f t="shared" si="4"/>
        <v>12825</v>
      </c>
      <c r="N57" s="59">
        <f t="shared" si="5"/>
        <v>900</v>
      </c>
      <c r="O57" s="52">
        <f t="shared" si="6"/>
        <v>900</v>
      </c>
      <c r="P57" s="52">
        <f t="shared" si="7"/>
        <v>1000</v>
      </c>
      <c r="Q57" s="52">
        <f t="shared" si="8"/>
        <v>2500</v>
      </c>
      <c r="S57" s="61"/>
      <c r="T57" s="61"/>
      <c r="U57" s="61"/>
      <c r="W57" s="56"/>
    </row>
    <row r="58" spans="1:23">
      <c r="A58" s="14">
        <v>55</v>
      </c>
      <c r="B58" s="15" t="s">
        <v>228</v>
      </c>
      <c r="C58" s="15" t="s">
        <v>229</v>
      </c>
      <c r="D58" s="15" t="s">
        <v>76</v>
      </c>
      <c r="E58" s="15" t="s">
        <v>120</v>
      </c>
      <c r="F58" s="50">
        <v>10</v>
      </c>
      <c r="G58" s="51">
        <v>33878</v>
      </c>
      <c r="H58" s="52">
        <v>8500</v>
      </c>
      <c r="I58" s="52">
        <f t="shared" si="10"/>
        <v>1700</v>
      </c>
      <c r="J58" s="52">
        <f t="shared" si="0"/>
        <v>2550</v>
      </c>
      <c r="K58" s="52">
        <f t="shared" si="2"/>
        <v>12750</v>
      </c>
      <c r="L58" s="52">
        <f t="shared" si="3"/>
        <v>637.5</v>
      </c>
      <c r="M58" s="52">
        <f t="shared" si="4"/>
        <v>12112.5</v>
      </c>
      <c r="N58" s="59">
        <f t="shared" si="5"/>
        <v>850</v>
      </c>
      <c r="O58" s="52">
        <f t="shared" si="6"/>
        <v>850</v>
      </c>
      <c r="P58" s="52">
        <f t="shared" si="7"/>
        <v>2500</v>
      </c>
      <c r="Q58" s="52">
        <f t="shared" si="8"/>
        <v>2500</v>
      </c>
      <c r="S58" s="61"/>
      <c r="T58" s="61"/>
      <c r="U58" s="61"/>
      <c r="W58" s="56"/>
    </row>
    <row r="59" spans="1:23">
      <c r="A59" s="14">
        <v>56</v>
      </c>
      <c r="B59" s="15" t="s">
        <v>112</v>
      </c>
      <c r="C59" s="15" t="s">
        <v>113</v>
      </c>
      <c r="D59" s="15" t="s">
        <v>76</v>
      </c>
      <c r="E59" s="15" t="s">
        <v>98</v>
      </c>
      <c r="F59" s="50">
        <v>10</v>
      </c>
      <c r="G59" s="51">
        <v>34098</v>
      </c>
      <c r="H59" s="52">
        <v>8500</v>
      </c>
      <c r="I59" s="52">
        <f t="shared" si="10"/>
        <v>1700</v>
      </c>
      <c r="J59" s="52">
        <f t="shared" si="0"/>
        <v>2550</v>
      </c>
      <c r="K59" s="52">
        <f t="shared" si="2"/>
        <v>12750</v>
      </c>
      <c r="L59" s="52">
        <f t="shared" si="3"/>
        <v>637.5</v>
      </c>
      <c r="M59" s="52">
        <f t="shared" si="4"/>
        <v>12112.5</v>
      </c>
      <c r="N59" s="59">
        <f t="shared" si="5"/>
        <v>850</v>
      </c>
      <c r="O59" s="52">
        <f t="shared" si="6"/>
        <v>850</v>
      </c>
      <c r="P59" s="52">
        <f t="shared" si="7"/>
        <v>2500</v>
      </c>
      <c r="Q59" s="52">
        <f t="shared" si="8"/>
        <v>2500</v>
      </c>
      <c r="S59" s="61"/>
      <c r="T59" s="61"/>
      <c r="U59" s="61"/>
      <c r="W59" s="56"/>
    </row>
    <row r="60" spans="1:23">
      <c r="A60" s="14">
        <v>57</v>
      </c>
      <c r="B60" s="15" t="s">
        <v>185</v>
      </c>
      <c r="C60" s="15" t="s">
        <v>186</v>
      </c>
      <c r="D60" s="15" t="s">
        <v>97</v>
      </c>
      <c r="E60" s="15" t="s">
        <v>94</v>
      </c>
      <c r="F60" s="50">
        <v>20</v>
      </c>
      <c r="G60" s="51">
        <v>33182</v>
      </c>
      <c r="H60" s="52">
        <v>10000</v>
      </c>
      <c r="I60" s="52">
        <f t="shared" si="10"/>
        <v>2000</v>
      </c>
      <c r="J60" s="52">
        <f t="shared" si="0"/>
        <v>3000</v>
      </c>
      <c r="K60" s="52">
        <f t="shared" si="2"/>
        <v>15000</v>
      </c>
      <c r="L60" s="52">
        <f t="shared" si="3"/>
        <v>750</v>
      </c>
      <c r="M60" s="52">
        <f t="shared" si="4"/>
        <v>14250</v>
      </c>
      <c r="N60" s="59">
        <f t="shared" si="5"/>
        <v>1000</v>
      </c>
      <c r="O60" s="52">
        <f t="shared" si="6"/>
        <v>1000</v>
      </c>
      <c r="P60" s="52">
        <f t="shared" si="7"/>
        <v>1000</v>
      </c>
      <c r="Q60" s="52">
        <f t="shared" si="8"/>
        <v>2500</v>
      </c>
      <c r="S60" s="61"/>
      <c r="T60" s="61"/>
      <c r="U60" s="61"/>
      <c r="W60" s="56"/>
    </row>
    <row r="61" spans="1:23">
      <c r="A61" s="14">
        <v>58</v>
      </c>
      <c r="B61" s="15" t="s">
        <v>179</v>
      </c>
      <c r="C61" s="15" t="s">
        <v>180</v>
      </c>
      <c r="D61" s="15" t="s">
        <v>93</v>
      </c>
      <c r="E61" s="15" t="s">
        <v>98</v>
      </c>
      <c r="F61" s="50">
        <v>70</v>
      </c>
      <c r="G61" s="51">
        <v>31791</v>
      </c>
      <c r="H61" s="52">
        <v>11000</v>
      </c>
      <c r="I61" s="52">
        <f t="shared" si="10"/>
        <v>2200</v>
      </c>
      <c r="J61" s="52">
        <f t="shared" si="0"/>
        <v>3300</v>
      </c>
      <c r="K61" s="52">
        <f t="shared" si="2"/>
        <v>16500</v>
      </c>
      <c r="L61" s="52">
        <f t="shared" si="3"/>
        <v>825</v>
      </c>
      <c r="M61" s="52">
        <f t="shared" si="4"/>
        <v>15675</v>
      </c>
      <c r="N61" s="59">
        <f t="shared" si="5"/>
        <v>550</v>
      </c>
      <c r="O61" s="52">
        <f t="shared" si="6"/>
        <v>550</v>
      </c>
      <c r="P61" s="52">
        <f t="shared" si="7"/>
        <v>2500</v>
      </c>
      <c r="Q61" s="52">
        <f t="shared" si="8"/>
        <v>2500</v>
      </c>
      <c r="S61" s="61"/>
      <c r="T61" s="61"/>
      <c r="U61" s="61"/>
      <c r="W61" s="56"/>
    </row>
    <row r="62" spans="1:23">
      <c r="A62" s="14">
        <v>59</v>
      </c>
      <c r="B62" s="15" t="s">
        <v>262</v>
      </c>
      <c r="C62" s="15" t="s">
        <v>263</v>
      </c>
      <c r="D62" s="15" t="s">
        <v>97</v>
      </c>
      <c r="E62" s="15" t="s">
        <v>98</v>
      </c>
      <c r="F62" s="50">
        <v>20</v>
      </c>
      <c r="G62" s="51">
        <v>32105</v>
      </c>
      <c r="H62" s="52">
        <v>11000</v>
      </c>
      <c r="I62" s="52">
        <f t="shared" si="10"/>
        <v>2200</v>
      </c>
      <c r="J62" s="52">
        <f t="shared" si="0"/>
        <v>3300</v>
      </c>
      <c r="K62" s="52">
        <f t="shared" si="2"/>
        <v>16500</v>
      </c>
      <c r="L62" s="52">
        <f t="shared" si="3"/>
        <v>825</v>
      </c>
      <c r="M62" s="52">
        <f t="shared" si="4"/>
        <v>15675</v>
      </c>
      <c r="N62" s="59">
        <f t="shared" si="5"/>
        <v>550</v>
      </c>
      <c r="O62" s="52">
        <f t="shared" si="6"/>
        <v>550</v>
      </c>
      <c r="P62" s="52">
        <f t="shared" si="7"/>
        <v>1000</v>
      </c>
      <c r="Q62" s="52">
        <f t="shared" si="8"/>
        <v>2500</v>
      </c>
      <c r="S62" s="61"/>
      <c r="T62" s="61"/>
      <c r="U62" s="61"/>
      <c r="W62" s="56"/>
    </row>
    <row r="63" spans="1:23" s="60" customFormat="1">
      <c r="A63" s="14">
        <v>60</v>
      </c>
      <c r="B63" s="15" t="s">
        <v>91</v>
      </c>
      <c r="C63" s="15" t="s">
        <v>92</v>
      </c>
      <c r="D63" s="15" t="s">
        <v>93</v>
      </c>
      <c r="E63" s="15" t="s">
        <v>94</v>
      </c>
      <c r="F63" s="50">
        <v>70</v>
      </c>
      <c r="G63" s="51">
        <v>32106</v>
      </c>
      <c r="H63" s="52">
        <v>11000</v>
      </c>
      <c r="I63" s="52">
        <f t="shared" si="10"/>
        <v>2200</v>
      </c>
      <c r="J63" s="52">
        <f t="shared" si="0"/>
        <v>3300</v>
      </c>
      <c r="K63" s="52">
        <f t="shared" si="2"/>
        <v>16500</v>
      </c>
      <c r="L63" s="52">
        <f t="shared" si="3"/>
        <v>825</v>
      </c>
      <c r="M63" s="52">
        <f t="shared" si="4"/>
        <v>15675</v>
      </c>
      <c r="N63" s="59">
        <f t="shared" si="5"/>
        <v>550</v>
      </c>
      <c r="O63" s="52">
        <f t="shared" si="6"/>
        <v>550</v>
      </c>
      <c r="P63" s="52">
        <f t="shared" si="7"/>
        <v>2500</v>
      </c>
      <c r="Q63" s="52">
        <f t="shared" si="8"/>
        <v>2500</v>
      </c>
      <c r="S63" s="61"/>
      <c r="T63" s="61"/>
      <c r="U63" s="61"/>
      <c r="V63" s="43"/>
      <c r="W63" s="56"/>
    </row>
    <row r="64" spans="1:23">
      <c r="A64" s="16">
        <v>61</v>
      </c>
      <c r="B64" s="17" t="s">
        <v>106</v>
      </c>
      <c r="C64" s="17" t="s">
        <v>105</v>
      </c>
      <c r="D64" s="17" t="s">
        <v>76</v>
      </c>
      <c r="E64" s="15" t="s">
        <v>94</v>
      </c>
      <c r="F64" s="57">
        <v>10</v>
      </c>
      <c r="G64" s="58">
        <v>32107</v>
      </c>
      <c r="H64" s="59">
        <v>11000</v>
      </c>
      <c r="I64" s="52">
        <f t="shared" ref="I64:J83" si="11">$H64*I$1</f>
        <v>2200</v>
      </c>
      <c r="J64" s="52">
        <f t="shared" si="0"/>
        <v>3300</v>
      </c>
      <c r="K64" s="52">
        <f t="shared" si="2"/>
        <v>16500</v>
      </c>
      <c r="L64" s="52">
        <f t="shared" si="3"/>
        <v>825</v>
      </c>
      <c r="M64" s="52">
        <f t="shared" si="4"/>
        <v>15675</v>
      </c>
      <c r="N64" s="59">
        <f t="shared" si="5"/>
        <v>550</v>
      </c>
      <c r="O64" s="52">
        <f t="shared" si="6"/>
        <v>550</v>
      </c>
      <c r="P64" s="52">
        <f t="shared" si="7"/>
        <v>2500</v>
      </c>
      <c r="Q64" s="52">
        <f t="shared" si="8"/>
        <v>2500</v>
      </c>
      <c r="S64" s="61"/>
      <c r="T64" s="61"/>
      <c r="U64" s="61"/>
      <c r="W64" s="56"/>
    </row>
    <row r="65" spans="1:23">
      <c r="A65" s="14">
        <v>62</v>
      </c>
      <c r="B65" s="15" t="s">
        <v>136</v>
      </c>
      <c r="C65" s="15" t="s">
        <v>135</v>
      </c>
      <c r="D65" s="15" t="s">
        <v>125</v>
      </c>
      <c r="E65" s="15" t="s">
        <v>94</v>
      </c>
      <c r="F65" s="50">
        <v>30</v>
      </c>
      <c r="G65" s="51">
        <v>32440</v>
      </c>
      <c r="H65" s="52">
        <v>10000</v>
      </c>
      <c r="I65" s="52">
        <f t="shared" si="11"/>
        <v>2000</v>
      </c>
      <c r="J65" s="52">
        <f t="shared" si="0"/>
        <v>3000</v>
      </c>
      <c r="K65" s="52">
        <f t="shared" si="2"/>
        <v>15000</v>
      </c>
      <c r="L65" s="52">
        <f t="shared" si="3"/>
        <v>750</v>
      </c>
      <c r="M65" s="52">
        <f t="shared" si="4"/>
        <v>14250</v>
      </c>
      <c r="N65" s="59">
        <f t="shared" si="5"/>
        <v>1000</v>
      </c>
      <c r="O65" s="52">
        <f t="shared" si="6"/>
        <v>1000</v>
      </c>
      <c r="P65" s="52">
        <f t="shared" si="7"/>
        <v>1000</v>
      </c>
      <c r="Q65" s="52">
        <f t="shared" si="8"/>
        <v>2500</v>
      </c>
      <c r="S65" s="61"/>
      <c r="T65" s="61"/>
      <c r="U65" s="61"/>
      <c r="W65" s="56"/>
    </row>
    <row r="66" spans="1:23">
      <c r="A66" s="14">
        <v>63</v>
      </c>
      <c r="B66" s="15" t="s">
        <v>175</v>
      </c>
      <c r="C66" s="15" t="s">
        <v>176</v>
      </c>
      <c r="D66" s="15" t="s">
        <v>115</v>
      </c>
      <c r="E66" s="15" t="s">
        <v>98</v>
      </c>
      <c r="F66" s="50">
        <v>60</v>
      </c>
      <c r="G66" s="51">
        <v>32441</v>
      </c>
      <c r="H66" s="52">
        <v>10000</v>
      </c>
      <c r="I66" s="52">
        <f t="shared" si="11"/>
        <v>2000</v>
      </c>
      <c r="J66" s="52">
        <f t="shared" si="0"/>
        <v>3000</v>
      </c>
      <c r="K66" s="52">
        <f t="shared" si="2"/>
        <v>15000</v>
      </c>
      <c r="L66" s="52">
        <f t="shared" si="3"/>
        <v>750</v>
      </c>
      <c r="M66" s="52">
        <f t="shared" si="4"/>
        <v>14250</v>
      </c>
      <c r="N66" s="59">
        <f t="shared" si="5"/>
        <v>1000</v>
      </c>
      <c r="O66" s="52">
        <f t="shared" si="6"/>
        <v>1000</v>
      </c>
      <c r="P66" s="52">
        <f t="shared" si="7"/>
        <v>1000</v>
      </c>
      <c r="Q66" s="52">
        <f t="shared" si="8"/>
        <v>2500</v>
      </c>
      <c r="S66" s="61"/>
      <c r="T66" s="61"/>
      <c r="U66" s="61"/>
      <c r="W66" s="56"/>
    </row>
    <row r="67" spans="1:23">
      <c r="A67" s="14">
        <v>64</v>
      </c>
      <c r="B67" s="15" t="s">
        <v>261</v>
      </c>
      <c r="C67" s="15" t="s">
        <v>259</v>
      </c>
      <c r="D67" s="15" t="s">
        <v>100</v>
      </c>
      <c r="E67" s="15" t="s">
        <v>103</v>
      </c>
      <c r="F67" s="50">
        <v>50</v>
      </c>
      <c r="G67" s="51">
        <v>32442</v>
      </c>
      <c r="H67" s="52">
        <v>10000</v>
      </c>
      <c r="I67" s="52">
        <f t="shared" si="11"/>
        <v>2000</v>
      </c>
      <c r="J67" s="52">
        <f t="shared" si="11"/>
        <v>3000</v>
      </c>
      <c r="K67" s="52">
        <f t="shared" si="2"/>
        <v>15000</v>
      </c>
      <c r="L67" s="52">
        <f t="shared" si="3"/>
        <v>750</v>
      </c>
      <c r="M67" s="52">
        <f t="shared" si="4"/>
        <v>14250</v>
      </c>
      <c r="N67" s="59">
        <f t="shared" si="5"/>
        <v>1000</v>
      </c>
      <c r="O67" s="52">
        <f t="shared" si="6"/>
        <v>1000</v>
      </c>
      <c r="P67" s="52">
        <f t="shared" si="7"/>
        <v>1000</v>
      </c>
      <c r="Q67" s="52">
        <f t="shared" si="8"/>
        <v>2500</v>
      </c>
      <c r="S67" s="61"/>
      <c r="T67" s="61"/>
      <c r="U67" s="61"/>
      <c r="W67" s="56"/>
    </row>
    <row r="68" spans="1:23">
      <c r="A68" s="14">
        <v>65</v>
      </c>
      <c r="B68" s="15" t="s">
        <v>145</v>
      </c>
      <c r="C68" s="15" t="s">
        <v>141</v>
      </c>
      <c r="D68" s="15" t="s">
        <v>115</v>
      </c>
      <c r="E68" s="15" t="s">
        <v>94</v>
      </c>
      <c r="F68" s="50">
        <v>60</v>
      </c>
      <c r="G68" s="51">
        <v>32443</v>
      </c>
      <c r="H68" s="52">
        <v>10000</v>
      </c>
      <c r="I68" s="52">
        <f t="shared" si="11"/>
        <v>2000</v>
      </c>
      <c r="J68" s="52">
        <f t="shared" si="11"/>
        <v>3000</v>
      </c>
      <c r="K68" s="52">
        <f t="shared" ref="K68:K102" si="12">H68+I68+J68</f>
        <v>15000</v>
      </c>
      <c r="L68" s="52">
        <f t="shared" ref="L68:L102" si="13">K68*$L$1</f>
        <v>750</v>
      </c>
      <c r="M68" s="52">
        <f t="shared" ref="M68:M102" si="14">K68-L68</f>
        <v>14250</v>
      </c>
      <c r="N68" s="59">
        <f t="shared" ref="N68:N102" si="15">IF(H68&gt;10000,5%,10%)*H68</f>
        <v>1000</v>
      </c>
      <c r="O68" s="52">
        <f t="shared" ref="O68:O102" si="16">IF(H68&gt;10000,5%,IF(H68&lt;5000,15%,10%))*H68</f>
        <v>1000</v>
      </c>
      <c r="P68" s="52">
        <f t="shared" ref="P68:P102" si="17">IF(OR(D68="Admin",D68="sales"),2500,1000)</f>
        <v>1000</v>
      </c>
      <c r="Q68" s="52">
        <f t="shared" ref="Q68:Q102" si="18">IF(AND(E68="east",OR(D68="admin",D68="sales")),5000,2500)</f>
        <v>2500</v>
      </c>
      <c r="S68" s="61"/>
      <c r="U68" s="61"/>
      <c r="W68" s="56"/>
    </row>
    <row r="69" spans="1:23">
      <c r="A69" s="14">
        <v>66</v>
      </c>
      <c r="B69" s="15" t="s">
        <v>194</v>
      </c>
      <c r="C69" s="15" t="s">
        <v>193</v>
      </c>
      <c r="D69" s="15" t="s">
        <v>115</v>
      </c>
      <c r="E69" s="15" t="s">
        <v>94</v>
      </c>
      <c r="F69" s="50">
        <v>60</v>
      </c>
      <c r="G69" s="51">
        <v>32444</v>
      </c>
      <c r="H69" s="52">
        <v>11500</v>
      </c>
      <c r="I69" s="52">
        <f t="shared" si="11"/>
        <v>2300</v>
      </c>
      <c r="J69" s="52">
        <f t="shared" si="11"/>
        <v>3450</v>
      </c>
      <c r="K69" s="52">
        <f t="shared" si="12"/>
        <v>17250</v>
      </c>
      <c r="L69" s="52">
        <f t="shared" si="13"/>
        <v>862.5</v>
      </c>
      <c r="M69" s="52">
        <f t="shared" si="14"/>
        <v>16387.5</v>
      </c>
      <c r="N69" s="59">
        <f t="shared" si="15"/>
        <v>575</v>
      </c>
      <c r="O69" s="52">
        <f t="shared" si="16"/>
        <v>575</v>
      </c>
      <c r="P69" s="52">
        <f t="shared" si="17"/>
        <v>1000</v>
      </c>
      <c r="Q69" s="52">
        <f t="shared" si="18"/>
        <v>2500</v>
      </c>
      <c r="S69" s="61"/>
      <c r="T69" s="61"/>
      <c r="U69" s="61"/>
      <c r="W69" s="56"/>
    </row>
    <row r="70" spans="1:23">
      <c r="A70" s="14">
        <v>67</v>
      </c>
      <c r="B70" s="15" t="s">
        <v>258</v>
      </c>
      <c r="C70" s="15" t="s">
        <v>259</v>
      </c>
      <c r="D70" s="15" t="s">
        <v>76</v>
      </c>
      <c r="E70" s="15" t="s">
        <v>94</v>
      </c>
      <c r="F70" s="50">
        <v>10</v>
      </c>
      <c r="G70" s="51">
        <v>35034</v>
      </c>
      <c r="H70" s="52">
        <v>8000</v>
      </c>
      <c r="I70" s="52">
        <f t="shared" si="11"/>
        <v>1600</v>
      </c>
      <c r="J70" s="52">
        <f t="shared" si="11"/>
        <v>2400</v>
      </c>
      <c r="K70" s="52">
        <f t="shared" si="12"/>
        <v>12000</v>
      </c>
      <c r="L70" s="52">
        <f t="shared" si="13"/>
        <v>600</v>
      </c>
      <c r="M70" s="52">
        <f t="shared" si="14"/>
        <v>11400</v>
      </c>
      <c r="N70" s="59">
        <f t="shared" si="15"/>
        <v>800</v>
      </c>
      <c r="O70" s="52">
        <f t="shared" si="16"/>
        <v>800</v>
      </c>
      <c r="P70" s="52">
        <f t="shared" si="17"/>
        <v>2500</v>
      </c>
      <c r="Q70" s="52">
        <f t="shared" si="18"/>
        <v>2500</v>
      </c>
      <c r="S70" s="61"/>
      <c r="T70" s="61"/>
      <c r="U70" s="61"/>
      <c r="V70" s="60"/>
      <c r="W70" s="62"/>
    </row>
    <row r="71" spans="1:23">
      <c r="A71" s="14">
        <v>68</v>
      </c>
      <c r="B71" s="15" t="s">
        <v>224</v>
      </c>
      <c r="C71" s="15" t="s">
        <v>221</v>
      </c>
      <c r="D71" s="15" t="s">
        <v>115</v>
      </c>
      <c r="E71" s="15" t="s">
        <v>94</v>
      </c>
      <c r="F71" s="50">
        <v>60</v>
      </c>
      <c r="G71" s="51">
        <v>34761</v>
      </c>
      <c r="H71" s="52">
        <v>8000</v>
      </c>
      <c r="I71" s="52">
        <f t="shared" si="11"/>
        <v>1600</v>
      </c>
      <c r="J71" s="52">
        <f t="shared" si="11"/>
        <v>2400</v>
      </c>
      <c r="K71" s="52">
        <f t="shared" si="12"/>
        <v>12000</v>
      </c>
      <c r="L71" s="52">
        <f t="shared" si="13"/>
        <v>600</v>
      </c>
      <c r="M71" s="52">
        <f t="shared" si="14"/>
        <v>11400</v>
      </c>
      <c r="N71" s="59">
        <f t="shared" si="15"/>
        <v>800</v>
      </c>
      <c r="O71" s="52">
        <f t="shared" si="16"/>
        <v>800</v>
      </c>
      <c r="P71" s="52">
        <f t="shared" si="17"/>
        <v>1000</v>
      </c>
      <c r="Q71" s="52">
        <f t="shared" si="18"/>
        <v>2500</v>
      </c>
      <c r="S71" s="61"/>
      <c r="U71" s="61"/>
      <c r="W71" s="56"/>
    </row>
    <row r="72" spans="1:23">
      <c r="A72" s="14">
        <v>69</v>
      </c>
      <c r="B72" s="15" t="s">
        <v>192</v>
      </c>
      <c r="C72" s="15" t="s">
        <v>193</v>
      </c>
      <c r="D72" s="15" t="s">
        <v>97</v>
      </c>
      <c r="E72" s="15" t="s">
        <v>103</v>
      </c>
      <c r="F72" s="50">
        <v>20</v>
      </c>
      <c r="G72" s="51">
        <v>34762</v>
      </c>
      <c r="H72" s="52">
        <v>8000</v>
      </c>
      <c r="I72" s="52">
        <f t="shared" si="11"/>
        <v>1600</v>
      </c>
      <c r="J72" s="52">
        <f t="shared" si="11"/>
        <v>2400</v>
      </c>
      <c r="K72" s="52">
        <f t="shared" si="12"/>
        <v>12000</v>
      </c>
      <c r="L72" s="52">
        <f t="shared" si="13"/>
        <v>600</v>
      </c>
      <c r="M72" s="52">
        <f t="shared" si="14"/>
        <v>11400</v>
      </c>
      <c r="N72" s="59">
        <f t="shared" si="15"/>
        <v>800</v>
      </c>
      <c r="O72" s="52">
        <f t="shared" si="16"/>
        <v>800</v>
      </c>
      <c r="P72" s="52">
        <f t="shared" si="17"/>
        <v>1000</v>
      </c>
      <c r="Q72" s="52">
        <f t="shared" si="18"/>
        <v>2500</v>
      </c>
      <c r="S72" s="61"/>
      <c r="T72" s="61"/>
      <c r="U72" s="61"/>
      <c r="W72" s="56"/>
    </row>
    <row r="73" spans="1:23">
      <c r="A73" s="14">
        <v>70</v>
      </c>
      <c r="B73" s="15" t="s">
        <v>238</v>
      </c>
      <c r="C73" s="15" t="s">
        <v>239</v>
      </c>
      <c r="D73" s="15" t="s">
        <v>125</v>
      </c>
      <c r="E73" s="15" t="s">
        <v>120</v>
      </c>
      <c r="F73" s="50">
        <v>30</v>
      </c>
      <c r="G73" s="51">
        <v>34763</v>
      </c>
      <c r="H73" s="52">
        <v>8000</v>
      </c>
      <c r="I73" s="52">
        <f t="shared" si="11"/>
        <v>1600</v>
      </c>
      <c r="J73" s="52">
        <f t="shared" si="11"/>
        <v>2400</v>
      </c>
      <c r="K73" s="52">
        <f t="shared" si="12"/>
        <v>12000</v>
      </c>
      <c r="L73" s="52">
        <f t="shared" si="13"/>
        <v>600</v>
      </c>
      <c r="M73" s="52">
        <f t="shared" si="14"/>
        <v>11400</v>
      </c>
      <c r="N73" s="59">
        <f t="shared" si="15"/>
        <v>800</v>
      </c>
      <c r="O73" s="52">
        <f t="shared" si="16"/>
        <v>800</v>
      </c>
      <c r="P73" s="52">
        <f t="shared" si="17"/>
        <v>1000</v>
      </c>
      <c r="Q73" s="52">
        <f t="shared" si="18"/>
        <v>2500</v>
      </c>
      <c r="S73" s="61"/>
      <c r="T73" s="61"/>
      <c r="U73" s="61"/>
      <c r="W73" s="56"/>
    </row>
    <row r="74" spans="1:23">
      <c r="A74" s="14">
        <v>71</v>
      </c>
      <c r="B74" s="15" t="s">
        <v>236</v>
      </c>
      <c r="C74" s="15" t="s">
        <v>235</v>
      </c>
      <c r="D74" s="15" t="s">
        <v>125</v>
      </c>
      <c r="E74" s="15" t="s">
        <v>98</v>
      </c>
      <c r="F74" s="50">
        <v>30</v>
      </c>
      <c r="G74" s="51">
        <v>32438</v>
      </c>
      <c r="H74" s="52">
        <v>10000</v>
      </c>
      <c r="I74" s="52">
        <f t="shared" si="11"/>
        <v>2000</v>
      </c>
      <c r="J74" s="52">
        <f t="shared" si="11"/>
        <v>3000</v>
      </c>
      <c r="K74" s="52">
        <f t="shared" si="12"/>
        <v>15000</v>
      </c>
      <c r="L74" s="52">
        <f t="shared" si="13"/>
        <v>750</v>
      </c>
      <c r="M74" s="52">
        <f t="shared" si="14"/>
        <v>14250</v>
      </c>
      <c r="N74" s="59">
        <f t="shared" si="15"/>
        <v>1000</v>
      </c>
      <c r="O74" s="52">
        <f t="shared" si="16"/>
        <v>1000</v>
      </c>
      <c r="P74" s="52">
        <f t="shared" si="17"/>
        <v>1000</v>
      </c>
      <c r="Q74" s="52">
        <f t="shared" si="18"/>
        <v>2500</v>
      </c>
      <c r="S74" s="61"/>
      <c r="T74" s="61"/>
      <c r="U74" s="61"/>
      <c r="W74" s="56"/>
    </row>
    <row r="75" spans="1:23" s="60" customFormat="1">
      <c r="A75" s="14">
        <v>72</v>
      </c>
      <c r="B75" s="15" t="s">
        <v>132</v>
      </c>
      <c r="C75" s="15" t="s">
        <v>133</v>
      </c>
      <c r="D75" s="15" t="s">
        <v>100</v>
      </c>
      <c r="E75" s="15" t="s">
        <v>94</v>
      </c>
      <c r="F75" s="50">
        <v>50</v>
      </c>
      <c r="G75" s="51">
        <v>32439</v>
      </c>
      <c r="H75" s="52">
        <v>10000</v>
      </c>
      <c r="I75" s="52">
        <f t="shared" si="11"/>
        <v>2000</v>
      </c>
      <c r="J75" s="52">
        <f t="shared" si="11"/>
        <v>3000</v>
      </c>
      <c r="K75" s="52">
        <f t="shared" si="12"/>
        <v>15000</v>
      </c>
      <c r="L75" s="52">
        <f t="shared" si="13"/>
        <v>750</v>
      </c>
      <c r="M75" s="52">
        <f t="shared" si="14"/>
        <v>14250</v>
      </c>
      <c r="N75" s="59">
        <f t="shared" si="15"/>
        <v>1000</v>
      </c>
      <c r="O75" s="52">
        <f t="shared" si="16"/>
        <v>1000</v>
      </c>
      <c r="P75" s="52">
        <f t="shared" si="17"/>
        <v>1000</v>
      </c>
      <c r="Q75" s="52">
        <f t="shared" si="18"/>
        <v>2500</v>
      </c>
      <c r="S75" s="61"/>
      <c r="T75" s="61"/>
      <c r="U75" s="61"/>
      <c r="V75" s="43"/>
      <c r="W75" s="56"/>
    </row>
    <row r="76" spans="1:23">
      <c r="A76" s="14">
        <v>73</v>
      </c>
      <c r="B76" s="15" t="s">
        <v>183</v>
      </c>
      <c r="C76" s="15" t="s">
        <v>184</v>
      </c>
      <c r="D76" s="15" t="s">
        <v>76</v>
      </c>
      <c r="E76" s="15" t="s">
        <v>103</v>
      </c>
      <c r="F76" s="50">
        <v>10</v>
      </c>
      <c r="G76" s="51">
        <v>32440</v>
      </c>
      <c r="H76" s="52">
        <v>10000</v>
      </c>
      <c r="I76" s="52">
        <f t="shared" si="11"/>
        <v>2000</v>
      </c>
      <c r="J76" s="52">
        <f t="shared" si="11"/>
        <v>3000</v>
      </c>
      <c r="K76" s="52">
        <f t="shared" si="12"/>
        <v>15000</v>
      </c>
      <c r="L76" s="52">
        <f t="shared" si="13"/>
        <v>750</v>
      </c>
      <c r="M76" s="52">
        <f t="shared" si="14"/>
        <v>14250</v>
      </c>
      <c r="N76" s="59">
        <f t="shared" si="15"/>
        <v>1000</v>
      </c>
      <c r="O76" s="52">
        <f t="shared" si="16"/>
        <v>1000</v>
      </c>
      <c r="P76" s="52">
        <f t="shared" si="17"/>
        <v>2500</v>
      </c>
      <c r="Q76" s="52">
        <f t="shared" si="18"/>
        <v>5000</v>
      </c>
      <c r="S76" s="61"/>
      <c r="T76" s="61"/>
      <c r="U76" s="61"/>
      <c r="W76" s="56"/>
    </row>
    <row r="77" spans="1:23">
      <c r="A77" s="14">
        <v>74</v>
      </c>
      <c r="B77" s="15" t="s">
        <v>153</v>
      </c>
      <c r="C77" s="15" t="s">
        <v>154</v>
      </c>
      <c r="D77" s="15" t="s">
        <v>93</v>
      </c>
      <c r="E77" s="15" t="s">
        <v>103</v>
      </c>
      <c r="F77" s="50">
        <v>70</v>
      </c>
      <c r="G77" s="51">
        <v>32441</v>
      </c>
      <c r="H77" s="52">
        <v>10000</v>
      </c>
      <c r="I77" s="52">
        <f t="shared" si="11"/>
        <v>2000</v>
      </c>
      <c r="J77" s="52">
        <f t="shared" si="11"/>
        <v>3000</v>
      </c>
      <c r="K77" s="52">
        <f t="shared" si="12"/>
        <v>15000</v>
      </c>
      <c r="L77" s="52">
        <f t="shared" si="13"/>
        <v>750</v>
      </c>
      <c r="M77" s="52">
        <f t="shared" si="14"/>
        <v>14250</v>
      </c>
      <c r="N77" s="59">
        <f t="shared" si="15"/>
        <v>1000</v>
      </c>
      <c r="O77" s="52">
        <f t="shared" si="16"/>
        <v>1000</v>
      </c>
      <c r="P77" s="52">
        <f t="shared" si="17"/>
        <v>2500</v>
      </c>
      <c r="Q77" s="52">
        <f t="shared" si="18"/>
        <v>5000</v>
      </c>
      <c r="S77" s="61"/>
      <c r="T77" s="61"/>
      <c r="U77" s="61"/>
      <c r="W77" s="56"/>
    </row>
    <row r="78" spans="1:23">
      <c r="A78" s="14">
        <v>75</v>
      </c>
      <c r="B78" s="15" t="s">
        <v>217</v>
      </c>
      <c r="C78" s="15" t="s">
        <v>218</v>
      </c>
      <c r="D78" s="15" t="s">
        <v>100</v>
      </c>
      <c r="E78" s="15" t="s">
        <v>120</v>
      </c>
      <c r="F78" s="50">
        <v>50</v>
      </c>
      <c r="G78" s="51">
        <v>32442</v>
      </c>
      <c r="H78" s="52">
        <v>10000</v>
      </c>
      <c r="I78" s="52">
        <f t="shared" si="11"/>
        <v>2000</v>
      </c>
      <c r="J78" s="52">
        <f t="shared" si="11"/>
        <v>3000</v>
      </c>
      <c r="K78" s="52">
        <f t="shared" si="12"/>
        <v>15000</v>
      </c>
      <c r="L78" s="52">
        <f t="shared" si="13"/>
        <v>750</v>
      </c>
      <c r="M78" s="52">
        <f t="shared" si="14"/>
        <v>14250</v>
      </c>
      <c r="N78" s="59">
        <f t="shared" si="15"/>
        <v>1000</v>
      </c>
      <c r="O78" s="52">
        <f t="shared" si="16"/>
        <v>1000</v>
      </c>
      <c r="P78" s="52">
        <f t="shared" si="17"/>
        <v>1000</v>
      </c>
      <c r="Q78" s="52">
        <f t="shared" si="18"/>
        <v>2500</v>
      </c>
      <c r="S78" s="61"/>
      <c r="T78" s="61"/>
      <c r="U78" s="61"/>
      <c r="W78" s="56"/>
    </row>
    <row r="79" spans="1:23">
      <c r="A79" s="14">
        <v>76</v>
      </c>
      <c r="B79" s="15" t="s">
        <v>140</v>
      </c>
      <c r="C79" s="15" t="s">
        <v>141</v>
      </c>
      <c r="D79" s="15" t="s">
        <v>125</v>
      </c>
      <c r="E79" s="15" t="s">
        <v>94</v>
      </c>
      <c r="F79" s="50">
        <v>30</v>
      </c>
      <c r="G79" s="51">
        <v>32443</v>
      </c>
      <c r="H79" s="52">
        <v>10000</v>
      </c>
      <c r="I79" s="52">
        <f t="shared" si="11"/>
        <v>2000</v>
      </c>
      <c r="J79" s="52">
        <f t="shared" si="11"/>
        <v>3000</v>
      </c>
      <c r="K79" s="52">
        <f t="shared" si="12"/>
        <v>15000</v>
      </c>
      <c r="L79" s="52">
        <f t="shared" si="13"/>
        <v>750</v>
      </c>
      <c r="M79" s="52">
        <f t="shared" si="14"/>
        <v>14250</v>
      </c>
      <c r="N79" s="59">
        <f t="shared" si="15"/>
        <v>1000</v>
      </c>
      <c r="O79" s="52">
        <f t="shared" si="16"/>
        <v>1000</v>
      </c>
      <c r="P79" s="52">
        <f t="shared" si="17"/>
        <v>1000</v>
      </c>
      <c r="Q79" s="52">
        <f t="shared" si="18"/>
        <v>2500</v>
      </c>
      <c r="S79" s="61"/>
      <c r="T79" s="61"/>
      <c r="U79" s="61"/>
      <c r="W79" s="56"/>
    </row>
    <row r="80" spans="1:23">
      <c r="A80" s="14">
        <v>77</v>
      </c>
      <c r="B80" s="15" t="s">
        <v>266</v>
      </c>
      <c r="C80" s="15" t="s">
        <v>267</v>
      </c>
      <c r="D80" s="15" t="s">
        <v>76</v>
      </c>
      <c r="E80" s="15" t="s">
        <v>120</v>
      </c>
      <c r="F80" s="50">
        <v>10</v>
      </c>
      <c r="G80" s="51">
        <v>32444</v>
      </c>
      <c r="H80" s="52">
        <v>10000</v>
      </c>
      <c r="I80" s="52">
        <f t="shared" si="11"/>
        <v>2000</v>
      </c>
      <c r="J80" s="52">
        <f t="shared" si="11"/>
        <v>3000</v>
      </c>
      <c r="K80" s="52">
        <f t="shared" si="12"/>
        <v>15000</v>
      </c>
      <c r="L80" s="52">
        <f t="shared" si="13"/>
        <v>750</v>
      </c>
      <c r="M80" s="52">
        <f t="shared" si="14"/>
        <v>14250</v>
      </c>
      <c r="N80" s="59">
        <f t="shared" si="15"/>
        <v>1000</v>
      </c>
      <c r="O80" s="52">
        <f t="shared" si="16"/>
        <v>1000</v>
      </c>
      <c r="P80" s="52">
        <f t="shared" si="17"/>
        <v>2500</v>
      </c>
      <c r="Q80" s="52">
        <f t="shared" si="18"/>
        <v>2500</v>
      </c>
      <c r="S80" s="61"/>
      <c r="T80" s="61"/>
      <c r="U80" s="61"/>
      <c r="W80" s="56"/>
    </row>
    <row r="81" spans="1:23">
      <c r="A81" s="14">
        <v>78</v>
      </c>
      <c r="B81" s="15" t="s">
        <v>268</v>
      </c>
      <c r="C81" s="15" t="s">
        <v>269</v>
      </c>
      <c r="D81" s="15" t="s">
        <v>97</v>
      </c>
      <c r="E81" s="15" t="s">
        <v>94</v>
      </c>
      <c r="F81" s="50">
        <v>20</v>
      </c>
      <c r="G81" s="51">
        <v>32445</v>
      </c>
      <c r="H81" s="52">
        <v>10000</v>
      </c>
      <c r="I81" s="52">
        <f t="shared" si="11"/>
        <v>2000</v>
      </c>
      <c r="J81" s="52">
        <f t="shared" si="11"/>
        <v>3000</v>
      </c>
      <c r="K81" s="52">
        <f t="shared" si="12"/>
        <v>15000</v>
      </c>
      <c r="L81" s="52">
        <f t="shared" si="13"/>
        <v>750</v>
      </c>
      <c r="M81" s="52">
        <f t="shared" si="14"/>
        <v>14250</v>
      </c>
      <c r="N81" s="59">
        <f t="shared" si="15"/>
        <v>1000</v>
      </c>
      <c r="O81" s="52">
        <f t="shared" si="16"/>
        <v>1000</v>
      </c>
      <c r="P81" s="52">
        <f t="shared" si="17"/>
        <v>1000</v>
      </c>
      <c r="Q81" s="52">
        <f t="shared" si="18"/>
        <v>2500</v>
      </c>
      <c r="S81" s="61"/>
      <c r="T81" s="61"/>
      <c r="U81" s="61"/>
      <c r="W81" s="56"/>
    </row>
    <row r="82" spans="1:23">
      <c r="A82" s="14">
        <v>79</v>
      </c>
      <c r="B82" s="15" t="s">
        <v>244</v>
      </c>
      <c r="C82" s="15" t="s">
        <v>245</v>
      </c>
      <c r="D82" s="15" t="s">
        <v>97</v>
      </c>
      <c r="E82" s="15" t="s">
        <v>94</v>
      </c>
      <c r="F82" s="50">
        <v>20</v>
      </c>
      <c r="G82" s="51">
        <v>32446</v>
      </c>
      <c r="H82" s="52">
        <v>10000</v>
      </c>
      <c r="I82" s="52">
        <f t="shared" si="11"/>
        <v>2000</v>
      </c>
      <c r="J82" s="52">
        <f t="shared" si="11"/>
        <v>3000</v>
      </c>
      <c r="K82" s="52">
        <f t="shared" si="12"/>
        <v>15000</v>
      </c>
      <c r="L82" s="52">
        <f t="shared" si="13"/>
        <v>750</v>
      </c>
      <c r="M82" s="52">
        <f t="shared" si="14"/>
        <v>14250</v>
      </c>
      <c r="N82" s="59">
        <f t="shared" si="15"/>
        <v>1000</v>
      </c>
      <c r="O82" s="52">
        <f t="shared" si="16"/>
        <v>1000</v>
      </c>
      <c r="P82" s="52">
        <f t="shared" si="17"/>
        <v>1000</v>
      </c>
      <c r="Q82" s="52">
        <f t="shared" si="18"/>
        <v>2500</v>
      </c>
      <c r="S82" s="61"/>
      <c r="T82" s="61"/>
      <c r="U82" s="61"/>
      <c r="W82" s="56"/>
    </row>
    <row r="83" spans="1:23">
      <c r="A83" s="14">
        <v>80</v>
      </c>
      <c r="B83" s="15" t="s">
        <v>171</v>
      </c>
      <c r="C83" s="15" t="s">
        <v>172</v>
      </c>
      <c r="D83" s="15" t="s">
        <v>100</v>
      </c>
      <c r="E83" s="15" t="s">
        <v>98</v>
      </c>
      <c r="F83" s="50">
        <v>50</v>
      </c>
      <c r="G83" s="51">
        <v>32447</v>
      </c>
      <c r="H83" s="52">
        <v>10000</v>
      </c>
      <c r="I83" s="52">
        <f t="shared" si="11"/>
        <v>2000</v>
      </c>
      <c r="J83" s="52">
        <f t="shared" si="11"/>
        <v>3000</v>
      </c>
      <c r="K83" s="52">
        <f t="shared" si="12"/>
        <v>15000</v>
      </c>
      <c r="L83" s="52">
        <f t="shared" si="13"/>
        <v>750</v>
      </c>
      <c r="M83" s="52">
        <f t="shared" si="14"/>
        <v>14250</v>
      </c>
      <c r="N83" s="59">
        <f t="shared" si="15"/>
        <v>1000</v>
      </c>
      <c r="O83" s="52">
        <f t="shared" si="16"/>
        <v>1000</v>
      </c>
      <c r="P83" s="52">
        <f t="shared" si="17"/>
        <v>1000</v>
      </c>
      <c r="Q83" s="52">
        <f t="shared" si="18"/>
        <v>2500</v>
      </c>
      <c r="S83" s="61"/>
      <c r="T83" s="61"/>
      <c r="U83" s="61"/>
      <c r="W83" s="56"/>
    </row>
    <row r="84" spans="1:23">
      <c r="A84" s="14">
        <v>81</v>
      </c>
      <c r="B84" s="15" t="s">
        <v>123</v>
      </c>
      <c r="C84" s="15" t="s">
        <v>124</v>
      </c>
      <c r="D84" s="15" t="s">
        <v>125</v>
      </c>
      <c r="E84" s="15" t="s">
        <v>103</v>
      </c>
      <c r="F84" s="50">
        <v>30</v>
      </c>
      <c r="G84" s="51">
        <v>32448</v>
      </c>
      <c r="H84" s="52">
        <v>10000</v>
      </c>
      <c r="I84" s="52">
        <f t="shared" ref="I84:J102" si="19">$H84*I$1</f>
        <v>2000</v>
      </c>
      <c r="J84" s="52">
        <f t="shared" si="19"/>
        <v>3000</v>
      </c>
      <c r="K84" s="52">
        <f t="shared" si="12"/>
        <v>15000</v>
      </c>
      <c r="L84" s="52">
        <f t="shared" si="13"/>
        <v>750</v>
      </c>
      <c r="M84" s="52">
        <f t="shared" si="14"/>
        <v>14250</v>
      </c>
      <c r="N84" s="59">
        <f t="shared" si="15"/>
        <v>1000</v>
      </c>
      <c r="O84" s="52">
        <f t="shared" si="16"/>
        <v>1000</v>
      </c>
      <c r="P84" s="52">
        <f t="shared" si="17"/>
        <v>1000</v>
      </c>
      <c r="Q84" s="52">
        <f t="shared" si="18"/>
        <v>2500</v>
      </c>
      <c r="S84" s="61"/>
      <c r="T84" s="61"/>
      <c r="U84" s="61"/>
      <c r="W84" s="56"/>
    </row>
    <row r="85" spans="1:23">
      <c r="A85" s="14">
        <v>83</v>
      </c>
      <c r="B85" s="15" t="s">
        <v>144</v>
      </c>
      <c r="C85" s="15" t="s">
        <v>141</v>
      </c>
      <c r="D85" s="15" t="s">
        <v>100</v>
      </c>
      <c r="E85" s="15" t="s">
        <v>94</v>
      </c>
      <c r="F85" s="50">
        <v>50</v>
      </c>
      <c r="G85" s="51">
        <v>36221</v>
      </c>
      <c r="H85" s="52">
        <v>4000</v>
      </c>
      <c r="I85" s="52">
        <f t="shared" si="19"/>
        <v>800</v>
      </c>
      <c r="J85" s="52">
        <f t="shared" si="19"/>
        <v>1200</v>
      </c>
      <c r="K85" s="52">
        <f t="shared" si="12"/>
        <v>6000</v>
      </c>
      <c r="L85" s="52">
        <f t="shared" si="13"/>
        <v>300</v>
      </c>
      <c r="M85" s="52">
        <f t="shared" si="14"/>
        <v>5700</v>
      </c>
      <c r="N85" s="59">
        <f t="shared" si="15"/>
        <v>400</v>
      </c>
      <c r="O85" s="52">
        <f t="shared" si="16"/>
        <v>600</v>
      </c>
      <c r="P85" s="52">
        <f t="shared" si="17"/>
        <v>1000</v>
      </c>
      <c r="Q85" s="52">
        <f t="shared" si="18"/>
        <v>2500</v>
      </c>
      <c r="S85" s="61"/>
      <c r="T85" s="61"/>
      <c r="U85" s="61"/>
      <c r="W85" s="56"/>
    </row>
    <row r="86" spans="1:23">
      <c r="A86" s="14">
        <v>84</v>
      </c>
      <c r="B86" s="15" t="s">
        <v>157</v>
      </c>
      <c r="C86" s="15" t="s">
        <v>158</v>
      </c>
      <c r="D86" s="15" t="s">
        <v>125</v>
      </c>
      <c r="E86" s="15" t="s">
        <v>103</v>
      </c>
      <c r="F86" s="50">
        <v>30</v>
      </c>
      <c r="G86" s="51">
        <v>36222</v>
      </c>
      <c r="H86" s="52">
        <v>4000</v>
      </c>
      <c r="I86" s="52">
        <f t="shared" si="19"/>
        <v>800</v>
      </c>
      <c r="J86" s="52">
        <f t="shared" si="19"/>
        <v>1200</v>
      </c>
      <c r="K86" s="52">
        <f t="shared" si="12"/>
        <v>6000</v>
      </c>
      <c r="L86" s="52">
        <f t="shared" si="13"/>
        <v>300</v>
      </c>
      <c r="M86" s="52">
        <f t="shared" si="14"/>
        <v>5700</v>
      </c>
      <c r="N86" s="59">
        <f t="shared" si="15"/>
        <v>400</v>
      </c>
      <c r="O86" s="52">
        <f t="shared" si="16"/>
        <v>600</v>
      </c>
      <c r="P86" s="52">
        <f t="shared" si="17"/>
        <v>1000</v>
      </c>
      <c r="Q86" s="52">
        <f t="shared" si="18"/>
        <v>2500</v>
      </c>
      <c r="S86" s="61"/>
      <c r="T86" s="61"/>
      <c r="U86" s="61"/>
      <c r="W86" s="56"/>
    </row>
    <row r="87" spans="1:23">
      <c r="A87" s="14">
        <v>85</v>
      </c>
      <c r="B87" s="15" t="s">
        <v>226</v>
      </c>
      <c r="C87" s="15" t="s">
        <v>227</v>
      </c>
      <c r="D87" s="15" t="s">
        <v>125</v>
      </c>
      <c r="E87" s="15" t="s">
        <v>94</v>
      </c>
      <c r="F87" s="50">
        <v>30</v>
      </c>
      <c r="G87" s="51">
        <v>35809</v>
      </c>
      <c r="H87" s="52">
        <v>4000</v>
      </c>
      <c r="I87" s="52">
        <f t="shared" si="19"/>
        <v>800</v>
      </c>
      <c r="J87" s="52">
        <f t="shared" si="19"/>
        <v>1200</v>
      </c>
      <c r="K87" s="52">
        <f t="shared" si="12"/>
        <v>6000</v>
      </c>
      <c r="L87" s="52">
        <f t="shared" si="13"/>
        <v>300</v>
      </c>
      <c r="M87" s="52">
        <f t="shared" si="14"/>
        <v>5700</v>
      </c>
      <c r="N87" s="59">
        <f t="shared" si="15"/>
        <v>400</v>
      </c>
      <c r="O87" s="52">
        <f t="shared" si="16"/>
        <v>600</v>
      </c>
      <c r="P87" s="52">
        <f t="shared" si="17"/>
        <v>1000</v>
      </c>
      <c r="Q87" s="52">
        <f t="shared" si="18"/>
        <v>2500</v>
      </c>
      <c r="S87" s="61"/>
      <c r="T87" s="61"/>
      <c r="U87" s="61"/>
      <c r="W87" s="56"/>
    </row>
    <row r="88" spans="1:23">
      <c r="A88" s="14">
        <v>86</v>
      </c>
      <c r="B88" s="15" t="s">
        <v>150</v>
      </c>
      <c r="C88" s="15" t="s">
        <v>149</v>
      </c>
      <c r="D88" s="15" t="s">
        <v>100</v>
      </c>
      <c r="E88" s="15" t="s">
        <v>94</v>
      </c>
      <c r="F88" s="50">
        <v>50</v>
      </c>
      <c r="G88" s="51">
        <v>35810</v>
      </c>
      <c r="H88" s="52">
        <v>10000</v>
      </c>
      <c r="I88" s="52">
        <f t="shared" si="19"/>
        <v>2000</v>
      </c>
      <c r="J88" s="52">
        <f t="shared" si="19"/>
        <v>3000</v>
      </c>
      <c r="K88" s="52">
        <f t="shared" si="12"/>
        <v>15000</v>
      </c>
      <c r="L88" s="52">
        <f t="shared" si="13"/>
        <v>750</v>
      </c>
      <c r="M88" s="52">
        <f t="shared" si="14"/>
        <v>14250</v>
      </c>
      <c r="N88" s="59">
        <f t="shared" si="15"/>
        <v>1000</v>
      </c>
      <c r="O88" s="52">
        <f t="shared" si="16"/>
        <v>1000</v>
      </c>
      <c r="P88" s="52">
        <f t="shared" si="17"/>
        <v>1000</v>
      </c>
      <c r="Q88" s="52">
        <f t="shared" si="18"/>
        <v>2500</v>
      </c>
      <c r="S88" s="61"/>
      <c r="T88" s="61"/>
      <c r="U88" s="61"/>
      <c r="W88" s="56"/>
    </row>
    <row r="89" spans="1:23">
      <c r="A89" s="14">
        <v>87</v>
      </c>
      <c r="B89" s="15" t="s">
        <v>108</v>
      </c>
      <c r="C89" s="15" t="s">
        <v>109</v>
      </c>
      <c r="D89" s="15" t="s">
        <v>97</v>
      </c>
      <c r="E89" s="15" t="s">
        <v>98</v>
      </c>
      <c r="F89" s="50">
        <v>20</v>
      </c>
      <c r="G89" s="51">
        <v>35811</v>
      </c>
      <c r="H89" s="52">
        <v>10000</v>
      </c>
      <c r="I89" s="52">
        <f t="shared" si="19"/>
        <v>2000</v>
      </c>
      <c r="J89" s="52">
        <f t="shared" si="19"/>
        <v>3000</v>
      </c>
      <c r="K89" s="52">
        <f t="shared" si="12"/>
        <v>15000</v>
      </c>
      <c r="L89" s="52">
        <f t="shared" si="13"/>
        <v>750</v>
      </c>
      <c r="M89" s="52">
        <f t="shared" si="14"/>
        <v>14250</v>
      </c>
      <c r="N89" s="59">
        <f t="shared" si="15"/>
        <v>1000</v>
      </c>
      <c r="O89" s="52">
        <f t="shared" si="16"/>
        <v>1000</v>
      </c>
      <c r="P89" s="52">
        <f t="shared" si="17"/>
        <v>1000</v>
      </c>
      <c r="Q89" s="52">
        <f t="shared" si="18"/>
        <v>2500</v>
      </c>
      <c r="S89" s="61"/>
      <c r="T89" s="61"/>
      <c r="U89" s="61"/>
      <c r="W89" s="56"/>
    </row>
    <row r="90" spans="1:23">
      <c r="A90" s="14">
        <v>88</v>
      </c>
      <c r="B90" s="15" t="s">
        <v>118</v>
      </c>
      <c r="C90" s="15" t="s">
        <v>119</v>
      </c>
      <c r="D90" s="15" t="s">
        <v>97</v>
      </c>
      <c r="E90" s="15" t="s">
        <v>120</v>
      </c>
      <c r="F90" s="50">
        <v>20</v>
      </c>
      <c r="G90" s="51">
        <v>35794</v>
      </c>
      <c r="H90" s="52">
        <v>4500</v>
      </c>
      <c r="I90" s="52">
        <f t="shared" si="19"/>
        <v>900</v>
      </c>
      <c r="J90" s="52">
        <f t="shared" si="19"/>
        <v>1350</v>
      </c>
      <c r="K90" s="52">
        <f t="shared" si="12"/>
        <v>6750</v>
      </c>
      <c r="L90" s="52">
        <f t="shared" si="13"/>
        <v>337.5</v>
      </c>
      <c r="M90" s="52">
        <f t="shared" si="14"/>
        <v>6412.5</v>
      </c>
      <c r="N90" s="59">
        <f t="shared" si="15"/>
        <v>450</v>
      </c>
      <c r="O90" s="52">
        <f t="shared" si="16"/>
        <v>675</v>
      </c>
      <c r="P90" s="52">
        <f t="shared" si="17"/>
        <v>1000</v>
      </c>
      <c r="Q90" s="52">
        <f t="shared" si="18"/>
        <v>2500</v>
      </c>
      <c r="S90" s="61"/>
      <c r="T90" s="61"/>
      <c r="U90" s="61"/>
      <c r="W90" s="56"/>
    </row>
    <row r="91" spans="1:23">
      <c r="A91" s="14">
        <v>89</v>
      </c>
      <c r="B91" s="15" t="s">
        <v>177</v>
      </c>
      <c r="C91" s="15" t="s">
        <v>178</v>
      </c>
      <c r="D91" s="15" t="s">
        <v>76</v>
      </c>
      <c r="E91" s="15" t="s">
        <v>94</v>
      </c>
      <c r="F91" s="50">
        <v>10</v>
      </c>
      <c r="G91" s="51">
        <v>28907</v>
      </c>
      <c r="H91" s="52">
        <v>13000</v>
      </c>
      <c r="I91" s="52">
        <f t="shared" si="19"/>
        <v>2600</v>
      </c>
      <c r="J91" s="52">
        <f t="shared" si="19"/>
        <v>3900</v>
      </c>
      <c r="K91" s="52">
        <f t="shared" si="12"/>
        <v>19500</v>
      </c>
      <c r="L91" s="52">
        <f t="shared" si="13"/>
        <v>975</v>
      </c>
      <c r="M91" s="52">
        <f t="shared" si="14"/>
        <v>18525</v>
      </c>
      <c r="N91" s="59">
        <f t="shared" si="15"/>
        <v>650</v>
      </c>
      <c r="O91" s="52">
        <f t="shared" si="16"/>
        <v>650</v>
      </c>
      <c r="P91" s="52">
        <f t="shared" si="17"/>
        <v>2500</v>
      </c>
      <c r="Q91" s="52">
        <f t="shared" si="18"/>
        <v>2500</v>
      </c>
      <c r="S91" s="61"/>
      <c r="T91" s="61"/>
      <c r="U91" s="61"/>
      <c r="W91" s="56"/>
    </row>
    <row r="92" spans="1:23">
      <c r="A92" s="14">
        <v>90</v>
      </c>
      <c r="B92" s="15" t="s">
        <v>199</v>
      </c>
      <c r="C92" s="15" t="s">
        <v>198</v>
      </c>
      <c r="D92" s="15" t="s">
        <v>125</v>
      </c>
      <c r="E92" s="15" t="s">
        <v>94</v>
      </c>
      <c r="F92" s="50">
        <v>30</v>
      </c>
      <c r="G92" s="51">
        <v>29226</v>
      </c>
      <c r="H92" s="52">
        <v>13000</v>
      </c>
      <c r="I92" s="52">
        <f t="shared" si="19"/>
        <v>2600</v>
      </c>
      <c r="J92" s="52">
        <f t="shared" si="19"/>
        <v>3900</v>
      </c>
      <c r="K92" s="52">
        <f t="shared" si="12"/>
        <v>19500</v>
      </c>
      <c r="L92" s="52">
        <f t="shared" si="13"/>
        <v>975</v>
      </c>
      <c r="M92" s="52">
        <f t="shared" si="14"/>
        <v>18525</v>
      </c>
      <c r="N92" s="59">
        <f t="shared" si="15"/>
        <v>650</v>
      </c>
      <c r="O92" s="52">
        <f t="shared" si="16"/>
        <v>650</v>
      </c>
      <c r="P92" s="52">
        <f t="shared" si="17"/>
        <v>1000</v>
      </c>
      <c r="Q92" s="52">
        <f t="shared" si="18"/>
        <v>2500</v>
      </c>
      <c r="S92" s="61"/>
      <c r="T92" s="61"/>
      <c r="U92" s="61"/>
      <c r="W92" s="56"/>
    </row>
    <row r="93" spans="1:23" s="60" customFormat="1">
      <c r="A93" s="14">
        <v>91</v>
      </c>
      <c r="B93" s="15" t="s">
        <v>256</v>
      </c>
      <c r="C93" s="15" t="s">
        <v>257</v>
      </c>
      <c r="D93" s="15" t="s">
        <v>76</v>
      </c>
      <c r="E93" s="15" t="s">
        <v>103</v>
      </c>
      <c r="F93" s="50">
        <v>10</v>
      </c>
      <c r="G93" s="51">
        <v>29172</v>
      </c>
      <c r="H93" s="52">
        <v>13000</v>
      </c>
      <c r="I93" s="52">
        <f t="shared" si="19"/>
        <v>2600</v>
      </c>
      <c r="J93" s="52">
        <f t="shared" si="19"/>
        <v>3900</v>
      </c>
      <c r="K93" s="52">
        <f t="shared" si="12"/>
        <v>19500</v>
      </c>
      <c r="L93" s="52">
        <f t="shared" si="13"/>
        <v>975</v>
      </c>
      <c r="M93" s="52">
        <f t="shared" si="14"/>
        <v>18525</v>
      </c>
      <c r="N93" s="59">
        <f t="shared" si="15"/>
        <v>650</v>
      </c>
      <c r="O93" s="52">
        <f t="shared" si="16"/>
        <v>650</v>
      </c>
      <c r="P93" s="52">
        <f t="shared" si="17"/>
        <v>2500</v>
      </c>
      <c r="Q93" s="52">
        <f t="shared" si="18"/>
        <v>5000</v>
      </c>
      <c r="S93" s="61"/>
      <c r="T93" s="61"/>
      <c r="U93" s="61"/>
      <c r="V93" s="43"/>
      <c r="W93" s="56"/>
    </row>
    <row r="94" spans="1:23">
      <c r="A94" s="14">
        <v>92</v>
      </c>
      <c r="B94" s="15" t="s">
        <v>116</v>
      </c>
      <c r="C94" s="15" t="s">
        <v>117</v>
      </c>
      <c r="D94" s="15" t="s">
        <v>97</v>
      </c>
      <c r="E94" s="15" t="s">
        <v>103</v>
      </c>
      <c r="F94" s="50">
        <v>20</v>
      </c>
      <c r="G94" s="51">
        <v>32603</v>
      </c>
      <c r="H94" s="52">
        <v>9900</v>
      </c>
      <c r="I94" s="52">
        <f t="shared" si="19"/>
        <v>1980</v>
      </c>
      <c r="J94" s="52">
        <f t="shared" si="19"/>
        <v>2970</v>
      </c>
      <c r="K94" s="52">
        <f t="shared" si="12"/>
        <v>14850</v>
      </c>
      <c r="L94" s="52">
        <f t="shared" si="13"/>
        <v>742.5</v>
      </c>
      <c r="M94" s="52">
        <f t="shared" si="14"/>
        <v>14107.5</v>
      </c>
      <c r="N94" s="59">
        <f t="shared" si="15"/>
        <v>990</v>
      </c>
      <c r="O94" s="52">
        <f t="shared" si="16"/>
        <v>990</v>
      </c>
      <c r="P94" s="52">
        <f t="shared" si="17"/>
        <v>1000</v>
      </c>
      <c r="Q94" s="52">
        <f t="shared" si="18"/>
        <v>2500</v>
      </c>
      <c r="S94" s="61"/>
      <c r="T94" s="61"/>
      <c r="U94" s="61"/>
      <c r="W94" s="56"/>
    </row>
    <row r="95" spans="1:23">
      <c r="A95" s="14">
        <v>93</v>
      </c>
      <c r="B95" s="15" t="s">
        <v>107</v>
      </c>
      <c r="C95" s="15" t="s">
        <v>105</v>
      </c>
      <c r="D95" s="15" t="s">
        <v>76</v>
      </c>
      <c r="E95" s="15" t="s">
        <v>98</v>
      </c>
      <c r="F95" s="50">
        <v>10</v>
      </c>
      <c r="G95" s="51">
        <v>32604</v>
      </c>
      <c r="H95" s="52">
        <v>9900</v>
      </c>
      <c r="I95" s="52">
        <f t="shared" si="19"/>
        <v>1980</v>
      </c>
      <c r="J95" s="52">
        <f t="shared" si="19"/>
        <v>2970</v>
      </c>
      <c r="K95" s="52">
        <f t="shared" si="12"/>
        <v>14850</v>
      </c>
      <c r="L95" s="52">
        <f t="shared" si="13"/>
        <v>742.5</v>
      </c>
      <c r="M95" s="52">
        <f t="shared" si="14"/>
        <v>14107.5</v>
      </c>
      <c r="N95" s="59">
        <f t="shared" si="15"/>
        <v>990</v>
      </c>
      <c r="O95" s="52">
        <f t="shared" si="16"/>
        <v>990</v>
      </c>
      <c r="P95" s="52">
        <f t="shared" si="17"/>
        <v>2500</v>
      </c>
      <c r="Q95" s="52">
        <f t="shared" si="18"/>
        <v>2500</v>
      </c>
      <c r="S95" s="61"/>
      <c r="T95" s="61"/>
      <c r="U95" s="61"/>
      <c r="W95" s="56"/>
    </row>
    <row r="96" spans="1:23">
      <c r="A96" s="14">
        <v>94</v>
      </c>
      <c r="B96" s="15" t="s">
        <v>210</v>
      </c>
      <c r="C96" s="15" t="s">
        <v>211</v>
      </c>
      <c r="D96" s="15" t="s">
        <v>97</v>
      </c>
      <c r="E96" s="15" t="s">
        <v>120</v>
      </c>
      <c r="F96" s="50">
        <v>20</v>
      </c>
      <c r="G96" s="51">
        <v>32605</v>
      </c>
      <c r="H96" s="52">
        <v>9900</v>
      </c>
      <c r="I96" s="52">
        <f t="shared" si="19"/>
        <v>1980</v>
      </c>
      <c r="J96" s="52">
        <f t="shared" si="19"/>
        <v>2970</v>
      </c>
      <c r="K96" s="52">
        <f t="shared" si="12"/>
        <v>14850</v>
      </c>
      <c r="L96" s="52">
        <f t="shared" si="13"/>
        <v>742.5</v>
      </c>
      <c r="M96" s="52">
        <f t="shared" si="14"/>
        <v>14107.5</v>
      </c>
      <c r="N96" s="59">
        <f t="shared" si="15"/>
        <v>990</v>
      </c>
      <c r="O96" s="52">
        <f t="shared" si="16"/>
        <v>990</v>
      </c>
      <c r="P96" s="52">
        <f t="shared" si="17"/>
        <v>1000</v>
      </c>
      <c r="Q96" s="52">
        <f t="shared" si="18"/>
        <v>2500</v>
      </c>
      <c r="S96" s="61"/>
      <c r="T96" s="61"/>
      <c r="U96" s="61"/>
      <c r="W96" s="56"/>
    </row>
    <row r="97" spans="1:23">
      <c r="A97" s="14">
        <v>95</v>
      </c>
      <c r="B97" s="15" t="s">
        <v>95</v>
      </c>
      <c r="C97" s="15" t="s">
        <v>96</v>
      </c>
      <c r="D97" s="15" t="s">
        <v>97</v>
      </c>
      <c r="E97" s="15" t="s">
        <v>98</v>
      </c>
      <c r="F97" s="50">
        <v>20</v>
      </c>
      <c r="G97" s="51">
        <v>32606</v>
      </c>
      <c r="H97" s="52">
        <v>9900</v>
      </c>
      <c r="I97" s="52">
        <f t="shared" si="19"/>
        <v>1980</v>
      </c>
      <c r="J97" s="52">
        <f t="shared" si="19"/>
        <v>2970</v>
      </c>
      <c r="K97" s="52">
        <f t="shared" si="12"/>
        <v>14850</v>
      </c>
      <c r="L97" s="52">
        <f t="shared" si="13"/>
        <v>742.5</v>
      </c>
      <c r="M97" s="52">
        <f t="shared" si="14"/>
        <v>14107.5</v>
      </c>
      <c r="N97" s="59">
        <f t="shared" si="15"/>
        <v>990</v>
      </c>
      <c r="O97" s="52">
        <f t="shared" si="16"/>
        <v>990</v>
      </c>
      <c r="P97" s="52">
        <f t="shared" si="17"/>
        <v>1000</v>
      </c>
      <c r="Q97" s="52">
        <f t="shared" si="18"/>
        <v>2500</v>
      </c>
      <c r="S97" s="61"/>
      <c r="U97" s="61"/>
      <c r="W97" s="56"/>
    </row>
    <row r="98" spans="1:23">
      <c r="A98" s="16">
        <v>96</v>
      </c>
      <c r="B98" s="17" t="s">
        <v>137</v>
      </c>
      <c r="C98" s="17" t="s">
        <v>138</v>
      </c>
      <c r="D98" s="17" t="s">
        <v>125</v>
      </c>
      <c r="E98" s="15" t="s">
        <v>120</v>
      </c>
      <c r="F98" s="57">
        <v>30</v>
      </c>
      <c r="G98" s="58">
        <v>32607</v>
      </c>
      <c r="H98" s="59">
        <v>9900</v>
      </c>
      <c r="I98" s="52">
        <f t="shared" si="19"/>
        <v>1980</v>
      </c>
      <c r="J98" s="52">
        <f t="shared" si="19"/>
        <v>2970</v>
      </c>
      <c r="K98" s="52">
        <f t="shared" si="12"/>
        <v>14850</v>
      </c>
      <c r="L98" s="52">
        <f t="shared" si="13"/>
        <v>742.5</v>
      </c>
      <c r="M98" s="52">
        <f t="shared" si="14"/>
        <v>14107.5</v>
      </c>
      <c r="N98" s="59">
        <f t="shared" si="15"/>
        <v>990</v>
      </c>
      <c r="O98" s="52">
        <f t="shared" si="16"/>
        <v>990</v>
      </c>
      <c r="P98" s="52">
        <f t="shared" si="17"/>
        <v>1000</v>
      </c>
      <c r="Q98" s="52">
        <f t="shared" si="18"/>
        <v>2500</v>
      </c>
      <c r="S98" s="61"/>
      <c r="T98" s="61"/>
      <c r="U98" s="61"/>
      <c r="W98" s="56"/>
    </row>
    <row r="99" spans="1:23">
      <c r="A99" s="14">
        <v>97</v>
      </c>
      <c r="B99" s="15" t="s">
        <v>161</v>
      </c>
      <c r="C99" s="15" t="s">
        <v>162</v>
      </c>
      <c r="D99" s="15" t="s">
        <v>125</v>
      </c>
      <c r="E99" s="15" t="s">
        <v>98</v>
      </c>
      <c r="F99" s="50">
        <v>30</v>
      </c>
      <c r="G99" s="51">
        <v>32608</v>
      </c>
      <c r="H99" s="52">
        <v>9900</v>
      </c>
      <c r="I99" s="52">
        <f t="shared" si="19"/>
        <v>1980</v>
      </c>
      <c r="J99" s="52">
        <f t="shared" si="19"/>
        <v>2970</v>
      </c>
      <c r="K99" s="52">
        <f t="shared" si="12"/>
        <v>14850</v>
      </c>
      <c r="L99" s="52">
        <f t="shared" si="13"/>
        <v>742.5</v>
      </c>
      <c r="M99" s="52">
        <f t="shared" si="14"/>
        <v>14107.5</v>
      </c>
      <c r="N99" s="59">
        <f t="shared" si="15"/>
        <v>990</v>
      </c>
      <c r="O99" s="52">
        <f t="shared" si="16"/>
        <v>990</v>
      </c>
      <c r="P99" s="52">
        <f t="shared" si="17"/>
        <v>1000</v>
      </c>
      <c r="Q99" s="52">
        <f t="shared" si="18"/>
        <v>2500</v>
      </c>
      <c r="S99" s="61"/>
      <c r="T99" s="61"/>
      <c r="U99" s="61"/>
      <c r="W99" s="56"/>
    </row>
    <row r="100" spans="1:23">
      <c r="A100" s="14">
        <v>98</v>
      </c>
      <c r="B100" s="15" t="s">
        <v>264</v>
      </c>
      <c r="C100" s="15" t="s">
        <v>265</v>
      </c>
      <c r="D100" s="15" t="s">
        <v>100</v>
      </c>
      <c r="E100" s="15" t="s">
        <v>94</v>
      </c>
      <c r="F100" s="50">
        <v>50</v>
      </c>
      <c r="G100" s="51">
        <v>32609</v>
      </c>
      <c r="H100" s="52">
        <v>9900</v>
      </c>
      <c r="I100" s="52">
        <f t="shared" si="19"/>
        <v>1980</v>
      </c>
      <c r="J100" s="52">
        <f t="shared" si="19"/>
        <v>2970</v>
      </c>
      <c r="K100" s="52">
        <f t="shared" si="12"/>
        <v>14850</v>
      </c>
      <c r="L100" s="52">
        <f t="shared" si="13"/>
        <v>742.5</v>
      </c>
      <c r="M100" s="52">
        <f t="shared" si="14"/>
        <v>14107.5</v>
      </c>
      <c r="N100" s="59">
        <f t="shared" si="15"/>
        <v>990</v>
      </c>
      <c r="O100" s="52">
        <f t="shared" si="16"/>
        <v>990</v>
      </c>
      <c r="P100" s="52">
        <f t="shared" si="17"/>
        <v>1000</v>
      </c>
      <c r="Q100" s="52">
        <f t="shared" si="18"/>
        <v>2500</v>
      </c>
      <c r="S100" s="61"/>
      <c r="T100" s="61"/>
      <c r="U100" s="61"/>
      <c r="W100" s="56"/>
    </row>
    <row r="101" spans="1:23">
      <c r="A101" s="14">
        <v>99</v>
      </c>
      <c r="B101" s="15" t="s">
        <v>142</v>
      </c>
      <c r="C101" s="15" t="s">
        <v>141</v>
      </c>
      <c r="D101" s="15" t="s">
        <v>143</v>
      </c>
      <c r="E101" s="15" t="s">
        <v>120</v>
      </c>
      <c r="F101" s="50">
        <v>40</v>
      </c>
      <c r="G101" s="51">
        <v>35794</v>
      </c>
      <c r="H101" s="52">
        <v>6000</v>
      </c>
      <c r="I101" s="52">
        <f t="shared" si="19"/>
        <v>1200</v>
      </c>
      <c r="J101" s="52">
        <f t="shared" si="19"/>
        <v>1800</v>
      </c>
      <c r="K101" s="52">
        <f t="shared" si="12"/>
        <v>9000</v>
      </c>
      <c r="L101" s="52">
        <f t="shared" si="13"/>
        <v>450</v>
      </c>
      <c r="M101" s="52">
        <f t="shared" si="14"/>
        <v>8550</v>
      </c>
      <c r="N101" s="59">
        <f t="shared" si="15"/>
        <v>600</v>
      </c>
      <c r="O101" s="52">
        <f t="shared" si="16"/>
        <v>600</v>
      </c>
      <c r="P101" s="52">
        <f t="shared" si="17"/>
        <v>1000</v>
      </c>
      <c r="Q101" s="52">
        <f t="shared" si="18"/>
        <v>2500</v>
      </c>
      <c r="S101" s="61"/>
      <c r="T101" s="61"/>
      <c r="U101" s="61"/>
      <c r="W101" s="56"/>
    </row>
    <row r="102" spans="1:23">
      <c r="A102" s="14">
        <v>100</v>
      </c>
      <c r="B102" s="15" t="s">
        <v>146</v>
      </c>
      <c r="C102" s="15" t="s">
        <v>147</v>
      </c>
      <c r="D102" s="15" t="s">
        <v>143</v>
      </c>
      <c r="E102" s="15" t="s">
        <v>98</v>
      </c>
      <c r="F102" s="50">
        <v>40</v>
      </c>
      <c r="G102" s="51">
        <v>36193</v>
      </c>
      <c r="H102" s="52">
        <v>4500</v>
      </c>
      <c r="I102" s="52">
        <f t="shared" si="19"/>
        <v>900</v>
      </c>
      <c r="J102" s="52">
        <f t="shared" si="19"/>
        <v>1350</v>
      </c>
      <c r="K102" s="52">
        <f t="shared" si="12"/>
        <v>6750</v>
      </c>
      <c r="L102" s="52">
        <f t="shared" si="13"/>
        <v>337.5</v>
      </c>
      <c r="M102" s="52">
        <f t="shared" si="14"/>
        <v>6412.5</v>
      </c>
      <c r="N102" s="59">
        <f t="shared" si="15"/>
        <v>450</v>
      </c>
      <c r="O102" s="52">
        <f t="shared" si="16"/>
        <v>675</v>
      </c>
      <c r="P102" s="52">
        <f t="shared" si="17"/>
        <v>1000</v>
      </c>
      <c r="Q102" s="52">
        <f t="shared" si="18"/>
        <v>2500</v>
      </c>
      <c r="S102" s="61"/>
      <c r="T102" s="61"/>
      <c r="U102" s="61"/>
      <c r="W102" s="56"/>
    </row>
    <row r="103" spans="1:23">
      <c r="J103" s="61"/>
      <c r="K103" s="61"/>
      <c r="L103" s="61"/>
      <c r="N103" s="56"/>
      <c r="S103" s="61"/>
      <c r="T103" s="61"/>
      <c r="U103" s="61"/>
      <c r="W103" s="56"/>
    </row>
    <row r="104" spans="1:23">
      <c r="J104" s="61"/>
      <c r="K104" s="61"/>
      <c r="L104" s="61"/>
      <c r="N104" s="56"/>
      <c r="O104" s="60"/>
      <c r="P104" s="60"/>
      <c r="S104" s="61"/>
      <c r="T104" s="61"/>
      <c r="U104" s="61"/>
      <c r="W104" s="56"/>
    </row>
    <row r="105" spans="1:23">
      <c r="J105" s="61"/>
      <c r="K105" s="61"/>
      <c r="L105" s="61"/>
      <c r="N105" s="56"/>
      <c r="S105" s="61"/>
      <c r="T105" s="61"/>
      <c r="U105" s="61"/>
      <c r="W105" s="56"/>
    </row>
    <row r="106" spans="1:23">
      <c r="J106" s="61"/>
      <c r="K106" s="61"/>
      <c r="L106" s="61"/>
      <c r="N106" s="56"/>
      <c r="S106" s="61"/>
      <c r="T106" s="61"/>
      <c r="U106" s="61"/>
      <c r="W106" s="56"/>
    </row>
    <row r="107" spans="1:23">
      <c r="J107" s="61"/>
      <c r="K107" s="61"/>
      <c r="L107" s="61"/>
      <c r="N107" s="56"/>
      <c r="S107" s="61"/>
      <c r="U107" s="61"/>
      <c r="W107" s="56"/>
    </row>
    <row r="108" spans="1:23">
      <c r="J108" s="61"/>
      <c r="K108" s="60"/>
      <c r="L108" s="61"/>
      <c r="M108" s="60"/>
      <c r="N108" s="62"/>
      <c r="S108" s="61"/>
      <c r="U108" s="61"/>
      <c r="W108" s="56"/>
    </row>
    <row r="109" spans="1:23">
      <c r="J109" s="61"/>
      <c r="L109" s="61"/>
      <c r="N109" s="56"/>
      <c r="S109" s="61"/>
      <c r="T109" s="61"/>
      <c r="U109" s="61"/>
      <c r="W109" s="56"/>
    </row>
    <row r="110" spans="1:23">
      <c r="G110" s="54"/>
      <c r="H110" s="55"/>
      <c r="I110" s="61"/>
      <c r="J110" s="61"/>
      <c r="K110" s="61"/>
      <c r="L110" s="61"/>
      <c r="N110" s="56"/>
      <c r="S110" s="61"/>
      <c r="T110" s="61"/>
      <c r="U110" s="61"/>
      <c r="W110" s="56"/>
    </row>
    <row r="111" spans="1:23">
      <c r="G111" s="54"/>
      <c r="H111" s="55"/>
      <c r="I111" s="61"/>
      <c r="J111" s="61"/>
      <c r="K111" s="61"/>
      <c r="L111" s="61"/>
      <c r="N111" s="56"/>
      <c r="S111" s="61"/>
      <c r="T111" s="61"/>
      <c r="U111" s="61"/>
      <c r="W111" s="56"/>
    </row>
    <row r="112" spans="1:23">
      <c r="G112" s="54"/>
      <c r="H112" s="55"/>
      <c r="I112" s="61"/>
      <c r="J112" s="61"/>
      <c r="K112" s="61"/>
      <c r="L112" s="61"/>
      <c r="N112" s="56"/>
      <c r="S112" s="61"/>
      <c r="T112" s="61"/>
      <c r="U112" s="61"/>
      <c r="W112" s="56"/>
    </row>
    <row r="116" spans="5:8">
      <c r="E116" s="291"/>
      <c r="G116" s="54"/>
      <c r="H116" s="55"/>
    </row>
    <row r="117" spans="5:8">
      <c r="E117" s="291"/>
      <c r="G117" s="54"/>
      <c r="H117" s="55"/>
    </row>
    <row r="118" spans="5:8">
      <c r="E118" s="291"/>
      <c r="G118" s="54"/>
      <c r="H118" s="55"/>
    </row>
    <row r="119" spans="5:8">
      <c r="E119" s="291"/>
      <c r="G119" s="54"/>
      <c r="H119" s="55"/>
    </row>
    <row r="120" spans="5:8">
      <c r="E120" s="291"/>
      <c r="G120" s="54"/>
      <c r="H120" s="55"/>
    </row>
  </sheetData>
  <mergeCells count="1">
    <mergeCell ref="F1:H1"/>
  </mergeCells>
  <phoneticPr fontId="8" type="noConversion"/>
  <conditionalFormatting sqref="Q3:Q102">
    <cfRule type="cellIs" dxfId="27" priority="1" operator="equal">
      <formula>2500</formula>
    </cfRule>
    <cfRule type="cellIs" dxfId="26" priority="2" operator="equal">
      <formula>5000</formula>
    </cfRule>
    <cfRule type="cellIs" dxfId="25" priority="3" operator="equal">
      <formula>5000</formula>
    </cfRule>
  </conditionalFormatting>
  <dataValidations count="3">
    <dataValidation type="decimal" allowBlank="1" showInputMessage="1" showErrorMessage="1" errorTitle="error" error="please get yourself examined in the head_x000a__x000a_" sqref="F121" xr:uid="{00000000-0002-0000-0A00-000000000000}">
      <formula1>43</formula1>
      <formula2>44</formula2>
    </dataValidation>
    <dataValidation type="whole" operator="lessThan" allowBlank="1" showInputMessage="1" showErrorMessage="1" errorTitle="sal err" error="salary cannot exceed 15000" sqref="H3:H102" xr:uid="{00000000-0002-0000-0A00-000001000000}">
      <formula1>15000</formula1>
    </dataValidation>
    <dataValidation type="date" operator="lessThanOrEqual" allowBlank="1" showInputMessage="1" showErrorMessage="1" error="hiredate cannot be greater then current date" sqref="G3:G102" xr:uid="{00000000-0002-0000-0A00-000002000000}">
      <formula1>TODAY()</formula1>
    </dataValidation>
  </dataValidations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293A-E317-4156-9E36-C8684101013E}">
  <sheetPr codeName="Sheet15">
    <tabColor theme="0" tint="-0.34998626667073579"/>
    <pageSetUpPr autoPageBreaks="0" fitToPage="1"/>
  </sheetPr>
  <dimension ref="B2:J21"/>
  <sheetViews>
    <sheetView showGridLines="0" topLeftCell="A10" zoomScaleNormal="100" workbookViewId="0">
      <selection activeCell="G18" sqref="G18"/>
    </sheetView>
  </sheetViews>
  <sheetFormatPr defaultColWidth="9.140625" defaultRowHeight="21" customHeight="1"/>
  <cols>
    <col min="1" max="1" width="4.42578125" style="316" customWidth="1"/>
    <col min="2" max="2" width="2.5703125" style="316" customWidth="1"/>
    <col min="3" max="3" width="14.28515625" style="316" customWidth="1"/>
    <col min="4" max="8" width="15.140625" style="316" customWidth="1"/>
    <col min="9" max="9" width="13.140625" style="316" customWidth="1"/>
    <col min="10" max="10" width="13.42578125" style="316" customWidth="1"/>
    <col min="11" max="11" width="15.5703125" style="316" customWidth="1"/>
    <col min="12" max="12" width="14.5703125" style="316" customWidth="1"/>
    <col min="13" max="13" width="11.85546875" style="316" customWidth="1"/>
    <col min="14" max="16384" width="9.140625" style="316"/>
  </cols>
  <sheetData>
    <row r="2" spans="2:10" s="311" customFormat="1" ht="16.5" customHeight="1"/>
    <row r="3" spans="2:10" s="311" customFormat="1" ht="38.25" customHeight="1" thickBot="1">
      <c r="B3" s="312" t="s">
        <v>3539</v>
      </c>
      <c r="C3" s="313"/>
      <c r="D3" s="313"/>
      <c r="E3" s="313"/>
    </row>
    <row r="4" spans="2:10" s="311" customFormat="1" ht="17.25" customHeight="1">
      <c r="B4" s="314"/>
      <c r="C4" s="315"/>
      <c r="D4" s="315"/>
      <c r="E4" s="315"/>
      <c r="H4" s="315"/>
    </row>
    <row r="5" spans="2:10" ht="21" customHeight="1">
      <c r="G5" s="311"/>
    </row>
    <row r="6" spans="2:10" s="315" customFormat="1" ht="35.25" customHeight="1">
      <c r="C6" s="317" t="s">
        <v>3855</v>
      </c>
    </row>
    <row r="7" spans="2:10" s="311" customFormat="1" ht="19.5" customHeight="1">
      <c r="C7" s="318" t="s">
        <v>3540</v>
      </c>
      <c r="D7" s="318" t="s">
        <v>90</v>
      </c>
      <c r="E7" s="318" t="s">
        <v>3541</v>
      </c>
      <c r="F7" s="318" t="s">
        <v>394</v>
      </c>
      <c r="G7" s="316"/>
      <c r="H7" s="316"/>
      <c r="I7" s="316"/>
      <c r="J7" s="316"/>
    </row>
    <row r="8" spans="2:10" s="311" customFormat="1" ht="19.5" customHeight="1">
      <c r="C8" s="319" t="s">
        <v>3849</v>
      </c>
      <c r="D8" s="320">
        <v>35000</v>
      </c>
      <c r="E8" s="321">
        <v>12</v>
      </c>
      <c r="F8" s="320">
        <f>IF(E8&gt;5,D8*0.1,0)</f>
        <v>3500</v>
      </c>
      <c r="G8" s="316"/>
      <c r="H8" s="316"/>
      <c r="I8" s="316"/>
      <c r="J8" s="316"/>
    </row>
    <row r="9" spans="2:10" s="311" customFormat="1" ht="19.5" customHeight="1">
      <c r="C9" s="322" t="s">
        <v>3542</v>
      </c>
      <c r="D9" s="323">
        <v>40000</v>
      </c>
      <c r="E9" s="324">
        <v>2</v>
      </c>
      <c r="F9" s="320">
        <f t="shared" ref="F9:F12" si="0">IF(E9&gt;5,D9*0.1,0)</f>
        <v>0</v>
      </c>
      <c r="G9" s="316"/>
      <c r="H9" s="316"/>
      <c r="I9" s="316"/>
      <c r="J9" s="316"/>
    </row>
    <row r="10" spans="2:10" s="311" customFormat="1" ht="19.5" customHeight="1">
      <c r="C10" s="322" t="s">
        <v>470</v>
      </c>
      <c r="D10" s="323">
        <v>28000</v>
      </c>
      <c r="E10" s="324">
        <v>5</v>
      </c>
      <c r="F10" s="320">
        <f t="shared" si="0"/>
        <v>0</v>
      </c>
      <c r="G10" s="316"/>
      <c r="H10" s="316"/>
      <c r="I10" s="316"/>
      <c r="J10" s="316"/>
    </row>
    <row r="11" spans="2:10" s="311" customFormat="1" ht="19.5" customHeight="1">
      <c r="C11" s="322" t="s">
        <v>3543</v>
      </c>
      <c r="D11" s="323">
        <v>26000</v>
      </c>
      <c r="E11" s="324">
        <v>4</v>
      </c>
      <c r="F11" s="320">
        <f t="shared" si="0"/>
        <v>0</v>
      </c>
      <c r="G11" s="316"/>
      <c r="H11" s="316"/>
      <c r="I11" s="316"/>
      <c r="J11" s="316"/>
    </row>
    <row r="12" spans="2:10" s="311" customFormat="1" ht="19.5" customHeight="1">
      <c r="C12" s="322" t="s">
        <v>402</v>
      </c>
      <c r="D12" s="323">
        <v>32000</v>
      </c>
      <c r="E12" s="324">
        <v>8</v>
      </c>
      <c r="F12" s="320">
        <f t="shared" si="0"/>
        <v>3200</v>
      </c>
      <c r="G12" s="316"/>
      <c r="H12" s="316"/>
      <c r="I12" s="316"/>
      <c r="J12" s="316"/>
    </row>
    <row r="14" spans="2:10" s="315" customFormat="1" ht="35.25" customHeight="1">
      <c r="C14" s="317" t="s">
        <v>3856</v>
      </c>
    </row>
    <row r="15" spans="2:10" s="311" customFormat="1" ht="19.5" customHeight="1">
      <c r="C15" s="370" t="s">
        <v>3544</v>
      </c>
      <c r="D15" s="370" t="s">
        <v>3545</v>
      </c>
      <c r="E15" s="370" t="s">
        <v>3546</v>
      </c>
      <c r="F15" s="370" t="s">
        <v>3547</v>
      </c>
      <c r="G15" s="316"/>
      <c r="H15" s="316"/>
      <c r="I15" s="316"/>
      <c r="J15" s="316"/>
    </row>
    <row r="16" spans="2:10" s="311" customFormat="1" ht="19.5" customHeight="1">
      <c r="C16" s="319" t="s">
        <v>3548</v>
      </c>
      <c r="D16" s="319">
        <v>5</v>
      </c>
      <c r="E16" s="320">
        <v>8.66</v>
      </c>
      <c r="F16" s="320">
        <f>IF(ISBLANK(D16),"- ",D16*E16)</f>
        <v>43.3</v>
      </c>
      <c r="G16" s="316"/>
      <c r="H16" s="316"/>
      <c r="I16" s="316"/>
      <c r="J16" s="316"/>
    </row>
    <row r="17" spans="3:10" s="311" customFormat="1" ht="19.5" customHeight="1">
      <c r="C17" s="319" t="s">
        <v>3549</v>
      </c>
      <c r="D17" s="319"/>
      <c r="E17" s="320">
        <v>3.01</v>
      </c>
      <c r="F17" s="320" t="str">
        <f t="shared" ref="F17:F21" si="1">IF(ISBLANK(D17),"- ",D17*E17)</f>
        <v xml:space="preserve">- </v>
      </c>
      <c r="G17" s="316"/>
      <c r="H17" s="316"/>
      <c r="I17" s="316"/>
      <c r="J17" s="316"/>
    </row>
    <row r="18" spans="3:10" ht="21" customHeight="1">
      <c r="C18" s="319" t="s">
        <v>3550</v>
      </c>
      <c r="D18" s="319">
        <v>1</v>
      </c>
      <c r="E18" s="320">
        <v>8.36</v>
      </c>
      <c r="F18" s="320">
        <f t="shared" si="1"/>
        <v>8.36</v>
      </c>
    </row>
    <row r="19" spans="3:10" ht="21" customHeight="1">
      <c r="C19" s="319" t="s">
        <v>3551</v>
      </c>
      <c r="D19" s="319">
        <v>12</v>
      </c>
      <c r="E19" s="320">
        <v>0.59</v>
      </c>
      <c r="F19" s="320">
        <f t="shared" si="1"/>
        <v>7.08</v>
      </c>
    </row>
    <row r="20" spans="3:10" ht="21" customHeight="1">
      <c r="C20" s="319" t="s">
        <v>3552</v>
      </c>
      <c r="D20" s="319"/>
      <c r="E20" s="320">
        <v>6.51</v>
      </c>
      <c r="F20" s="320" t="str">
        <f t="shared" si="1"/>
        <v xml:space="preserve">- </v>
      </c>
    </row>
    <row r="21" spans="3:10" ht="21" customHeight="1">
      <c r="C21" s="319" t="s">
        <v>422</v>
      </c>
      <c r="D21" s="319">
        <v>5</v>
      </c>
      <c r="E21" s="320">
        <v>6.06</v>
      </c>
      <c r="F21" s="320">
        <f t="shared" si="1"/>
        <v>30.299999999999997</v>
      </c>
    </row>
  </sheetData>
  <conditionalFormatting sqref="C8:F12">
    <cfRule type="expression" dxfId="24" priority="2">
      <formula>MOD(ROW(),2)=0</formula>
    </cfRule>
  </conditionalFormatting>
  <conditionalFormatting sqref="C16:F21">
    <cfRule type="expression" dxfId="23" priority="1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00AD-683C-4923-8287-BECDFAA2079D}">
  <sheetPr codeName="Sheet16">
    <tabColor theme="0" tint="-0.34998626667073579"/>
    <pageSetUpPr autoPageBreaks="0" fitToPage="1"/>
  </sheetPr>
  <dimension ref="B2:H14"/>
  <sheetViews>
    <sheetView showGridLines="0" topLeftCell="A4" zoomScaleNormal="100" workbookViewId="0">
      <selection activeCell="W9" sqref="W9"/>
    </sheetView>
  </sheetViews>
  <sheetFormatPr defaultColWidth="9.140625" defaultRowHeight="21" customHeight="1"/>
  <cols>
    <col min="1" max="1" width="4.42578125" style="316" customWidth="1"/>
    <col min="2" max="2" width="2.5703125" style="316" customWidth="1"/>
    <col min="3" max="3" width="14.28515625" style="316" customWidth="1"/>
    <col min="4" max="8" width="15.140625" style="316" customWidth="1"/>
    <col min="9" max="9" width="13.140625" style="316" customWidth="1"/>
    <col min="10" max="10" width="13.42578125" style="316" customWidth="1"/>
    <col min="11" max="11" width="15.5703125" style="316" customWidth="1"/>
    <col min="12" max="12" width="14.5703125" style="316" customWidth="1"/>
    <col min="13" max="13" width="11.85546875" style="316" customWidth="1"/>
    <col min="14" max="16384" width="9.140625" style="316"/>
  </cols>
  <sheetData>
    <row r="2" spans="2:8" s="311" customFormat="1" ht="8.25" customHeight="1"/>
    <row r="3" spans="2:8" s="311" customFormat="1" ht="38.25" customHeight="1" thickBot="1">
      <c r="B3" s="312" t="s">
        <v>3539</v>
      </c>
      <c r="C3" s="313"/>
      <c r="D3" s="313"/>
      <c r="E3" s="313"/>
    </row>
    <row r="4" spans="2:8" s="311" customFormat="1" ht="17.25" customHeight="1">
      <c r="B4" s="314"/>
      <c r="C4" s="315"/>
      <c r="D4" s="315"/>
      <c r="E4" s="315"/>
      <c r="H4" s="315"/>
    </row>
    <row r="5" spans="2:8" ht="21" customHeight="1">
      <c r="G5" s="311"/>
    </row>
    <row r="6" spans="2:8" s="315" customFormat="1" ht="35.25" customHeight="1">
      <c r="C6" s="317" t="s">
        <v>3854</v>
      </c>
    </row>
    <row r="7" spans="2:8" ht="21" customHeight="1">
      <c r="C7" s="343" t="s">
        <v>3553</v>
      </c>
      <c r="D7" s="343" t="s">
        <v>3554</v>
      </c>
      <c r="E7" s="343" t="s">
        <v>3555</v>
      </c>
    </row>
    <row r="8" spans="2:8" ht="21" customHeight="1">
      <c r="C8" s="319" t="s">
        <v>482</v>
      </c>
      <c r="D8" s="319" t="s">
        <v>3556</v>
      </c>
      <c r="E8" s="320" t="str">
        <f>IF(D8="M","Mr. "&amp;C8,"Ms. "&amp;C8)</f>
        <v>Mr. Paul</v>
      </c>
    </row>
    <row r="9" spans="2:8" ht="21" customHeight="1">
      <c r="C9" s="319" t="s">
        <v>402</v>
      </c>
      <c r="D9" s="319" t="s">
        <v>3556</v>
      </c>
      <c r="E9" s="320" t="str">
        <f t="shared" ref="E9:E14" si="0">IF(D9="M","Mr. "&amp;C9,"Ms. "&amp;C9)</f>
        <v>Mr. Bob</v>
      </c>
    </row>
    <row r="10" spans="2:8" ht="21" customHeight="1">
      <c r="C10" s="319" t="s">
        <v>3557</v>
      </c>
      <c r="D10" s="319" t="s">
        <v>3558</v>
      </c>
      <c r="E10" s="320" t="str">
        <f t="shared" si="0"/>
        <v>Ms. Jane</v>
      </c>
    </row>
    <row r="11" spans="2:8" ht="21" customHeight="1">
      <c r="C11" s="319" t="s">
        <v>3559</v>
      </c>
      <c r="D11" s="319" t="s">
        <v>3558</v>
      </c>
      <c r="E11" s="320" t="str">
        <f t="shared" si="0"/>
        <v>Ms. Maria</v>
      </c>
    </row>
    <row r="12" spans="2:8" ht="21" customHeight="1">
      <c r="C12" s="319" t="s">
        <v>3542</v>
      </c>
      <c r="D12" s="319" t="s">
        <v>3556</v>
      </c>
      <c r="E12" s="320" t="str">
        <f t="shared" si="0"/>
        <v>Mr. Sue</v>
      </c>
    </row>
    <row r="13" spans="2:8" ht="21" customHeight="1">
      <c r="C13" s="319" t="s">
        <v>556</v>
      </c>
      <c r="D13" s="319" t="s">
        <v>3558</v>
      </c>
      <c r="E13" s="320" t="str">
        <f t="shared" si="0"/>
        <v>Ms. Kate</v>
      </c>
    </row>
    <row r="14" spans="2:8" ht="21" customHeight="1">
      <c r="C14" s="319" t="s">
        <v>614</v>
      </c>
      <c r="D14" s="319" t="s">
        <v>3556</v>
      </c>
      <c r="E14" s="320" t="str">
        <f t="shared" si="0"/>
        <v>Mr. Mark</v>
      </c>
    </row>
  </sheetData>
  <conditionalFormatting sqref="C8:E14">
    <cfRule type="expression" dxfId="22" priority="1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9932-EEBE-423C-ADF3-5CFC635EE531}">
  <sheetPr codeName="Sheet17">
    <tabColor theme="0" tint="-0.34998626667073579"/>
    <pageSetUpPr autoPageBreaks="0" fitToPage="1"/>
  </sheetPr>
  <dimension ref="B2:H26"/>
  <sheetViews>
    <sheetView showGridLines="0" topLeftCell="A15" zoomScaleNormal="100" workbookViewId="0">
      <selection activeCell="I22" sqref="I22"/>
    </sheetView>
  </sheetViews>
  <sheetFormatPr defaultColWidth="9.140625" defaultRowHeight="21" customHeight="1"/>
  <cols>
    <col min="1" max="1" width="4.42578125" style="316" customWidth="1"/>
    <col min="2" max="2" width="2.5703125" style="316" customWidth="1"/>
    <col min="3" max="3" width="14.28515625" style="316" customWidth="1"/>
    <col min="4" max="7" width="15.140625" style="316" customWidth="1"/>
    <col min="8" max="8" width="19.85546875" style="316" customWidth="1"/>
    <col min="9" max="9" width="13.140625" style="316" customWidth="1"/>
    <col min="10" max="10" width="13.42578125" style="316" customWidth="1"/>
    <col min="11" max="11" width="15.5703125" style="316" customWidth="1"/>
    <col min="12" max="12" width="14.5703125" style="316" customWidth="1"/>
    <col min="13" max="13" width="11.85546875" style="316" customWidth="1"/>
    <col min="14" max="16384" width="9.140625" style="316"/>
  </cols>
  <sheetData>
    <row r="2" spans="2:8" s="311" customFormat="1" ht="8.25" customHeight="1"/>
    <row r="3" spans="2:8" s="311" customFormat="1" ht="38.25" customHeight="1" thickBot="1">
      <c r="B3" s="312" t="s">
        <v>3539</v>
      </c>
      <c r="C3" s="313"/>
      <c r="D3" s="313"/>
      <c r="E3" s="313"/>
    </row>
    <row r="4" spans="2:8" s="311" customFormat="1" ht="17.25" customHeight="1">
      <c r="B4" s="314"/>
      <c r="C4" s="315"/>
      <c r="D4" s="315"/>
      <c r="E4" s="315"/>
      <c r="H4" s="315"/>
    </row>
    <row r="5" spans="2:8" ht="21" customHeight="1">
      <c r="G5" s="311"/>
    </row>
    <row r="6" spans="2:8" s="315" customFormat="1" ht="35.25" customHeight="1">
      <c r="C6" s="317" t="s">
        <v>3560</v>
      </c>
    </row>
    <row r="7" spans="2:8" ht="30">
      <c r="C7" s="341" t="s">
        <v>3553</v>
      </c>
      <c r="D7" s="342" t="s">
        <v>3561</v>
      </c>
      <c r="E7" s="341" t="s">
        <v>3554</v>
      </c>
      <c r="F7" s="341" t="s">
        <v>3562</v>
      </c>
      <c r="G7" s="341" t="s">
        <v>3563</v>
      </c>
      <c r="H7" s="342" t="s">
        <v>3564</v>
      </c>
    </row>
    <row r="8" spans="2:8" ht="21" customHeight="1">
      <c r="C8" s="319" t="s">
        <v>3565</v>
      </c>
      <c r="D8" s="319" t="s">
        <v>3566</v>
      </c>
      <c r="E8" s="320" t="s">
        <v>3558</v>
      </c>
      <c r="F8" s="320" t="s">
        <v>3567</v>
      </c>
      <c r="G8" s="319">
        <v>21</v>
      </c>
      <c r="H8" s="319" t="str">
        <f>IF(AND(E8="M",F8="Yes",G8&lt;45),C8," ")</f>
        <v xml:space="preserve"> </v>
      </c>
    </row>
    <row r="9" spans="2:8" ht="21" customHeight="1">
      <c r="C9" s="319" t="s">
        <v>3568</v>
      </c>
      <c r="D9" s="319" t="s">
        <v>3569</v>
      </c>
      <c r="E9" s="320" t="s">
        <v>3556</v>
      </c>
      <c r="F9" s="320" t="s">
        <v>3567</v>
      </c>
      <c r="G9" s="319">
        <v>30</v>
      </c>
      <c r="H9" s="319" t="str">
        <f t="shared" ref="H9:H15" si="0">IF(AND(E9="M",F9="Yes",G9&lt;45),C9," ")</f>
        <v>Customer 2</v>
      </c>
    </row>
    <row r="10" spans="2:8" ht="21" customHeight="1">
      <c r="C10" s="319" t="s">
        <v>3570</v>
      </c>
      <c r="D10" s="319" t="s">
        <v>3571</v>
      </c>
      <c r="E10" s="320" t="s">
        <v>3558</v>
      </c>
      <c r="F10" s="320" t="s">
        <v>3567</v>
      </c>
      <c r="G10" s="319">
        <v>32</v>
      </c>
      <c r="H10" s="319" t="str">
        <f t="shared" si="0"/>
        <v xml:space="preserve"> </v>
      </c>
    </row>
    <row r="11" spans="2:8" ht="21" customHeight="1">
      <c r="C11" s="319" t="s">
        <v>3572</v>
      </c>
      <c r="D11" s="319" t="s">
        <v>3569</v>
      </c>
      <c r="E11" s="320" t="s">
        <v>3556</v>
      </c>
      <c r="F11" s="320" t="s">
        <v>3573</v>
      </c>
      <c r="G11" s="319">
        <v>30</v>
      </c>
      <c r="H11" s="319" t="str">
        <f t="shared" si="0"/>
        <v xml:space="preserve"> </v>
      </c>
    </row>
    <row r="12" spans="2:8" ht="21" customHeight="1">
      <c r="C12" s="319" t="s">
        <v>3574</v>
      </c>
      <c r="D12" s="319" t="s">
        <v>3575</v>
      </c>
      <c r="E12" s="320" t="s">
        <v>3558</v>
      </c>
      <c r="F12" s="320" t="s">
        <v>3567</v>
      </c>
      <c r="G12" s="319">
        <v>45</v>
      </c>
      <c r="H12" s="319" t="str">
        <f t="shared" si="0"/>
        <v xml:space="preserve"> </v>
      </c>
    </row>
    <row r="13" spans="2:8" ht="21" customHeight="1">
      <c r="C13" s="319" t="s">
        <v>3576</v>
      </c>
      <c r="D13" s="319" t="s">
        <v>3569</v>
      </c>
      <c r="E13" s="320" t="s">
        <v>3556</v>
      </c>
      <c r="F13" s="320" t="s">
        <v>3573</v>
      </c>
      <c r="G13" s="319">
        <v>25</v>
      </c>
      <c r="H13" s="319" t="str">
        <f t="shared" si="0"/>
        <v xml:space="preserve"> </v>
      </c>
    </row>
    <row r="14" spans="2:8" ht="21" customHeight="1">
      <c r="C14" s="319" t="s">
        <v>3577</v>
      </c>
      <c r="D14" s="319" t="s">
        <v>3566</v>
      </c>
      <c r="E14" s="320" t="s">
        <v>3556</v>
      </c>
      <c r="F14" s="320" t="s">
        <v>3567</v>
      </c>
      <c r="G14" s="319">
        <v>40</v>
      </c>
      <c r="H14" s="319" t="str">
        <f t="shared" si="0"/>
        <v>Customer 7</v>
      </c>
    </row>
    <row r="15" spans="2:8" ht="21" customHeight="1">
      <c r="C15" s="319" t="s">
        <v>3578</v>
      </c>
      <c r="D15" s="319" t="s">
        <v>3571</v>
      </c>
      <c r="E15" s="320" t="s">
        <v>3556</v>
      </c>
      <c r="F15" s="320" t="s">
        <v>3567</v>
      </c>
      <c r="G15" s="319">
        <v>46</v>
      </c>
      <c r="H15" s="319" t="str">
        <f t="shared" si="0"/>
        <v xml:space="preserve"> </v>
      </c>
    </row>
    <row r="17" spans="3:8" s="315" customFormat="1" ht="35.25" customHeight="1">
      <c r="C17" s="317" t="s">
        <v>3579</v>
      </c>
    </row>
    <row r="18" spans="3:8" ht="30">
      <c r="C18" s="341" t="s">
        <v>3553</v>
      </c>
      <c r="D18" s="342" t="s">
        <v>3561</v>
      </c>
      <c r="E18" s="341" t="s">
        <v>3554</v>
      </c>
      <c r="F18" s="341" t="s">
        <v>3562</v>
      </c>
      <c r="G18" s="341" t="s">
        <v>3563</v>
      </c>
      <c r="H18" s="342" t="s">
        <v>3564</v>
      </c>
    </row>
    <row r="19" spans="3:8" ht="21" customHeight="1">
      <c r="C19" s="319" t="s">
        <v>3565</v>
      </c>
      <c r="D19" s="319" t="s">
        <v>3566</v>
      </c>
      <c r="E19" s="320" t="s">
        <v>3558</v>
      </c>
      <c r="F19" s="320" t="s">
        <v>3567</v>
      </c>
      <c r="G19" s="319">
        <v>21</v>
      </c>
      <c r="H19" s="319" t="str">
        <f>IF(OR(D19="AP",D19="TN"),C19,"")</f>
        <v>Customer 1</v>
      </c>
    </row>
    <row r="20" spans="3:8" ht="21" customHeight="1">
      <c r="C20" s="319" t="s">
        <v>3568</v>
      </c>
      <c r="D20" s="319" t="s">
        <v>3569</v>
      </c>
      <c r="E20" s="320" t="s">
        <v>3556</v>
      </c>
      <c r="F20" s="320" t="s">
        <v>3567</v>
      </c>
      <c r="G20" s="319">
        <v>30</v>
      </c>
      <c r="H20" s="319" t="str">
        <f t="shared" ref="H20:H26" si="1">IF(OR(D20="AP",D20="TN"),C20,"")</f>
        <v>Customer 2</v>
      </c>
    </row>
    <row r="21" spans="3:8" ht="21" customHeight="1">
      <c r="C21" s="319" t="s">
        <v>3570</v>
      </c>
      <c r="D21" s="319" t="s">
        <v>3571</v>
      </c>
      <c r="E21" s="320" t="s">
        <v>3558</v>
      </c>
      <c r="F21" s="320" t="s">
        <v>3567</v>
      </c>
      <c r="G21" s="319">
        <v>32</v>
      </c>
      <c r="H21" s="319" t="str">
        <f t="shared" si="1"/>
        <v/>
      </c>
    </row>
    <row r="22" spans="3:8" ht="21" customHeight="1">
      <c r="C22" s="319" t="s">
        <v>3572</v>
      </c>
      <c r="D22" s="319" t="s">
        <v>3569</v>
      </c>
      <c r="E22" s="320" t="s">
        <v>3556</v>
      </c>
      <c r="F22" s="320" t="s">
        <v>3573</v>
      </c>
      <c r="G22" s="319">
        <v>30</v>
      </c>
      <c r="H22" s="319" t="str">
        <f t="shared" si="1"/>
        <v>Customer 4</v>
      </c>
    </row>
    <row r="23" spans="3:8" ht="21" customHeight="1">
      <c r="C23" s="319" t="s">
        <v>3574</v>
      </c>
      <c r="D23" s="319" t="s">
        <v>3575</v>
      </c>
      <c r="E23" s="320" t="s">
        <v>3558</v>
      </c>
      <c r="F23" s="320" t="s">
        <v>3567</v>
      </c>
      <c r="G23" s="319">
        <v>45</v>
      </c>
      <c r="H23" s="319" t="str">
        <f t="shared" si="1"/>
        <v/>
      </c>
    </row>
    <row r="24" spans="3:8" ht="21" customHeight="1">
      <c r="C24" s="319" t="s">
        <v>3576</v>
      </c>
      <c r="D24" s="319" t="s">
        <v>3569</v>
      </c>
      <c r="E24" s="320" t="s">
        <v>3556</v>
      </c>
      <c r="F24" s="320" t="s">
        <v>3573</v>
      </c>
      <c r="G24" s="319">
        <v>25</v>
      </c>
      <c r="H24" s="319" t="str">
        <f t="shared" si="1"/>
        <v>Customer 6</v>
      </c>
    </row>
    <row r="25" spans="3:8" ht="21" customHeight="1">
      <c r="C25" s="319" t="s">
        <v>3577</v>
      </c>
      <c r="D25" s="319" t="s">
        <v>3566</v>
      </c>
      <c r="E25" s="320" t="s">
        <v>3556</v>
      </c>
      <c r="F25" s="320" t="s">
        <v>3567</v>
      </c>
      <c r="G25" s="319">
        <v>40</v>
      </c>
      <c r="H25" s="319" t="str">
        <f t="shared" si="1"/>
        <v>Customer 7</v>
      </c>
    </row>
    <row r="26" spans="3:8" ht="21" customHeight="1">
      <c r="C26" s="319" t="s">
        <v>3578</v>
      </c>
      <c r="D26" s="319" t="s">
        <v>3571</v>
      </c>
      <c r="E26" s="320" t="s">
        <v>3556</v>
      </c>
      <c r="F26" s="320" t="s">
        <v>3567</v>
      </c>
      <c r="G26" s="319">
        <v>46</v>
      </c>
      <c r="H26" s="319" t="str">
        <f t="shared" si="1"/>
        <v/>
      </c>
    </row>
  </sheetData>
  <conditionalFormatting sqref="C8:H8">
    <cfRule type="expression" dxfId="21" priority="7">
      <formula>MOD(ROW(),2)=0</formula>
    </cfRule>
  </conditionalFormatting>
  <conditionalFormatting sqref="C19:H19">
    <cfRule type="expression" dxfId="20" priority="3">
      <formula>MOD(ROW(),2)=0</formula>
    </cfRule>
  </conditionalFormatting>
  <conditionalFormatting sqref="H8:H15 C9:G15">
    <cfRule type="expression" dxfId="19" priority="5">
      <formula>MOD(ROW(),2)=0</formula>
    </cfRule>
  </conditionalFormatting>
  <conditionalFormatting sqref="H19:H26 C20:G26">
    <cfRule type="expression" dxfId="18" priority="1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D96F-4237-4E9E-BC0E-27623A12EFB7}">
  <sheetPr codeName="Sheet18">
    <tabColor theme="0" tint="-0.34998626667073579"/>
    <pageSetUpPr autoPageBreaks="0" fitToPage="1"/>
  </sheetPr>
  <dimension ref="B2:L25"/>
  <sheetViews>
    <sheetView showGridLines="0" zoomScaleNormal="100" workbookViewId="0">
      <selection activeCell="H8" sqref="H8"/>
    </sheetView>
  </sheetViews>
  <sheetFormatPr defaultColWidth="9.140625" defaultRowHeight="21" customHeight="1"/>
  <cols>
    <col min="1" max="1" width="4.42578125" style="316" customWidth="1"/>
    <col min="2" max="2" width="2.5703125" style="316" customWidth="1"/>
    <col min="3" max="3" width="14.28515625" style="316" customWidth="1"/>
    <col min="4" max="7" width="15.140625" style="316" customWidth="1"/>
    <col min="8" max="8" width="37.140625" style="316" customWidth="1"/>
    <col min="9" max="9" width="13.140625" style="316" customWidth="1"/>
    <col min="10" max="10" width="13.42578125" style="316" customWidth="1"/>
    <col min="11" max="11" width="15.5703125" style="316" customWidth="1"/>
    <col min="12" max="12" width="14.5703125" style="316" customWidth="1"/>
    <col min="13" max="13" width="11.85546875" style="316" customWidth="1"/>
    <col min="14" max="16384" width="9.140625" style="316"/>
  </cols>
  <sheetData>
    <row r="2" spans="2:12" s="311" customFormat="1" ht="8.25" customHeight="1"/>
    <row r="3" spans="2:12" s="311" customFormat="1" ht="38.25" customHeight="1" thickBot="1">
      <c r="B3" s="312" t="s">
        <v>3539</v>
      </c>
      <c r="C3" s="313"/>
      <c r="D3" s="313"/>
      <c r="E3" s="313"/>
    </row>
    <row r="4" spans="2:12" s="311" customFormat="1" ht="17.25" customHeight="1">
      <c r="B4" s="314"/>
      <c r="C4" s="315"/>
      <c r="D4" s="315"/>
      <c r="E4" s="315"/>
      <c r="H4" s="315"/>
    </row>
    <row r="5" spans="2:12" ht="21" customHeight="1">
      <c r="G5" s="311"/>
    </row>
    <row r="6" spans="2:12" s="315" customFormat="1" ht="35.25" customHeight="1">
      <c r="C6" s="317" t="s">
        <v>3580</v>
      </c>
      <c r="K6" s="638"/>
      <c r="L6" s="638"/>
    </row>
    <row r="7" spans="2:12" ht="21" customHeight="1">
      <c r="C7" s="318" t="s">
        <v>276</v>
      </c>
      <c r="D7" s="318" t="s">
        <v>439</v>
      </c>
      <c r="E7" s="318" t="s">
        <v>3581</v>
      </c>
      <c r="F7" s="318" t="s">
        <v>3582</v>
      </c>
      <c r="G7" s="318" t="s">
        <v>3583</v>
      </c>
      <c r="H7" s="318" t="s">
        <v>3584</v>
      </c>
      <c r="J7" s="639" t="s">
        <v>3585</v>
      </c>
      <c r="K7" s="639"/>
    </row>
    <row r="8" spans="2:12" ht="21" customHeight="1">
      <c r="C8" s="332" t="s">
        <v>3586</v>
      </c>
      <c r="D8" s="333">
        <v>5000</v>
      </c>
      <c r="E8" s="333">
        <v>6000</v>
      </c>
      <c r="F8" s="333">
        <v>8000</v>
      </c>
      <c r="G8" s="333">
        <f t="shared" ref="G8:G13" si="0">SUM(D8:F8)</f>
        <v>19000</v>
      </c>
      <c r="H8" s="337"/>
      <c r="J8" s="640" t="s">
        <v>3587</v>
      </c>
      <c r="K8" s="640"/>
    </row>
    <row r="9" spans="2:12" ht="21" customHeight="1">
      <c r="C9" s="332" t="s">
        <v>3588</v>
      </c>
      <c r="D9" s="333">
        <v>8000</v>
      </c>
      <c r="E9" s="333">
        <v>9000</v>
      </c>
      <c r="F9" s="333">
        <v>6000</v>
      </c>
      <c r="G9" s="333">
        <f t="shared" si="0"/>
        <v>23000</v>
      </c>
      <c r="H9" s="338"/>
      <c r="J9" s="640" t="s">
        <v>3589</v>
      </c>
      <c r="K9" s="640"/>
    </row>
    <row r="10" spans="2:12" ht="21" customHeight="1">
      <c r="C10" s="332" t="s">
        <v>3590</v>
      </c>
      <c r="D10" s="333">
        <v>9000</v>
      </c>
      <c r="E10" s="333">
        <v>14000</v>
      </c>
      <c r="F10" s="333">
        <v>12000</v>
      </c>
      <c r="G10" s="333">
        <f t="shared" si="0"/>
        <v>35000</v>
      </c>
      <c r="H10" s="338"/>
      <c r="J10" s="640" t="s">
        <v>3591</v>
      </c>
      <c r="K10" s="640"/>
    </row>
    <row r="11" spans="2:12" ht="21" customHeight="1">
      <c r="C11" s="332" t="s">
        <v>3592</v>
      </c>
      <c r="D11" s="333">
        <v>6000</v>
      </c>
      <c r="E11" s="333">
        <v>8000</v>
      </c>
      <c r="F11" s="333">
        <v>10000</v>
      </c>
      <c r="G11" s="333">
        <f t="shared" si="0"/>
        <v>24000</v>
      </c>
      <c r="H11" s="338"/>
      <c r="J11" s="640" t="s">
        <v>3593</v>
      </c>
      <c r="K11" s="640"/>
    </row>
    <row r="12" spans="2:12" ht="21" customHeight="1">
      <c r="C12" s="332" t="s">
        <v>3594</v>
      </c>
      <c r="D12" s="333">
        <v>13000</v>
      </c>
      <c r="E12" s="333">
        <v>12000</v>
      </c>
      <c r="F12" s="333">
        <v>8000</v>
      </c>
      <c r="G12" s="333">
        <f t="shared" si="0"/>
        <v>33000</v>
      </c>
      <c r="H12" s="338"/>
    </row>
    <row r="13" spans="2:12" ht="21" customHeight="1">
      <c r="C13" s="332" t="s">
        <v>3595</v>
      </c>
      <c r="D13" s="333">
        <v>14000</v>
      </c>
      <c r="E13" s="333">
        <v>17000</v>
      </c>
      <c r="F13" s="333">
        <v>15000</v>
      </c>
      <c r="G13" s="333">
        <f t="shared" si="0"/>
        <v>46000</v>
      </c>
      <c r="H13" s="338"/>
    </row>
    <row r="15" spans="2:12" s="315" customFormat="1" ht="35.25" customHeight="1">
      <c r="C15" s="317" t="s">
        <v>3596</v>
      </c>
      <c r="K15" s="638"/>
      <c r="L15" s="638"/>
    </row>
    <row r="16" spans="2:12" ht="21" customHeight="1">
      <c r="C16" s="325" t="s">
        <v>3597</v>
      </c>
      <c r="D16" s="325" t="s">
        <v>359</v>
      </c>
      <c r="E16" s="325" t="s">
        <v>3547</v>
      </c>
      <c r="F16" s="325" t="s">
        <v>976</v>
      </c>
      <c r="G16" s="325" t="s">
        <v>3598</v>
      </c>
      <c r="H16" s="325" t="s">
        <v>381</v>
      </c>
    </row>
    <row r="17" spans="3:8" ht="21" customHeight="1">
      <c r="C17" s="333" t="s">
        <v>3599</v>
      </c>
      <c r="D17" s="339">
        <v>42015</v>
      </c>
      <c r="E17" s="333">
        <v>21778</v>
      </c>
      <c r="F17" s="332" t="str">
        <f t="shared" ref="F17:F25" si="1">TEXT(D17,"MMM")</f>
        <v>Jan</v>
      </c>
      <c r="G17" s="340"/>
      <c r="H17" s="335">
        <f t="shared" ref="H17:H25" si="2">YEAR(D17)</f>
        <v>2015</v>
      </c>
    </row>
    <row r="18" spans="3:8" ht="21" customHeight="1">
      <c r="C18" s="333" t="s">
        <v>3600</v>
      </c>
      <c r="D18" s="339">
        <v>41764</v>
      </c>
      <c r="E18" s="333">
        <v>43431</v>
      </c>
      <c r="F18" s="332" t="str">
        <f t="shared" si="1"/>
        <v>May</v>
      </c>
      <c r="G18" s="340"/>
      <c r="H18" s="335">
        <f t="shared" si="2"/>
        <v>2014</v>
      </c>
    </row>
    <row r="19" spans="3:8" ht="21" customHeight="1">
      <c r="C19" s="333" t="s">
        <v>3601</v>
      </c>
      <c r="D19" s="339">
        <v>41145</v>
      </c>
      <c r="E19" s="333">
        <v>26401</v>
      </c>
      <c r="F19" s="332" t="str">
        <f t="shared" si="1"/>
        <v>Aug</v>
      </c>
      <c r="G19" s="340"/>
      <c r="H19" s="335">
        <f t="shared" si="2"/>
        <v>2012</v>
      </c>
    </row>
    <row r="20" spans="3:8" ht="21" customHeight="1">
      <c r="C20" s="333" t="s">
        <v>3600</v>
      </c>
      <c r="D20" s="339">
        <v>41777</v>
      </c>
      <c r="E20" s="333">
        <v>46975</v>
      </c>
      <c r="F20" s="332" t="str">
        <f t="shared" si="1"/>
        <v>May</v>
      </c>
      <c r="G20" s="340"/>
      <c r="H20" s="335">
        <f t="shared" si="2"/>
        <v>2014</v>
      </c>
    </row>
    <row r="21" spans="3:8" ht="21" customHeight="1">
      <c r="C21" s="333" t="s">
        <v>3601</v>
      </c>
      <c r="D21" s="339">
        <v>41591</v>
      </c>
      <c r="E21" s="333">
        <v>34216</v>
      </c>
      <c r="F21" s="332" t="str">
        <f t="shared" si="1"/>
        <v>Nov</v>
      </c>
      <c r="G21" s="340"/>
      <c r="H21" s="335">
        <f t="shared" si="2"/>
        <v>2013</v>
      </c>
    </row>
    <row r="22" spans="3:8" ht="21" customHeight="1">
      <c r="C22" s="333" t="s">
        <v>3599</v>
      </c>
      <c r="D22" s="339">
        <v>41061</v>
      </c>
      <c r="E22" s="333">
        <v>32380</v>
      </c>
      <c r="F22" s="332" t="str">
        <f t="shared" si="1"/>
        <v>Jun</v>
      </c>
      <c r="G22" s="340"/>
      <c r="H22" s="335">
        <f t="shared" si="2"/>
        <v>2012</v>
      </c>
    </row>
    <row r="23" spans="3:8" ht="21" customHeight="1">
      <c r="C23" s="333" t="s">
        <v>3600</v>
      </c>
      <c r="D23" s="339">
        <v>41353</v>
      </c>
      <c r="E23" s="333">
        <v>49809</v>
      </c>
      <c r="F23" s="332" t="str">
        <f t="shared" si="1"/>
        <v>Mar</v>
      </c>
      <c r="G23" s="340"/>
      <c r="H23" s="335">
        <f t="shared" si="2"/>
        <v>2013</v>
      </c>
    </row>
    <row r="24" spans="3:8" ht="21" customHeight="1">
      <c r="C24" s="333" t="s">
        <v>3601</v>
      </c>
      <c r="D24" s="339">
        <v>41887</v>
      </c>
      <c r="E24" s="333">
        <v>47744</v>
      </c>
      <c r="F24" s="332" t="str">
        <f t="shared" si="1"/>
        <v>Sep</v>
      </c>
      <c r="G24" s="340"/>
      <c r="H24" s="335">
        <f t="shared" si="2"/>
        <v>2014</v>
      </c>
    </row>
    <row r="25" spans="3:8" ht="21" customHeight="1">
      <c r="C25" s="333" t="s">
        <v>3599</v>
      </c>
      <c r="D25" s="339">
        <v>41209</v>
      </c>
      <c r="E25" s="333">
        <v>26236</v>
      </c>
      <c r="F25" s="332" t="str">
        <f t="shared" si="1"/>
        <v>Oct</v>
      </c>
      <c r="G25" s="340"/>
      <c r="H25" s="335">
        <f t="shared" si="2"/>
        <v>2012</v>
      </c>
    </row>
  </sheetData>
  <mergeCells count="7">
    <mergeCell ref="K15:L15"/>
    <mergeCell ref="K6:L6"/>
    <mergeCell ref="J7:K7"/>
    <mergeCell ref="J8:K8"/>
    <mergeCell ref="J9:K9"/>
    <mergeCell ref="J10:K10"/>
    <mergeCell ref="J11:K11"/>
  </mergeCells>
  <conditionalFormatting sqref="C8:H13">
    <cfRule type="expression" dxfId="17" priority="3">
      <formula>MOD(ROW(),2)=0</formula>
    </cfRule>
  </conditionalFormatting>
  <conditionalFormatting sqref="C17:H25">
    <cfRule type="expression" dxfId="16" priority="1">
      <formula>MOD(ROW(),2)=0</formula>
    </cfRule>
  </conditionalFormatting>
  <conditionalFormatting sqref="J7:J11">
    <cfRule type="expression" dxfId="15" priority="2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91B9-364C-4D27-A784-968B59B43B6C}">
  <sheetPr codeName="Sheet19">
    <tabColor theme="0" tint="-0.34998626667073579"/>
    <pageSetUpPr autoPageBreaks="0" fitToPage="1"/>
  </sheetPr>
  <dimension ref="B2:L18"/>
  <sheetViews>
    <sheetView showGridLines="0" topLeftCell="A4" zoomScale="120" zoomScaleNormal="120" workbookViewId="0">
      <selection activeCell="E8" sqref="E8"/>
    </sheetView>
  </sheetViews>
  <sheetFormatPr defaultColWidth="9.140625" defaultRowHeight="21" customHeight="1"/>
  <cols>
    <col min="1" max="1" width="4.42578125" style="316" customWidth="1"/>
    <col min="2" max="2" width="2.5703125" style="316" customWidth="1"/>
    <col min="3" max="3" width="14.28515625" style="316" customWidth="1"/>
    <col min="4" max="4" width="16.5703125" style="316" customWidth="1"/>
    <col min="5" max="8" width="15.140625" style="316" customWidth="1"/>
    <col min="9" max="9" width="13.140625" style="316" customWidth="1"/>
    <col min="10" max="10" width="13.42578125" style="316" customWidth="1"/>
    <col min="11" max="11" width="15.5703125" style="316" customWidth="1"/>
    <col min="12" max="12" width="14.5703125" style="316" customWidth="1"/>
    <col min="13" max="13" width="11.85546875" style="316" customWidth="1"/>
    <col min="14" max="16384" width="9.140625" style="316"/>
  </cols>
  <sheetData>
    <row r="2" spans="2:12" s="311" customFormat="1" ht="8.25" customHeight="1"/>
    <row r="3" spans="2:12" s="311" customFormat="1" ht="38.25" customHeight="1" thickBot="1">
      <c r="B3" s="312" t="s">
        <v>3539</v>
      </c>
      <c r="C3" s="313"/>
      <c r="D3" s="313"/>
      <c r="E3" s="313"/>
    </row>
    <row r="4" spans="2:12" s="311" customFormat="1" ht="17.25" customHeight="1">
      <c r="B4" s="314"/>
      <c r="C4" s="315"/>
      <c r="D4" s="315"/>
      <c r="E4" s="315"/>
      <c r="H4" s="315"/>
    </row>
    <row r="5" spans="2:12" ht="21" customHeight="1">
      <c r="G5" s="311"/>
    </row>
    <row r="6" spans="2:12" s="315" customFormat="1" ht="35.25" customHeight="1">
      <c r="C6" s="317" t="s">
        <v>3763</v>
      </c>
      <c r="K6" s="638"/>
      <c r="L6" s="638"/>
    </row>
    <row r="7" spans="2:12" ht="21" customHeight="1">
      <c r="C7" s="328" t="s">
        <v>3553</v>
      </c>
      <c r="D7" s="329" t="s">
        <v>3602</v>
      </c>
      <c r="E7" s="329" t="s">
        <v>3603</v>
      </c>
      <c r="H7" s="330" t="s">
        <v>3602</v>
      </c>
      <c r="I7" s="330" t="s">
        <v>3603</v>
      </c>
    </row>
    <row r="8" spans="2:12" ht="21" customHeight="1">
      <c r="C8" s="331" t="s">
        <v>3604</v>
      </c>
      <c r="D8" s="332" t="s">
        <v>3605</v>
      </c>
      <c r="E8" s="333"/>
      <c r="H8" s="332">
        <v>3482</v>
      </c>
      <c r="I8" s="333">
        <v>7684</v>
      </c>
    </row>
    <row r="9" spans="2:12" ht="21" customHeight="1">
      <c r="C9" s="331" t="s">
        <v>3606</v>
      </c>
      <c r="D9" s="332" t="s">
        <v>3607</v>
      </c>
      <c r="E9" s="333"/>
      <c r="H9" s="332">
        <v>1004</v>
      </c>
      <c r="I9" s="333">
        <v>6160</v>
      </c>
    </row>
    <row r="10" spans="2:12" ht="21" customHeight="1">
      <c r="C10" s="331" t="s">
        <v>3608</v>
      </c>
      <c r="D10" s="332" t="s">
        <v>3609</v>
      </c>
      <c r="E10" s="333"/>
      <c r="H10" s="332">
        <v>2564</v>
      </c>
      <c r="I10" s="333">
        <v>4204</v>
      </c>
    </row>
    <row r="11" spans="2:12" ht="21" customHeight="1">
      <c r="C11" s="331" t="s">
        <v>3608</v>
      </c>
      <c r="D11" s="332">
        <v>1004</v>
      </c>
      <c r="E11" s="333"/>
      <c r="H11" s="332">
        <v>1210</v>
      </c>
      <c r="I11" s="333">
        <v>4623</v>
      </c>
    </row>
    <row r="12" spans="2:12" ht="21" customHeight="1">
      <c r="C12" s="331" t="s">
        <v>3610</v>
      </c>
      <c r="D12" s="332">
        <v>1174</v>
      </c>
      <c r="E12" s="333"/>
      <c r="H12" s="332" t="s">
        <v>3607</v>
      </c>
      <c r="I12" s="333">
        <v>7408</v>
      </c>
    </row>
    <row r="13" spans="2:12" ht="21" customHeight="1">
      <c r="C13" s="331" t="s">
        <v>3611</v>
      </c>
      <c r="D13" s="332">
        <v>1619</v>
      </c>
      <c r="E13" s="333"/>
      <c r="H13" s="332">
        <v>2227</v>
      </c>
      <c r="I13" s="333">
        <v>6646</v>
      </c>
    </row>
    <row r="14" spans="2:12" ht="21" customHeight="1">
      <c r="C14" s="331" t="s">
        <v>3612</v>
      </c>
      <c r="D14" s="332">
        <v>2227</v>
      </c>
      <c r="E14" s="333"/>
      <c r="H14" s="334" t="s">
        <v>3605</v>
      </c>
      <c r="I14" s="333">
        <v>6197</v>
      </c>
    </row>
    <row r="15" spans="2:12" ht="21" customHeight="1">
      <c r="C15" s="331" t="s">
        <v>3613</v>
      </c>
      <c r="D15" s="332">
        <v>2373</v>
      </c>
      <c r="E15" s="333"/>
    </row>
    <row r="16" spans="2:12" ht="21" customHeight="1">
      <c r="C16" s="331" t="s">
        <v>3614</v>
      </c>
      <c r="D16" s="332">
        <v>2564</v>
      </c>
      <c r="E16" s="333"/>
    </row>
    <row r="17" spans="3:5" ht="11.25" customHeight="1"/>
    <row r="18" spans="3:5" ht="21" customHeight="1">
      <c r="C18" s="331"/>
      <c r="D18" s="335" t="s">
        <v>966</v>
      </c>
      <c r="E18" s="336">
        <f>SUM(E8:E16)</f>
        <v>0</v>
      </c>
    </row>
  </sheetData>
  <mergeCells count="1">
    <mergeCell ref="K6:L6"/>
  </mergeCells>
  <conditionalFormatting sqref="C8:E16">
    <cfRule type="expression" dxfId="14" priority="5">
      <formula>MOD(ROW(),2)=0</formula>
    </cfRule>
  </conditionalFormatting>
  <conditionalFormatting sqref="C18:E18">
    <cfRule type="expression" dxfId="13" priority="1">
      <formula>MOD(ROW(),2)=0</formula>
    </cfRule>
  </conditionalFormatting>
  <conditionalFormatting sqref="H8:I14">
    <cfRule type="expression" dxfId="12" priority="3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BEE2-9CAA-4B72-BCDA-0C9A4C951EA4}">
  <sheetPr codeName="Sheet20">
    <tabColor theme="0" tint="-0.34998626667073579"/>
  </sheetPr>
  <dimension ref="A2:K3354"/>
  <sheetViews>
    <sheetView zoomScaleNormal="100" workbookViewId="0">
      <pane ySplit="3" topLeftCell="A21" activePane="bottomLeft" state="frozen"/>
      <selection activeCell="W9" sqref="W9"/>
      <selection pane="bottomLeft" activeCell="W9" sqref="W9"/>
    </sheetView>
  </sheetViews>
  <sheetFormatPr defaultColWidth="10.7109375" defaultRowHeight="12" customHeight="1"/>
  <cols>
    <col min="1" max="6" width="10.7109375" style="168" customWidth="1"/>
    <col min="7" max="7" width="18.5703125" style="168" customWidth="1"/>
    <col min="8" max="8" width="2.85546875" style="168" customWidth="1"/>
    <col min="9" max="11" width="13.7109375" style="168" customWidth="1"/>
    <col min="12" max="253" width="9.140625" style="168" customWidth="1"/>
    <col min="254" max="262" width="10.7109375" style="168"/>
    <col min="263" max="263" width="18.5703125" style="168" customWidth="1"/>
    <col min="264" max="264" width="2.85546875" style="168" customWidth="1"/>
    <col min="265" max="267" width="13.7109375" style="168" customWidth="1"/>
    <col min="268" max="509" width="9.140625" style="168" customWidth="1"/>
    <col min="510" max="518" width="10.7109375" style="168"/>
    <col min="519" max="519" width="18.5703125" style="168" customWidth="1"/>
    <col min="520" max="520" width="2.85546875" style="168" customWidth="1"/>
    <col min="521" max="523" width="13.7109375" style="168" customWidth="1"/>
    <col min="524" max="765" width="9.140625" style="168" customWidth="1"/>
    <col min="766" max="774" width="10.7109375" style="168"/>
    <col min="775" max="775" width="18.5703125" style="168" customWidth="1"/>
    <col min="776" max="776" width="2.85546875" style="168" customWidth="1"/>
    <col min="777" max="779" width="13.7109375" style="168" customWidth="1"/>
    <col min="780" max="1021" width="9.140625" style="168" customWidth="1"/>
    <col min="1022" max="1030" width="10.7109375" style="168"/>
    <col min="1031" max="1031" width="18.5703125" style="168" customWidth="1"/>
    <col min="1032" max="1032" width="2.85546875" style="168" customWidth="1"/>
    <col min="1033" max="1035" width="13.7109375" style="168" customWidth="1"/>
    <col min="1036" max="1277" width="9.140625" style="168" customWidth="1"/>
    <col min="1278" max="1286" width="10.7109375" style="168"/>
    <col min="1287" max="1287" width="18.5703125" style="168" customWidth="1"/>
    <col min="1288" max="1288" width="2.85546875" style="168" customWidth="1"/>
    <col min="1289" max="1291" width="13.7109375" style="168" customWidth="1"/>
    <col min="1292" max="1533" width="9.140625" style="168" customWidth="1"/>
    <col min="1534" max="1542" width="10.7109375" style="168"/>
    <col min="1543" max="1543" width="18.5703125" style="168" customWidth="1"/>
    <col min="1544" max="1544" width="2.85546875" style="168" customWidth="1"/>
    <col min="1545" max="1547" width="13.7109375" style="168" customWidth="1"/>
    <col min="1548" max="1789" width="9.140625" style="168" customWidth="1"/>
    <col min="1790" max="1798" width="10.7109375" style="168"/>
    <col min="1799" max="1799" width="18.5703125" style="168" customWidth="1"/>
    <col min="1800" max="1800" width="2.85546875" style="168" customWidth="1"/>
    <col min="1801" max="1803" width="13.7109375" style="168" customWidth="1"/>
    <col min="1804" max="2045" width="9.140625" style="168" customWidth="1"/>
    <col min="2046" max="2054" width="10.7109375" style="168"/>
    <col min="2055" max="2055" width="18.5703125" style="168" customWidth="1"/>
    <col min="2056" max="2056" width="2.85546875" style="168" customWidth="1"/>
    <col min="2057" max="2059" width="13.7109375" style="168" customWidth="1"/>
    <col min="2060" max="2301" width="9.140625" style="168" customWidth="1"/>
    <col min="2302" max="2310" width="10.7109375" style="168"/>
    <col min="2311" max="2311" width="18.5703125" style="168" customWidth="1"/>
    <col min="2312" max="2312" width="2.85546875" style="168" customWidth="1"/>
    <col min="2313" max="2315" width="13.7109375" style="168" customWidth="1"/>
    <col min="2316" max="2557" width="9.140625" style="168" customWidth="1"/>
    <col min="2558" max="2566" width="10.7109375" style="168"/>
    <col min="2567" max="2567" width="18.5703125" style="168" customWidth="1"/>
    <col min="2568" max="2568" width="2.85546875" style="168" customWidth="1"/>
    <col min="2569" max="2571" width="13.7109375" style="168" customWidth="1"/>
    <col min="2572" max="2813" width="9.140625" style="168" customWidth="1"/>
    <col min="2814" max="2822" width="10.7109375" style="168"/>
    <col min="2823" max="2823" width="18.5703125" style="168" customWidth="1"/>
    <col min="2824" max="2824" width="2.85546875" style="168" customWidth="1"/>
    <col min="2825" max="2827" width="13.7109375" style="168" customWidth="1"/>
    <col min="2828" max="3069" width="9.140625" style="168" customWidth="1"/>
    <col min="3070" max="3078" width="10.7109375" style="168"/>
    <col min="3079" max="3079" width="18.5703125" style="168" customWidth="1"/>
    <col min="3080" max="3080" width="2.85546875" style="168" customWidth="1"/>
    <col min="3081" max="3083" width="13.7109375" style="168" customWidth="1"/>
    <col min="3084" max="3325" width="9.140625" style="168" customWidth="1"/>
    <col min="3326" max="3334" width="10.7109375" style="168"/>
    <col min="3335" max="3335" width="18.5703125" style="168" customWidth="1"/>
    <col min="3336" max="3336" width="2.85546875" style="168" customWidth="1"/>
    <col min="3337" max="3339" width="13.7109375" style="168" customWidth="1"/>
    <col min="3340" max="3581" width="9.140625" style="168" customWidth="1"/>
    <col min="3582" max="3590" width="10.7109375" style="168"/>
    <col min="3591" max="3591" width="18.5703125" style="168" customWidth="1"/>
    <col min="3592" max="3592" width="2.85546875" style="168" customWidth="1"/>
    <col min="3593" max="3595" width="13.7109375" style="168" customWidth="1"/>
    <col min="3596" max="3837" width="9.140625" style="168" customWidth="1"/>
    <col min="3838" max="3846" width="10.7109375" style="168"/>
    <col min="3847" max="3847" width="18.5703125" style="168" customWidth="1"/>
    <col min="3848" max="3848" width="2.85546875" style="168" customWidth="1"/>
    <col min="3849" max="3851" width="13.7109375" style="168" customWidth="1"/>
    <col min="3852" max="4093" width="9.140625" style="168" customWidth="1"/>
    <col min="4094" max="4102" width="10.7109375" style="168"/>
    <col min="4103" max="4103" width="18.5703125" style="168" customWidth="1"/>
    <col min="4104" max="4104" width="2.85546875" style="168" customWidth="1"/>
    <col min="4105" max="4107" width="13.7109375" style="168" customWidth="1"/>
    <col min="4108" max="4349" width="9.140625" style="168" customWidth="1"/>
    <col min="4350" max="4358" width="10.7109375" style="168"/>
    <col min="4359" max="4359" width="18.5703125" style="168" customWidth="1"/>
    <col min="4360" max="4360" width="2.85546875" style="168" customWidth="1"/>
    <col min="4361" max="4363" width="13.7109375" style="168" customWidth="1"/>
    <col min="4364" max="4605" width="9.140625" style="168" customWidth="1"/>
    <col min="4606" max="4614" width="10.7109375" style="168"/>
    <col min="4615" max="4615" width="18.5703125" style="168" customWidth="1"/>
    <col min="4616" max="4616" width="2.85546875" style="168" customWidth="1"/>
    <col min="4617" max="4619" width="13.7109375" style="168" customWidth="1"/>
    <col min="4620" max="4861" width="9.140625" style="168" customWidth="1"/>
    <col min="4862" max="4870" width="10.7109375" style="168"/>
    <col min="4871" max="4871" width="18.5703125" style="168" customWidth="1"/>
    <col min="4872" max="4872" width="2.85546875" style="168" customWidth="1"/>
    <col min="4873" max="4875" width="13.7109375" style="168" customWidth="1"/>
    <col min="4876" max="5117" width="9.140625" style="168" customWidth="1"/>
    <col min="5118" max="5126" width="10.7109375" style="168"/>
    <col min="5127" max="5127" width="18.5703125" style="168" customWidth="1"/>
    <col min="5128" max="5128" width="2.85546875" style="168" customWidth="1"/>
    <col min="5129" max="5131" width="13.7109375" style="168" customWidth="1"/>
    <col min="5132" max="5373" width="9.140625" style="168" customWidth="1"/>
    <col min="5374" max="5382" width="10.7109375" style="168"/>
    <col min="5383" max="5383" width="18.5703125" style="168" customWidth="1"/>
    <col min="5384" max="5384" width="2.85546875" style="168" customWidth="1"/>
    <col min="5385" max="5387" width="13.7109375" style="168" customWidth="1"/>
    <col min="5388" max="5629" width="9.140625" style="168" customWidth="1"/>
    <col min="5630" max="5638" width="10.7109375" style="168"/>
    <col min="5639" max="5639" width="18.5703125" style="168" customWidth="1"/>
    <col min="5640" max="5640" width="2.85546875" style="168" customWidth="1"/>
    <col min="5641" max="5643" width="13.7109375" style="168" customWidth="1"/>
    <col min="5644" max="5885" width="9.140625" style="168" customWidth="1"/>
    <col min="5886" max="5894" width="10.7109375" style="168"/>
    <col min="5895" max="5895" width="18.5703125" style="168" customWidth="1"/>
    <col min="5896" max="5896" width="2.85546875" style="168" customWidth="1"/>
    <col min="5897" max="5899" width="13.7109375" style="168" customWidth="1"/>
    <col min="5900" max="6141" width="9.140625" style="168" customWidth="1"/>
    <col min="6142" max="6150" width="10.7109375" style="168"/>
    <col min="6151" max="6151" width="18.5703125" style="168" customWidth="1"/>
    <col min="6152" max="6152" width="2.85546875" style="168" customWidth="1"/>
    <col min="6153" max="6155" width="13.7109375" style="168" customWidth="1"/>
    <col min="6156" max="6397" width="9.140625" style="168" customWidth="1"/>
    <col min="6398" max="6406" width="10.7109375" style="168"/>
    <col min="6407" max="6407" width="18.5703125" style="168" customWidth="1"/>
    <col min="6408" max="6408" width="2.85546875" style="168" customWidth="1"/>
    <col min="6409" max="6411" width="13.7109375" style="168" customWidth="1"/>
    <col min="6412" max="6653" width="9.140625" style="168" customWidth="1"/>
    <col min="6654" max="6662" width="10.7109375" style="168"/>
    <col min="6663" max="6663" width="18.5703125" style="168" customWidth="1"/>
    <col min="6664" max="6664" width="2.85546875" style="168" customWidth="1"/>
    <col min="6665" max="6667" width="13.7109375" style="168" customWidth="1"/>
    <col min="6668" max="6909" width="9.140625" style="168" customWidth="1"/>
    <col min="6910" max="6918" width="10.7109375" style="168"/>
    <col min="6919" max="6919" width="18.5703125" style="168" customWidth="1"/>
    <col min="6920" max="6920" width="2.85546875" style="168" customWidth="1"/>
    <col min="6921" max="6923" width="13.7109375" style="168" customWidth="1"/>
    <col min="6924" max="7165" width="9.140625" style="168" customWidth="1"/>
    <col min="7166" max="7174" width="10.7109375" style="168"/>
    <col min="7175" max="7175" width="18.5703125" style="168" customWidth="1"/>
    <col min="7176" max="7176" width="2.85546875" style="168" customWidth="1"/>
    <col min="7177" max="7179" width="13.7109375" style="168" customWidth="1"/>
    <col min="7180" max="7421" width="9.140625" style="168" customWidth="1"/>
    <col min="7422" max="7430" width="10.7109375" style="168"/>
    <col min="7431" max="7431" width="18.5703125" style="168" customWidth="1"/>
    <col min="7432" max="7432" width="2.85546875" style="168" customWidth="1"/>
    <col min="7433" max="7435" width="13.7109375" style="168" customWidth="1"/>
    <col min="7436" max="7677" width="9.140625" style="168" customWidth="1"/>
    <col min="7678" max="7686" width="10.7109375" style="168"/>
    <col min="7687" max="7687" width="18.5703125" style="168" customWidth="1"/>
    <col min="7688" max="7688" width="2.85546875" style="168" customWidth="1"/>
    <col min="7689" max="7691" width="13.7109375" style="168" customWidth="1"/>
    <col min="7692" max="7933" width="9.140625" style="168" customWidth="1"/>
    <col min="7934" max="7942" width="10.7109375" style="168"/>
    <col min="7943" max="7943" width="18.5703125" style="168" customWidth="1"/>
    <col min="7944" max="7944" width="2.85546875" style="168" customWidth="1"/>
    <col min="7945" max="7947" width="13.7109375" style="168" customWidth="1"/>
    <col min="7948" max="8189" width="9.140625" style="168" customWidth="1"/>
    <col min="8190" max="8198" width="10.7109375" style="168"/>
    <col min="8199" max="8199" width="18.5703125" style="168" customWidth="1"/>
    <col min="8200" max="8200" width="2.85546875" style="168" customWidth="1"/>
    <col min="8201" max="8203" width="13.7109375" style="168" customWidth="1"/>
    <col min="8204" max="8445" width="9.140625" style="168" customWidth="1"/>
    <col min="8446" max="8454" width="10.7109375" style="168"/>
    <col min="8455" max="8455" width="18.5703125" style="168" customWidth="1"/>
    <col min="8456" max="8456" width="2.85546875" style="168" customWidth="1"/>
    <col min="8457" max="8459" width="13.7109375" style="168" customWidth="1"/>
    <col min="8460" max="8701" width="9.140625" style="168" customWidth="1"/>
    <col min="8702" max="8710" width="10.7109375" style="168"/>
    <col min="8711" max="8711" width="18.5703125" style="168" customWidth="1"/>
    <col min="8712" max="8712" width="2.85546875" style="168" customWidth="1"/>
    <col min="8713" max="8715" width="13.7109375" style="168" customWidth="1"/>
    <col min="8716" max="8957" width="9.140625" style="168" customWidth="1"/>
    <col min="8958" max="8966" width="10.7109375" style="168"/>
    <col min="8967" max="8967" width="18.5703125" style="168" customWidth="1"/>
    <col min="8968" max="8968" width="2.85546875" style="168" customWidth="1"/>
    <col min="8969" max="8971" width="13.7109375" style="168" customWidth="1"/>
    <col min="8972" max="9213" width="9.140625" style="168" customWidth="1"/>
    <col min="9214" max="9222" width="10.7109375" style="168"/>
    <col min="9223" max="9223" width="18.5703125" style="168" customWidth="1"/>
    <col min="9224" max="9224" width="2.85546875" style="168" customWidth="1"/>
    <col min="9225" max="9227" width="13.7109375" style="168" customWidth="1"/>
    <col min="9228" max="9469" width="9.140625" style="168" customWidth="1"/>
    <col min="9470" max="9478" width="10.7109375" style="168"/>
    <col min="9479" max="9479" width="18.5703125" style="168" customWidth="1"/>
    <col min="9480" max="9480" width="2.85546875" style="168" customWidth="1"/>
    <col min="9481" max="9483" width="13.7109375" style="168" customWidth="1"/>
    <col min="9484" max="9725" width="9.140625" style="168" customWidth="1"/>
    <col min="9726" max="9734" width="10.7109375" style="168"/>
    <col min="9735" max="9735" width="18.5703125" style="168" customWidth="1"/>
    <col min="9736" max="9736" width="2.85546875" style="168" customWidth="1"/>
    <col min="9737" max="9739" width="13.7109375" style="168" customWidth="1"/>
    <col min="9740" max="9981" width="9.140625" style="168" customWidth="1"/>
    <col min="9982" max="9990" width="10.7109375" style="168"/>
    <col min="9991" max="9991" width="18.5703125" style="168" customWidth="1"/>
    <col min="9992" max="9992" width="2.85546875" style="168" customWidth="1"/>
    <col min="9993" max="9995" width="13.7109375" style="168" customWidth="1"/>
    <col min="9996" max="10237" width="9.140625" style="168" customWidth="1"/>
    <col min="10238" max="10246" width="10.7109375" style="168"/>
    <col min="10247" max="10247" width="18.5703125" style="168" customWidth="1"/>
    <col min="10248" max="10248" width="2.85546875" style="168" customWidth="1"/>
    <col min="10249" max="10251" width="13.7109375" style="168" customWidth="1"/>
    <col min="10252" max="10493" width="9.140625" style="168" customWidth="1"/>
    <col min="10494" max="10502" width="10.7109375" style="168"/>
    <col min="10503" max="10503" width="18.5703125" style="168" customWidth="1"/>
    <col min="10504" max="10504" width="2.85546875" style="168" customWidth="1"/>
    <col min="10505" max="10507" width="13.7109375" style="168" customWidth="1"/>
    <col min="10508" max="10749" width="9.140625" style="168" customWidth="1"/>
    <col min="10750" max="10758" width="10.7109375" style="168"/>
    <col min="10759" max="10759" width="18.5703125" style="168" customWidth="1"/>
    <col min="10760" max="10760" width="2.85546875" style="168" customWidth="1"/>
    <col min="10761" max="10763" width="13.7109375" style="168" customWidth="1"/>
    <col min="10764" max="11005" width="9.140625" style="168" customWidth="1"/>
    <col min="11006" max="11014" width="10.7109375" style="168"/>
    <col min="11015" max="11015" width="18.5703125" style="168" customWidth="1"/>
    <col min="11016" max="11016" width="2.85546875" style="168" customWidth="1"/>
    <col min="11017" max="11019" width="13.7109375" style="168" customWidth="1"/>
    <col min="11020" max="11261" width="9.140625" style="168" customWidth="1"/>
    <col min="11262" max="11270" width="10.7109375" style="168"/>
    <col min="11271" max="11271" width="18.5703125" style="168" customWidth="1"/>
    <col min="11272" max="11272" width="2.85546875" style="168" customWidth="1"/>
    <col min="11273" max="11275" width="13.7109375" style="168" customWidth="1"/>
    <col min="11276" max="11517" width="9.140625" style="168" customWidth="1"/>
    <col min="11518" max="11526" width="10.7109375" style="168"/>
    <col min="11527" max="11527" width="18.5703125" style="168" customWidth="1"/>
    <col min="11528" max="11528" width="2.85546875" style="168" customWidth="1"/>
    <col min="11529" max="11531" width="13.7109375" style="168" customWidth="1"/>
    <col min="11532" max="11773" width="9.140625" style="168" customWidth="1"/>
    <col min="11774" max="11782" width="10.7109375" style="168"/>
    <col min="11783" max="11783" width="18.5703125" style="168" customWidth="1"/>
    <col min="11784" max="11784" width="2.85546875" style="168" customWidth="1"/>
    <col min="11785" max="11787" width="13.7109375" style="168" customWidth="1"/>
    <col min="11788" max="12029" width="9.140625" style="168" customWidth="1"/>
    <col min="12030" max="12038" width="10.7109375" style="168"/>
    <col min="12039" max="12039" width="18.5703125" style="168" customWidth="1"/>
    <col min="12040" max="12040" width="2.85546875" style="168" customWidth="1"/>
    <col min="12041" max="12043" width="13.7109375" style="168" customWidth="1"/>
    <col min="12044" max="12285" width="9.140625" style="168" customWidth="1"/>
    <col min="12286" max="12294" width="10.7109375" style="168"/>
    <col min="12295" max="12295" width="18.5703125" style="168" customWidth="1"/>
    <col min="12296" max="12296" width="2.85546875" style="168" customWidth="1"/>
    <col min="12297" max="12299" width="13.7109375" style="168" customWidth="1"/>
    <col min="12300" max="12541" width="9.140625" style="168" customWidth="1"/>
    <col min="12542" max="12550" width="10.7109375" style="168"/>
    <col min="12551" max="12551" width="18.5703125" style="168" customWidth="1"/>
    <col min="12552" max="12552" width="2.85546875" style="168" customWidth="1"/>
    <col min="12553" max="12555" width="13.7109375" style="168" customWidth="1"/>
    <col min="12556" max="12797" width="9.140625" style="168" customWidth="1"/>
    <col min="12798" max="12806" width="10.7109375" style="168"/>
    <col min="12807" max="12807" width="18.5703125" style="168" customWidth="1"/>
    <col min="12808" max="12808" width="2.85546875" style="168" customWidth="1"/>
    <col min="12809" max="12811" width="13.7109375" style="168" customWidth="1"/>
    <col min="12812" max="13053" width="9.140625" style="168" customWidth="1"/>
    <col min="13054" max="13062" width="10.7109375" style="168"/>
    <col min="13063" max="13063" width="18.5703125" style="168" customWidth="1"/>
    <col min="13064" max="13064" width="2.85546875" style="168" customWidth="1"/>
    <col min="13065" max="13067" width="13.7109375" style="168" customWidth="1"/>
    <col min="13068" max="13309" width="9.140625" style="168" customWidth="1"/>
    <col min="13310" max="13318" width="10.7109375" style="168"/>
    <col min="13319" max="13319" width="18.5703125" style="168" customWidth="1"/>
    <col min="13320" max="13320" width="2.85546875" style="168" customWidth="1"/>
    <col min="13321" max="13323" width="13.7109375" style="168" customWidth="1"/>
    <col min="13324" max="13565" width="9.140625" style="168" customWidth="1"/>
    <col min="13566" max="13574" width="10.7109375" style="168"/>
    <col min="13575" max="13575" width="18.5703125" style="168" customWidth="1"/>
    <col min="13576" max="13576" width="2.85546875" style="168" customWidth="1"/>
    <col min="13577" max="13579" width="13.7109375" style="168" customWidth="1"/>
    <col min="13580" max="13821" width="9.140625" style="168" customWidth="1"/>
    <col min="13822" max="13830" width="10.7109375" style="168"/>
    <col min="13831" max="13831" width="18.5703125" style="168" customWidth="1"/>
    <col min="13832" max="13832" width="2.85546875" style="168" customWidth="1"/>
    <col min="13833" max="13835" width="13.7109375" style="168" customWidth="1"/>
    <col min="13836" max="14077" width="9.140625" style="168" customWidth="1"/>
    <col min="14078" max="14086" width="10.7109375" style="168"/>
    <col min="14087" max="14087" width="18.5703125" style="168" customWidth="1"/>
    <col min="14088" max="14088" width="2.85546875" style="168" customWidth="1"/>
    <col min="14089" max="14091" width="13.7109375" style="168" customWidth="1"/>
    <col min="14092" max="14333" width="9.140625" style="168" customWidth="1"/>
    <col min="14334" max="14342" width="10.7109375" style="168"/>
    <col min="14343" max="14343" width="18.5703125" style="168" customWidth="1"/>
    <col min="14344" max="14344" width="2.85546875" style="168" customWidth="1"/>
    <col min="14345" max="14347" width="13.7109375" style="168" customWidth="1"/>
    <col min="14348" max="14589" width="9.140625" style="168" customWidth="1"/>
    <col min="14590" max="14598" width="10.7109375" style="168"/>
    <col min="14599" max="14599" width="18.5703125" style="168" customWidth="1"/>
    <col min="14600" max="14600" width="2.85546875" style="168" customWidth="1"/>
    <col min="14601" max="14603" width="13.7109375" style="168" customWidth="1"/>
    <col min="14604" max="14845" width="9.140625" style="168" customWidth="1"/>
    <col min="14846" max="14854" width="10.7109375" style="168"/>
    <col min="14855" max="14855" width="18.5703125" style="168" customWidth="1"/>
    <col min="14856" max="14856" width="2.85546875" style="168" customWidth="1"/>
    <col min="14857" max="14859" width="13.7109375" style="168" customWidth="1"/>
    <col min="14860" max="15101" width="9.140625" style="168" customWidth="1"/>
    <col min="15102" max="15110" width="10.7109375" style="168"/>
    <col min="15111" max="15111" width="18.5703125" style="168" customWidth="1"/>
    <col min="15112" max="15112" width="2.85546875" style="168" customWidth="1"/>
    <col min="15113" max="15115" width="13.7109375" style="168" customWidth="1"/>
    <col min="15116" max="15357" width="9.140625" style="168" customWidth="1"/>
    <col min="15358" max="15366" width="10.7109375" style="168"/>
    <col min="15367" max="15367" width="18.5703125" style="168" customWidth="1"/>
    <col min="15368" max="15368" width="2.85546875" style="168" customWidth="1"/>
    <col min="15369" max="15371" width="13.7109375" style="168" customWidth="1"/>
    <col min="15372" max="15613" width="9.140625" style="168" customWidth="1"/>
    <col min="15614" max="15622" width="10.7109375" style="168"/>
    <col min="15623" max="15623" width="18.5703125" style="168" customWidth="1"/>
    <col min="15624" max="15624" width="2.85546875" style="168" customWidth="1"/>
    <col min="15625" max="15627" width="13.7109375" style="168" customWidth="1"/>
    <col min="15628" max="15869" width="9.140625" style="168" customWidth="1"/>
    <col min="15870" max="15878" width="10.7109375" style="168"/>
    <col min="15879" max="15879" width="18.5703125" style="168" customWidth="1"/>
    <col min="15880" max="15880" width="2.85546875" style="168" customWidth="1"/>
    <col min="15881" max="15883" width="13.7109375" style="168" customWidth="1"/>
    <col min="15884" max="16125" width="9.140625" style="168" customWidth="1"/>
    <col min="16126" max="16134" width="10.7109375" style="168"/>
    <col min="16135" max="16135" width="18.5703125" style="168" customWidth="1"/>
    <col min="16136" max="16136" width="2.85546875" style="168" customWidth="1"/>
    <col min="16137" max="16139" width="13.7109375" style="168" customWidth="1"/>
    <col min="16140" max="16381" width="9.140625" style="168" customWidth="1"/>
    <col min="16382" max="16384" width="10.7109375" style="168"/>
  </cols>
  <sheetData>
    <row r="2" spans="1:11" ht="37.5" customHeight="1">
      <c r="A2" s="641" t="s">
        <v>3489</v>
      </c>
      <c r="B2" s="642"/>
      <c r="C2" s="642"/>
      <c r="D2" s="642"/>
      <c r="E2" s="642"/>
      <c r="F2" s="642"/>
      <c r="G2" s="642"/>
      <c r="H2" s="642"/>
      <c r="I2" s="643"/>
    </row>
    <row r="3" spans="1:11" ht="37.5" customHeight="1">
      <c r="A3" s="644" t="s">
        <v>3490</v>
      </c>
      <c r="B3" s="645"/>
      <c r="C3" s="645"/>
      <c r="D3" s="645"/>
      <c r="E3" s="645"/>
      <c r="F3" s="645"/>
      <c r="G3" s="645"/>
      <c r="H3" s="645"/>
      <c r="I3" s="646"/>
    </row>
    <row r="4" spans="1:11" ht="18.75" customHeight="1" thickBot="1"/>
    <row r="5" spans="1:11" ht="12.75">
      <c r="A5" s="294" t="s">
        <v>3491</v>
      </c>
      <c r="B5" s="295" t="s">
        <v>413</v>
      </c>
      <c r="C5" s="296" t="s">
        <v>3492</v>
      </c>
      <c r="D5" s="296" t="s">
        <v>3493</v>
      </c>
      <c r="E5" s="296" t="s">
        <v>414</v>
      </c>
      <c r="F5" s="296" t="s">
        <v>3494</v>
      </c>
      <c r="G5" s="297" t="s">
        <v>3495</v>
      </c>
    </row>
    <row r="6" spans="1:11" ht="12" customHeight="1">
      <c r="A6" s="298">
        <v>36289</v>
      </c>
      <c r="B6" s="299" t="s">
        <v>3496</v>
      </c>
      <c r="C6" s="299">
        <v>240</v>
      </c>
      <c r="D6" s="299">
        <f t="shared" ref="D6:D69" si="0">MONTH(A6)</f>
        <v>5</v>
      </c>
      <c r="E6" s="299">
        <v>35</v>
      </c>
      <c r="F6" s="430" t="s">
        <v>3497</v>
      </c>
      <c r="G6" s="300" t="str">
        <f t="shared" ref="G6:G69" si="1">B6&amp;F6</f>
        <v>BordeauxNRW</v>
      </c>
    </row>
    <row r="7" spans="1:11" ht="12" customHeight="1">
      <c r="A7" s="298">
        <v>36294</v>
      </c>
      <c r="B7" s="299" t="s">
        <v>3496</v>
      </c>
      <c r="C7" s="299">
        <v>150</v>
      </c>
      <c r="D7" s="299">
        <f t="shared" si="0"/>
        <v>5</v>
      </c>
      <c r="E7" s="299">
        <v>28</v>
      </c>
      <c r="F7" s="430" t="s">
        <v>3497</v>
      </c>
      <c r="G7" s="300" t="str">
        <f t="shared" si="1"/>
        <v>BordeauxNRW</v>
      </c>
      <c r="I7" s="301" t="s">
        <v>3498</v>
      </c>
      <c r="J7" s="302"/>
    </row>
    <row r="8" spans="1:11" ht="12" customHeight="1">
      <c r="A8" s="298">
        <v>36307</v>
      </c>
      <c r="B8" s="299" t="s">
        <v>3496</v>
      </c>
      <c r="C8" s="299">
        <v>60</v>
      </c>
      <c r="D8" s="299">
        <f t="shared" si="0"/>
        <v>5</v>
      </c>
      <c r="E8" s="299">
        <v>28</v>
      </c>
      <c r="F8" s="430" t="s">
        <v>3497</v>
      </c>
      <c r="G8" s="300" t="str">
        <f t="shared" si="1"/>
        <v>BordeauxNRW</v>
      </c>
      <c r="I8" s="303" t="s">
        <v>3497</v>
      </c>
      <c r="J8" s="304">
        <f>COUNTIF($F$6:$F$3354,I8)</f>
        <v>999</v>
      </c>
      <c r="K8" s="168">
        <f>COUNTIF(F6:F3354,I8)</f>
        <v>999</v>
      </c>
    </row>
    <row r="9" spans="1:11" ht="12" customHeight="1">
      <c r="A9" s="298">
        <v>36347</v>
      </c>
      <c r="B9" s="299" t="s">
        <v>3496</v>
      </c>
      <c r="C9" s="299">
        <v>60</v>
      </c>
      <c r="D9" s="299">
        <f t="shared" si="0"/>
        <v>7</v>
      </c>
      <c r="E9" s="299">
        <v>28</v>
      </c>
      <c r="F9" s="430" t="s">
        <v>3497</v>
      </c>
      <c r="G9" s="300" t="str">
        <f t="shared" si="1"/>
        <v>BordeauxNRW</v>
      </c>
      <c r="I9" s="303" t="s">
        <v>3499</v>
      </c>
      <c r="J9" s="304">
        <f t="shared" ref="J9:J14" si="2">COUNTIF($F$6:$F$3354,I9)</f>
        <v>515</v>
      </c>
      <c r="K9" s="168">
        <f t="shared" ref="K9:K14" si="3">COUNTIF(F7:F3355,I9)</f>
        <v>515</v>
      </c>
    </row>
    <row r="10" spans="1:11" ht="12" customHeight="1">
      <c r="A10" s="298">
        <v>36356</v>
      </c>
      <c r="B10" s="299" t="s">
        <v>3496</v>
      </c>
      <c r="C10" s="299">
        <v>150</v>
      </c>
      <c r="D10" s="299">
        <f t="shared" si="0"/>
        <v>7</v>
      </c>
      <c r="E10" s="299">
        <v>34</v>
      </c>
      <c r="F10" s="430" t="s">
        <v>3497</v>
      </c>
      <c r="G10" s="300" t="str">
        <f t="shared" si="1"/>
        <v>BordeauxNRW</v>
      </c>
      <c r="I10" s="303" t="s">
        <v>3500</v>
      </c>
      <c r="J10" s="304">
        <f t="shared" si="2"/>
        <v>755</v>
      </c>
      <c r="K10" s="168">
        <f t="shared" si="3"/>
        <v>755</v>
      </c>
    </row>
    <row r="11" spans="1:11" ht="12" customHeight="1">
      <c r="A11" s="298">
        <v>36395</v>
      </c>
      <c r="B11" s="299" t="s">
        <v>3496</v>
      </c>
      <c r="C11" s="299">
        <v>120</v>
      </c>
      <c r="D11" s="299">
        <f t="shared" si="0"/>
        <v>8</v>
      </c>
      <c r="E11" s="299">
        <v>35</v>
      </c>
      <c r="F11" s="430" t="s">
        <v>3497</v>
      </c>
      <c r="G11" s="300" t="str">
        <f t="shared" si="1"/>
        <v>BordeauxNRW</v>
      </c>
      <c r="I11" s="303" t="s">
        <v>3501</v>
      </c>
      <c r="J11" s="304">
        <f t="shared" si="2"/>
        <v>213</v>
      </c>
      <c r="K11" s="168">
        <f t="shared" si="3"/>
        <v>213</v>
      </c>
    </row>
    <row r="12" spans="1:11" ht="12" customHeight="1">
      <c r="A12" s="298">
        <v>36435</v>
      </c>
      <c r="B12" s="299" t="s">
        <v>3496</v>
      </c>
      <c r="C12" s="299">
        <v>80</v>
      </c>
      <c r="D12" s="299">
        <f t="shared" si="0"/>
        <v>10</v>
      </c>
      <c r="E12" s="299">
        <v>34</v>
      </c>
      <c r="F12" s="430" t="s">
        <v>3497</v>
      </c>
      <c r="G12" s="300" t="str">
        <f t="shared" si="1"/>
        <v>BordeauxNRW</v>
      </c>
      <c r="I12" s="303" t="s">
        <v>3502</v>
      </c>
      <c r="J12" s="304">
        <f t="shared" si="2"/>
        <v>205</v>
      </c>
      <c r="K12" s="168">
        <f t="shared" si="3"/>
        <v>205</v>
      </c>
    </row>
    <row r="13" spans="1:11" ht="12" customHeight="1">
      <c r="A13" s="298">
        <v>36438</v>
      </c>
      <c r="B13" s="299" t="s">
        <v>3496</v>
      </c>
      <c r="C13" s="299">
        <v>50</v>
      </c>
      <c r="D13" s="299">
        <f t="shared" si="0"/>
        <v>10</v>
      </c>
      <c r="E13" s="299">
        <v>34</v>
      </c>
      <c r="F13" s="430" t="s">
        <v>3497</v>
      </c>
      <c r="G13" s="300" t="str">
        <f t="shared" si="1"/>
        <v>BordeauxNRW</v>
      </c>
      <c r="I13" s="303" t="s">
        <v>3503</v>
      </c>
      <c r="J13" s="304">
        <f t="shared" si="2"/>
        <v>203</v>
      </c>
      <c r="K13" s="168">
        <f t="shared" si="3"/>
        <v>203</v>
      </c>
    </row>
    <row r="14" spans="1:11" ht="12" customHeight="1">
      <c r="A14" s="298">
        <v>36447</v>
      </c>
      <c r="B14" s="299" t="s">
        <v>3496</v>
      </c>
      <c r="C14" s="299">
        <v>60</v>
      </c>
      <c r="D14" s="299">
        <f t="shared" si="0"/>
        <v>10</v>
      </c>
      <c r="E14" s="299">
        <v>34</v>
      </c>
      <c r="F14" s="430" t="s">
        <v>3497</v>
      </c>
      <c r="G14" s="300" t="str">
        <f t="shared" si="1"/>
        <v>BordeauxNRW</v>
      </c>
      <c r="I14" s="303" t="s">
        <v>3504</v>
      </c>
      <c r="J14" s="304">
        <f t="shared" si="2"/>
        <v>459</v>
      </c>
      <c r="K14" s="168">
        <f t="shared" si="3"/>
        <v>459</v>
      </c>
    </row>
    <row r="15" spans="1:11" ht="12" customHeight="1">
      <c r="A15" s="298">
        <v>36483</v>
      </c>
      <c r="B15" s="299" t="s">
        <v>3496</v>
      </c>
      <c r="C15" s="299">
        <v>60</v>
      </c>
      <c r="D15" s="299">
        <f t="shared" si="0"/>
        <v>11</v>
      </c>
      <c r="E15" s="299">
        <v>28</v>
      </c>
      <c r="F15" s="430" t="s">
        <v>3497</v>
      </c>
      <c r="G15" s="300" t="str">
        <f t="shared" si="1"/>
        <v>BordeauxNRW</v>
      </c>
    </row>
    <row r="16" spans="1:11" ht="12" customHeight="1">
      <c r="A16" s="298">
        <v>36517</v>
      </c>
      <c r="B16" s="299" t="s">
        <v>3496</v>
      </c>
      <c r="C16" s="299">
        <v>240</v>
      </c>
      <c r="D16" s="299">
        <f t="shared" si="0"/>
        <v>12</v>
      </c>
      <c r="E16" s="299">
        <v>28</v>
      </c>
      <c r="F16" s="430" t="s">
        <v>3497</v>
      </c>
      <c r="G16" s="300" t="str">
        <f t="shared" si="1"/>
        <v>BordeauxNRW</v>
      </c>
      <c r="I16" s="301"/>
      <c r="J16" s="302"/>
    </row>
    <row r="17" spans="1:11" ht="12" customHeight="1">
      <c r="A17" s="298">
        <v>36206</v>
      </c>
      <c r="B17" s="299" t="s">
        <v>3496</v>
      </c>
      <c r="C17" s="299">
        <v>120</v>
      </c>
      <c r="D17" s="299">
        <f t="shared" si="0"/>
        <v>2</v>
      </c>
      <c r="E17" s="299">
        <v>34</v>
      </c>
      <c r="F17" s="430" t="s">
        <v>3500</v>
      </c>
      <c r="G17" s="300" t="str">
        <f t="shared" si="1"/>
        <v>BordeauxSaarland</v>
      </c>
      <c r="I17" s="305"/>
    </row>
    <row r="18" spans="1:11" ht="12" customHeight="1">
      <c r="A18" s="298">
        <v>36207</v>
      </c>
      <c r="B18" s="299" t="s">
        <v>3496</v>
      </c>
      <c r="C18" s="299">
        <v>40</v>
      </c>
      <c r="D18" s="299">
        <f t="shared" si="0"/>
        <v>2</v>
      </c>
      <c r="E18" s="299">
        <v>34</v>
      </c>
      <c r="F18" s="430" t="s">
        <v>3500</v>
      </c>
      <c r="G18" s="300" t="str">
        <f t="shared" si="1"/>
        <v>BordeauxSaarland</v>
      </c>
      <c r="I18" s="305"/>
    </row>
    <row r="19" spans="1:11" ht="12" customHeight="1">
      <c r="A19" s="298">
        <v>36210</v>
      </c>
      <c r="B19" s="299" t="s">
        <v>3496</v>
      </c>
      <c r="C19" s="299">
        <v>50</v>
      </c>
      <c r="D19" s="299">
        <f t="shared" si="0"/>
        <v>2</v>
      </c>
      <c r="E19" s="299">
        <v>34</v>
      </c>
      <c r="F19" s="430" t="s">
        <v>3500</v>
      </c>
      <c r="G19" s="300" t="str">
        <f t="shared" si="1"/>
        <v>BordeauxSaarland</v>
      </c>
      <c r="I19" s="305"/>
    </row>
    <row r="20" spans="1:11" ht="12" customHeight="1">
      <c r="A20" s="298">
        <v>36211</v>
      </c>
      <c r="B20" s="299" t="s">
        <v>3496</v>
      </c>
      <c r="C20" s="299">
        <v>10</v>
      </c>
      <c r="D20" s="299">
        <f t="shared" si="0"/>
        <v>2</v>
      </c>
      <c r="E20" s="299">
        <v>34</v>
      </c>
      <c r="F20" s="430" t="s">
        <v>3500</v>
      </c>
      <c r="G20" s="300" t="str">
        <f t="shared" si="1"/>
        <v>BordeauxSaarland</v>
      </c>
    </row>
    <row r="21" spans="1:11" ht="12" customHeight="1">
      <c r="A21" s="298">
        <v>36303</v>
      </c>
      <c r="B21" s="299" t="s">
        <v>3496</v>
      </c>
      <c r="C21" s="299">
        <v>40</v>
      </c>
      <c r="D21" s="299">
        <f t="shared" si="0"/>
        <v>5</v>
      </c>
      <c r="E21" s="299">
        <v>30</v>
      </c>
      <c r="F21" s="430" t="s">
        <v>3500</v>
      </c>
      <c r="G21" s="300" t="str">
        <f t="shared" si="1"/>
        <v>BordeauxSaarland</v>
      </c>
    </row>
    <row r="22" spans="1:11" ht="12" customHeight="1">
      <c r="A22" s="298">
        <v>36308</v>
      </c>
      <c r="B22" s="299" t="s">
        <v>3496</v>
      </c>
      <c r="C22" s="299">
        <v>180</v>
      </c>
      <c r="D22" s="299">
        <f t="shared" si="0"/>
        <v>5</v>
      </c>
      <c r="E22" s="299">
        <v>34</v>
      </c>
      <c r="F22" s="430" t="s">
        <v>3500</v>
      </c>
      <c r="G22" s="300" t="str">
        <f t="shared" si="1"/>
        <v>BordeauxSaarland</v>
      </c>
      <c r="I22" s="301" t="s">
        <v>3505</v>
      </c>
      <c r="J22" s="302"/>
    </row>
    <row r="23" spans="1:11" ht="12" customHeight="1">
      <c r="A23" s="298">
        <v>36315</v>
      </c>
      <c r="B23" s="299" t="s">
        <v>3496</v>
      </c>
      <c r="C23" s="299">
        <v>90</v>
      </c>
      <c r="D23" s="299">
        <f t="shared" si="0"/>
        <v>6</v>
      </c>
      <c r="E23" s="299">
        <v>34</v>
      </c>
      <c r="F23" s="430" t="s">
        <v>3500</v>
      </c>
      <c r="G23" s="300" t="str">
        <f t="shared" si="1"/>
        <v>BordeauxSaarland</v>
      </c>
      <c r="I23" s="303" t="s">
        <v>3497</v>
      </c>
      <c r="J23" s="432">
        <f>SUMIF($F$6:$F$3354,I23,$C$6:$C$3354)</f>
        <v>83050</v>
      </c>
    </row>
    <row r="24" spans="1:11" ht="12" customHeight="1">
      <c r="A24" s="298">
        <v>36315</v>
      </c>
      <c r="B24" s="299" t="s">
        <v>3496</v>
      </c>
      <c r="C24" s="299">
        <v>20</v>
      </c>
      <c r="D24" s="299">
        <f t="shared" si="0"/>
        <v>6</v>
      </c>
      <c r="E24" s="299">
        <v>34</v>
      </c>
      <c r="F24" s="430" t="s">
        <v>3500</v>
      </c>
      <c r="G24" s="300" t="str">
        <f t="shared" si="1"/>
        <v>BordeauxSaarland</v>
      </c>
      <c r="I24" s="303" t="s">
        <v>3499</v>
      </c>
      <c r="J24" s="432">
        <f t="shared" ref="J24:J29" si="4">SUMIF($F$6:$F$3354,I24,$C$6:$C$3354)</f>
        <v>44610</v>
      </c>
      <c r="K24" s="306"/>
    </row>
    <row r="25" spans="1:11" ht="12" customHeight="1">
      <c r="A25" s="298">
        <v>36347</v>
      </c>
      <c r="B25" s="299" t="s">
        <v>3496</v>
      </c>
      <c r="C25" s="299">
        <v>90</v>
      </c>
      <c r="D25" s="299">
        <f t="shared" si="0"/>
        <v>7</v>
      </c>
      <c r="E25" s="299">
        <v>34</v>
      </c>
      <c r="F25" s="430" t="s">
        <v>3500</v>
      </c>
      <c r="G25" s="300" t="str">
        <f t="shared" si="1"/>
        <v>BordeauxSaarland</v>
      </c>
      <c r="I25" s="303" t="s">
        <v>3500</v>
      </c>
      <c r="J25" s="432">
        <f t="shared" si="4"/>
        <v>66550</v>
      </c>
      <c r="K25" s="306"/>
    </row>
    <row r="26" spans="1:11" ht="12" customHeight="1">
      <c r="A26" s="298">
        <v>36350</v>
      </c>
      <c r="B26" s="299" t="s">
        <v>3496</v>
      </c>
      <c r="C26" s="299">
        <v>110</v>
      </c>
      <c r="D26" s="299">
        <f t="shared" si="0"/>
        <v>7</v>
      </c>
      <c r="E26" s="299">
        <v>34</v>
      </c>
      <c r="F26" s="430" t="s">
        <v>3500</v>
      </c>
      <c r="G26" s="300" t="str">
        <f t="shared" si="1"/>
        <v>BordeauxSaarland</v>
      </c>
      <c r="I26" s="303" t="s">
        <v>3501</v>
      </c>
      <c r="J26" s="432">
        <f t="shared" si="4"/>
        <v>17910</v>
      </c>
      <c r="K26" s="306"/>
    </row>
    <row r="27" spans="1:11" ht="12" customHeight="1">
      <c r="A27" s="298">
        <v>36387</v>
      </c>
      <c r="B27" s="299" t="s">
        <v>3496</v>
      </c>
      <c r="C27" s="299">
        <v>50</v>
      </c>
      <c r="D27" s="299">
        <f t="shared" si="0"/>
        <v>8</v>
      </c>
      <c r="E27" s="299">
        <v>34</v>
      </c>
      <c r="F27" s="430" t="s">
        <v>3500</v>
      </c>
      <c r="G27" s="300" t="str">
        <f t="shared" si="1"/>
        <v>BordeauxSaarland</v>
      </c>
      <c r="I27" s="303" t="s">
        <v>3502</v>
      </c>
      <c r="J27" s="432">
        <f t="shared" si="4"/>
        <v>18260</v>
      </c>
      <c r="K27" s="306"/>
    </row>
    <row r="28" spans="1:11" ht="12" customHeight="1">
      <c r="A28" s="298">
        <v>36388</v>
      </c>
      <c r="B28" s="299" t="s">
        <v>3496</v>
      </c>
      <c r="C28" s="299">
        <v>10</v>
      </c>
      <c r="D28" s="299">
        <f t="shared" si="0"/>
        <v>8</v>
      </c>
      <c r="E28" s="299">
        <v>30</v>
      </c>
      <c r="F28" s="430" t="s">
        <v>3500</v>
      </c>
      <c r="G28" s="300" t="str">
        <f t="shared" si="1"/>
        <v>BordeauxSaarland</v>
      </c>
      <c r="I28" s="303" t="s">
        <v>3503</v>
      </c>
      <c r="J28" s="432">
        <f t="shared" si="4"/>
        <v>15790</v>
      </c>
      <c r="K28" s="306"/>
    </row>
    <row r="29" spans="1:11" ht="12" customHeight="1">
      <c r="A29" s="298">
        <v>36401</v>
      </c>
      <c r="B29" s="299" t="s">
        <v>3496</v>
      </c>
      <c r="C29" s="299">
        <v>80</v>
      </c>
      <c r="D29" s="299">
        <f t="shared" si="0"/>
        <v>8</v>
      </c>
      <c r="E29" s="299">
        <v>30</v>
      </c>
      <c r="F29" s="430" t="s">
        <v>3500</v>
      </c>
      <c r="G29" s="300" t="str">
        <f t="shared" si="1"/>
        <v>BordeauxSaarland</v>
      </c>
      <c r="I29" s="303" t="s">
        <v>3504</v>
      </c>
      <c r="J29" s="432">
        <f t="shared" si="4"/>
        <v>34220</v>
      </c>
    </row>
    <row r="30" spans="1:11" ht="12" customHeight="1">
      <c r="A30" s="298">
        <v>36408</v>
      </c>
      <c r="B30" s="299" t="s">
        <v>3496</v>
      </c>
      <c r="C30" s="299">
        <v>90</v>
      </c>
      <c r="D30" s="299">
        <f t="shared" si="0"/>
        <v>9</v>
      </c>
      <c r="E30" s="299">
        <v>34</v>
      </c>
      <c r="F30" s="430" t="s">
        <v>3500</v>
      </c>
      <c r="G30" s="300" t="str">
        <f t="shared" si="1"/>
        <v>BordeauxSaarland</v>
      </c>
    </row>
    <row r="31" spans="1:11" ht="12" customHeight="1">
      <c r="A31" s="298">
        <v>36485</v>
      </c>
      <c r="B31" s="299" t="s">
        <v>3496</v>
      </c>
      <c r="C31" s="299">
        <v>70</v>
      </c>
      <c r="D31" s="299">
        <f t="shared" si="0"/>
        <v>11</v>
      </c>
      <c r="E31" s="299">
        <v>34</v>
      </c>
      <c r="F31" s="430" t="s">
        <v>3500</v>
      </c>
      <c r="G31" s="300" t="str">
        <f t="shared" si="1"/>
        <v>BordeauxSaarland</v>
      </c>
    </row>
    <row r="32" spans="1:11" ht="12" customHeight="1">
      <c r="A32" s="298">
        <v>36499</v>
      </c>
      <c r="B32" s="299" t="s">
        <v>3496</v>
      </c>
      <c r="C32" s="299">
        <v>60</v>
      </c>
      <c r="D32" s="299">
        <f t="shared" si="0"/>
        <v>12</v>
      </c>
      <c r="E32" s="299">
        <v>34</v>
      </c>
      <c r="F32" s="430" t="s">
        <v>3500</v>
      </c>
      <c r="G32" s="300" t="str">
        <f t="shared" si="1"/>
        <v>BordeauxSaarland</v>
      </c>
    </row>
    <row r="33" spans="1:10" ht="12" customHeight="1">
      <c r="A33" s="298">
        <v>36504</v>
      </c>
      <c r="B33" s="299" t="s">
        <v>3496</v>
      </c>
      <c r="C33" s="299">
        <v>70</v>
      </c>
      <c r="D33" s="299">
        <f t="shared" si="0"/>
        <v>12</v>
      </c>
      <c r="E33" s="299">
        <v>34</v>
      </c>
      <c r="F33" s="430" t="s">
        <v>3500</v>
      </c>
      <c r="G33" s="300" t="str">
        <f t="shared" si="1"/>
        <v>BordeauxSaarland</v>
      </c>
    </row>
    <row r="34" spans="1:10" ht="12" customHeight="1">
      <c r="A34" s="298">
        <v>36507</v>
      </c>
      <c r="B34" s="299" t="s">
        <v>3496</v>
      </c>
      <c r="C34" s="299">
        <v>20</v>
      </c>
      <c r="D34" s="299">
        <f t="shared" si="0"/>
        <v>12</v>
      </c>
      <c r="E34" s="299">
        <v>34</v>
      </c>
      <c r="F34" s="430" t="s">
        <v>3500</v>
      </c>
      <c r="G34" s="300" t="str">
        <f t="shared" si="1"/>
        <v>BordeauxSaarland</v>
      </c>
      <c r="I34" s="301"/>
      <c r="J34" s="302"/>
    </row>
    <row r="35" spans="1:10" ht="12" customHeight="1">
      <c r="A35" s="298">
        <v>36515</v>
      </c>
      <c r="B35" s="299" t="s">
        <v>3496</v>
      </c>
      <c r="C35" s="299">
        <v>210</v>
      </c>
      <c r="D35" s="299">
        <f t="shared" si="0"/>
        <v>12</v>
      </c>
      <c r="E35" s="299">
        <v>34</v>
      </c>
      <c r="F35" s="430" t="s">
        <v>3500</v>
      </c>
      <c r="G35" s="300" t="str">
        <f t="shared" si="1"/>
        <v>BordeauxSaarland</v>
      </c>
    </row>
    <row r="36" spans="1:10" ht="12" customHeight="1">
      <c r="A36" s="298">
        <v>36521</v>
      </c>
      <c r="B36" s="299" t="s">
        <v>3496</v>
      </c>
      <c r="C36" s="299">
        <v>60</v>
      </c>
      <c r="D36" s="299">
        <f t="shared" si="0"/>
        <v>12</v>
      </c>
      <c r="E36" s="299">
        <v>34</v>
      </c>
      <c r="F36" s="430" t="s">
        <v>3500</v>
      </c>
      <c r="G36" s="300" t="str">
        <f t="shared" si="1"/>
        <v>BordeauxSaarland</v>
      </c>
    </row>
    <row r="37" spans="1:10" ht="12" customHeight="1">
      <c r="A37" s="298">
        <v>36259</v>
      </c>
      <c r="B37" s="299" t="s">
        <v>3506</v>
      </c>
      <c r="C37" s="299">
        <v>100</v>
      </c>
      <c r="D37" s="299">
        <f t="shared" si="0"/>
        <v>4</v>
      </c>
      <c r="E37" s="299">
        <v>28</v>
      </c>
      <c r="F37" s="430" t="s">
        <v>3497</v>
      </c>
      <c r="G37" s="300" t="str">
        <f t="shared" si="1"/>
        <v>ChardonnayNRW</v>
      </c>
    </row>
    <row r="38" spans="1:10" ht="12" customHeight="1">
      <c r="A38" s="298">
        <v>36271</v>
      </c>
      <c r="B38" s="299" t="s">
        <v>3506</v>
      </c>
      <c r="C38" s="299">
        <v>60</v>
      </c>
      <c r="D38" s="299">
        <f t="shared" si="0"/>
        <v>4</v>
      </c>
      <c r="E38" s="299">
        <v>28</v>
      </c>
      <c r="F38" s="430" t="s">
        <v>3497</v>
      </c>
      <c r="G38" s="300" t="str">
        <f t="shared" si="1"/>
        <v>ChardonnayNRW</v>
      </c>
    </row>
    <row r="39" spans="1:10" ht="12" customHeight="1">
      <c r="A39" s="298">
        <v>36287</v>
      </c>
      <c r="B39" s="299" t="s">
        <v>3506</v>
      </c>
      <c r="C39" s="299">
        <v>150</v>
      </c>
      <c r="D39" s="299">
        <f t="shared" si="0"/>
        <v>5</v>
      </c>
      <c r="E39" s="299">
        <v>34</v>
      </c>
      <c r="F39" s="430" t="s">
        <v>3497</v>
      </c>
      <c r="G39" s="300" t="str">
        <f t="shared" si="1"/>
        <v>ChardonnayNRW</v>
      </c>
    </row>
    <row r="40" spans="1:10" ht="12" customHeight="1">
      <c r="A40" s="298">
        <v>36293</v>
      </c>
      <c r="B40" s="299" t="s">
        <v>3506</v>
      </c>
      <c r="C40" s="299">
        <v>30</v>
      </c>
      <c r="D40" s="299">
        <f t="shared" si="0"/>
        <v>5</v>
      </c>
      <c r="E40" s="299">
        <v>34</v>
      </c>
      <c r="F40" s="430" t="s">
        <v>3497</v>
      </c>
      <c r="G40" s="300" t="str">
        <f t="shared" si="1"/>
        <v>ChardonnayNRW</v>
      </c>
    </row>
    <row r="41" spans="1:10" ht="12" customHeight="1">
      <c r="A41" s="298">
        <v>36301</v>
      </c>
      <c r="B41" s="299" t="s">
        <v>3506</v>
      </c>
      <c r="C41" s="299">
        <v>10</v>
      </c>
      <c r="D41" s="299">
        <f t="shared" si="0"/>
        <v>5</v>
      </c>
      <c r="E41" s="299">
        <v>34</v>
      </c>
      <c r="F41" s="430" t="s">
        <v>3497</v>
      </c>
      <c r="G41" s="300" t="str">
        <f t="shared" si="1"/>
        <v>ChardonnayNRW</v>
      </c>
    </row>
    <row r="42" spans="1:10" ht="12" customHeight="1">
      <c r="A42" s="298">
        <v>36304</v>
      </c>
      <c r="B42" s="299" t="s">
        <v>3506</v>
      </c>
      <c r="C42" s="299">
        <v>150</v>
      </c>
      <c r="D42" s="299">
        <f t="shared" si="0"/>
        <v>5</v>
      </c>
      <c r="E42" s="299">
        <v>34</v>
      </c>
      <c r="F42" s="430" t="s">
        <v>3497</v>
      </c>
      <c r="G42" s="300" t="str">
        <f t="shared" si="1"/>
        <v>ChardonnayNRW</v>
      </c>
    </row>
    <row r="43" spans="1:10" ht="12" customHeight="1">
      <c r="A43" s="298">
        <v>36368</v>
      </c>
      <c r="B43" s="299" t="s">
        <v>3506</v>
      </c>
      <c r="C43" s="299">
        <v>10</v>
      </c>
      <c r="D43" s="299">
        <f t="shared" si="0"/>
        <v>7</v>
      </c>
      <c r="E43" s="299">
        <v>35</v>
      </c>
      <c r="F43" s="430" t="s">
        <v>3497</v>
      </c>
      <c r="G43" s="300" t="str">
        <f t="shared" si="1"/>
        <v>ChardonnayNRW</v>
      </c>
      <c r="I43" s="301"/>
      <c r="J43" s="302"/>
    </row>
    <row r="44" spans="1:10" ht="12" customHeight="1">
      <c r="A44" s="298">
        <v>36369</v>
      </c>
      <c r="B44" s="299" t="s">
        <v>3506</v>
      </c>
      <c r="C44" s="299">
        <v>120</v>
      </c>
      <c r="D44" s="299">
        <f t="shared" si="0"/>
        <v>7</v>
      </c>
      <c r="E44" s="299">
        <v>34</v>
      </c>
      <c r="F44" s="430" t="s">
        <v>3497</v>
      </c>
      <c r="G44" s="300" t="str">
        <f t="shared" si="1"/>
        <v>ChardonnayNRW</v>
      </c>
      <c r="I44" s="305"/>
    </row>
    <row r="45" spans="1:10" ht="12" customHeight="1">
      <c r="A45" s="298">
        <v>36492</v>
      </c>
      <c r="B45" s="299" t="s">
        <v>3506</v>
      </c>
      <c r="C45" s="299">
        <v>240</v>
      </c>
      <c r="D45" s="299">
        <f t="shared" si="0"/>
        <v>11</v>
      </c>
      <c r="E45" s="299">
        <v>23</v>
      </c>
      <c r="F45" s="430" t="s">
        <v>3497</v>
      </c>
      <c r="G45" s="300" t="str">
        <f t="shared" si="1"/>
        <v>ChardonnayNRW</v>
      </c>
      <c r="I45" s="301"/>
      <c r="J45" s="302"/>
    </row>
    <row r="46" spans="1:10" ht="12" customHeight="1">
      <c r="A46" s="298">
        <v>36167</v>
      </c>
      <c r="B46" s="299" t="s">
        <v>3506</v>
      </c>
      <c r="C46" s="299">
        <v>150</v>
      </c>
      <c r="D46" s="299">
        <f t="shared" si="0"/>
        <v>1</v>
      </c>
      <c r="E46" s="299">
        <v>34</v>
      </c>
      <c r="F46" s="430" t="s">
        <v>3500</v>
      </c>
      <c r="G46" s="300" t="str">
        <f t="shared" si="1"/>
        <v>ChardonnaySaarland</v>
      </c>
    </row>
    <row r="47" spans="1:10" ht="12" customHeight="1">
      <c r="A47" s="298">
        <v>36181</v>
      </c>
      <c r="B47" s="299" t="s">
        <v>3506</v>
      </c>
      <c r="C47" s="299">
        <v>150</v>
      </c>
      <c r="D47" s="299">
        <f t="shared" si="0"/>
        <v>1</v>
      </c>
      <c r="E47" s="299">
        <v>34</v>
      </c>
      <c r="F47" s="430" t="s">
        <v>3500</v>
      </c>
      <c r="G47" s="300" t="str">
        <f t="shared" si="1"/>
        <v>ChardonnaySaarland</v>
      </c>
    </row>
    <row r="48" spans="1:10" ht="12" customHeight="1">
      <c r="A48" s="298">
        <v>36188</v>
      </c>
      <c r="B48" s="299" t="s">
        <v>3506</v>
      </c>
      <c r="C48" s="299">
        <v>100</v>
      </c>
      <c r="D48" s="299">
        <f t="shared" si="0"/>
        <v>1</v>
      </c>
      <c r="E48" s="299">
        <v>30</v>
      </c>
      <c r="F48" s="430" t="s">
        <v>3500</v>
      </c>
      <c r="G48" s="300" t="str">
        <f t="shared" si="1"/>
        <v>ChardonnaySaarland</v>
      </c>
    </row>
    <row r="49" spans="1:7" ht="12" customHeight="1">
      <c r="A49" s="298">
        <v>36189</v>
      </c>
      <c r="B49" s="299" t="s">
        <v>3506</v>
      </c>
      <c r="C49" s="299">
        <v>150</v>
      </c>
      <c r="D49" s="299">
        <f t="shared" si="0"/>
        <v>1</v>
      </c>
      <c r="E49" s="299">
        <v>34</v>
      </c>
      <c r="F49" s="430" t="s">
        <v>3500</v>
      </c>
      <c r="G49" s="300" t="str">
        <f t="shared" si="1"/>
        <v>ChardonnaySaarland</v>
      </c>
    </row>
    <row r="50" spans="1:7" ht="12" customHeight="1">
      <c r="A50" s="298">
        <v>36275</v>
      </c>
      <c r="B50" s="299" t="s">
        <v>3506</v>
      </c>
      <c r="C50" s="299">
        <v>30</v>
      </c>
      <c r="D50" s="299">
        <f t="shared" si="0"/>
        <v>4</v>
      </c>
      <c r="E50" s="299">
        <v>34</v>
      </c>
      <c r="F50" s="430" t="s">
        <v>3500</v>
      </c>
      <c r="G50" s="300" t="str">
        <f t="shared" si="1"/>
        <v>ChardonnaySaarland</v>
      </c>
    </row>
    <row r="51" spans="1:7" ht="12" customHeight="1">
      <c r="A51" s="298">
        <v>36289</v>
      </c>
      <c r="B51" s="299" t="s">
        <v>3506</v>
      </c>
      <c r="C51" s="299">
        <v>70</v>
      </c>
      <c r="D51" s="299">
        <f t="shared" si="0"/>
        <v>5</v>
      </c>
      <c r="E51" s="299">
        <v>34</v>
      </c>
      <c r="F51" s="430" t="s">
        <v>3500</v>
      </c>
      <c r="G51" s="300" t="str">
        <f t="shared" si="1"/>
        <v>ChardonnaySaarland</v>
      </c>
    </row>
    <row r="52" spans="1:7" ht="12" customHeight="1">
      <c r="A52" s="298">
        <v>36291</v>
      </c>
      <c r="B52" s="299" t="s">
        <v>3506</v>
      </c>
      <c r="C52" s="299">
        <v>240</v>
      </c>
      <c r="D52" s="299">
        <f t="shared" si="0"/>
        <v>5</v>
      </c>
      <c r="E52" s="299">
        <v>34</v>
      </c>
      <c r="F52" s="430" t="s">
        <v>3500</v>
      </c>
      <c r="G52" s="300" t="str">
        <f t="shared" si="1"/>
        <v>ChardonnaySaarland</v>
      </c>
    </row>
    <row r="53" spans="1:7" ht="12" customHeight="1">
      <c r="A53" s="298">
        <v>36312</v>
      </c>
      <c r="B53" s="299" t="s">
        <v>3506</v>
      </c>
      <c r="C53" s="299">
        <v>80</v>
      </c>
      <c r="D53" s="299">
        <f t="shared" si="0"/>
        <v>6</v>
      </c>
      <c r="E53" s="299">
        <v>34</v>
      </c>
      <c r="F53" s="430" t="s">
        <v>3500</v>
      </c>
      <c r="G53" s="300" t="str">
        <f t="shared" si="1"/>
        <v>ChardonnaySaarland</v>
      </c>
    </row>
    <row r="54" spans="1:7" ht="12" customHeight="1">
      <c r="A54" s="298">
        <v>36316</v>
      </c>
      <c r="B54" s="299" t="s">
        <v>3506</v>
      </c>
      <c r="C54" s="299">
        <v>180</v>
      </c>
      <c r="D54" s="299">
        <f t="shared" si="0"/>
        <v>6</v>
      </c>
      <c r="E54" s="299">
        <v>34</v>
      </c>
      <c r="F54" s="430" t="s">
        <v>3500</v>
      </c>
      <c r="G54" s="300" t="str">
        <f t="shared" si="1"/>
        <v>ChardonnaySaarland</v>
      </c>
    </row>
    <row r="55" spans="1:7" ht="12" customHeight="1">
      <c r="A55" s="298">
        <v>36322</v>
      </c>
      <c r="B55" s="299" t="s">
        <v>3506</v>
      </c>
      <c r="C55" s="299">
        <v>80</v>
      </c>
      <c r="D55" s="299">
        <f t="shared" si="0"/>
        <v>6</v>
      </c>
      <c r="E55" s="299">
        <v>34</v>
      </c>
      <c r="F55" s="430" t="s">
        <v>3500</v>
      </c>
      <c r="G55" s="300" t="str">
        <f t="shared" si="1"/>
        <v>ChardonnaySaarland</v>
      </c>
    </row>
    <row r="56" spans="1:7" ht="12" customHeight="1">
      <c r="A56" s="298">
        <v>36346</v>
      </c>
      <c r="B56" s="299" t="s">
        <v>3506</v>
      </c>
      <c r="C56" s="299">
        <v>30</v>
      </c>
      <c r="D56" s="299">
        <f t="shared" si="0"/>
        <v>7</v>
      </c>
      <c r="E56" s="299">
        <v>34</v>
      </c>
      <c r="F56" s="430" t="s">
        <v>3500</v>
      </c>
      <c r="G56" s="300" t="str">
        <f t="shared" si="1"/>
        <v>ChardonnaySaarland</v>
      </c>
    </row>
    <row r="57" spans="1:7" ht="12" customHeight="1">
      <c r="A57" s="298">
        <v>36356</v>
      </c>
      <c r="B57" s="299" t="s">
        <v>3506</v>
      </c>
      <c r="C57" s="299">
        <v>120</v>
      </c>
      <c r="D57" s="299">
        <f t="shared" si="0"/>
        <v>7</v>
      </c>
      <c r="E57" s="299">
        <v>30</v>
      </c>
      <c r="F57" s="430" t="s">
        <v>3500</v>
      </c>
      <c r="G57" s="300" t="str">
        <f t="shared" si="1"/>
        <v>ChardonnaySaarland</v>
      </c>
    </row>
    <row r="58" spans="1:7" ht="12" customHeight="1">
      <c r="A58" s="298">
        <v>36366</v>
      </c>
      <c r="B58" s="299" t="s">
        <v>3506</v>
      </c>
      <c r="C58" s="299">
        <v>60</v>
      </c>
      <c r="D58" s="299">
        <f t="shared" si="0"/>
        <v>7</v>
      </c>
      <c r="E58" s="299">
        <v>34</v>
      </c>
      <c r="F58" s="430" t="s">
        <v>3500</v>
      </c>
      <c r="G58" s="300" t="str">
        <f t="shared" si="1"/>
        <v>ChardonnaySaarland</v>
      </c>
    </row>
    <row r="59" spans="1:7" ht="12" customHeight="1">
      <c r="A59" s="298">
        <v>36367</v>
      </c>
      <c r="B59" s="299" t="s">
        <v>3506</v>
      </c>
      <c r="C59" s="299">
        <v>90</v>
      </c>
      <c r="D59" s="299">
        <f t="shared" si="0"/>
        <v>7</v>
      </c>
      <c r="E59" s="299">
        <v>34</v>
      </c>
      <c r="F59" s="430" t="s">
        <v>3500</v>
      </c>
      <c r="G59" s="300" t="str">
        <f t="shared" si="1"/>
        <v>ChardonnaySaarland</v>
      </c>
    </row>
    <row r="60" spans="1:7" ht="12" customHeight="1">
      <c r="A60" s="298">
        <v>36369</v>
      </c>
      <c r="B60" s="299" t="s">
        <v>3506</v>
      </c>
      <c r="C60" s="299">
        <v>90</v>
      </c>
      <c r="D60" s="299">
        <f t="shared" si="0"/>
        <v>7</v>
      </c>
      <c r="E60" s="299">
        <v>34</v>
      </c>
      <c r="F60" s="430" t="s">
        <v>3500</v>
      </c>
      <c r="G60" s="300" t="str">
        <f t="shared" si="1"/>
        <v>ChardonnaySaarland</v>
      </c>
    </row>
    <row r="61" spans="1:7" ht="12" customHeight="1">
      <c r="A61" s="298">
        <v>36373</v>
      </c>
      <c r="B61" s="299" t="s">
        <v>3506</v>
      </c>
      <c r="C61" s="299">
        <v>180</v>
      </c>
      <c r="D61" s="299">
        <f t="shared" si="0"/>
        <v>8</v>
      </c>
      <c r="E61" s="299">
        <v>34</v>
      </c>
      <c r="F61" s="430" t="s">
        <v>3500</v>
      </c>
      <c r="G61" s="300" t="str">
        <f t="shared" si="1"/>
        <v>ChardonnaySaarland</v>
      </c>
    </row>
    <row r="62" spans="1:7" ht="12" customHeight="1">
      <c r="A62" s="298">
        <v>36384</v>
      </c>
      <c r="B62" s="299" t="s">
        <v>3506</v>
      </c>
      <c r="C62" s="299">
        <v>30</v>
      </c>
      <c r="D62" s="299">
        <f t="shared" si="0"/>
        <v>8</v>
      </c>
      <c r="E62" s="299">
        <v>34</v>
      </c>
      <c r="F62" s="430" t="s">
        <v>3500</v>
      </c>
      <c r="G62" s="300" t="str">
        <f t="shared" si="1"/>
        <v>ChardonnaySaarland</v>
      </c>
    </row>
    <row r="63" spans="1:7" ht="12" customHeight="1">
      <c r="A63" s="298">
        <v>36389</v>
      </c>
      <c r="B63" s="299" t="s">
        <v>3506</v>
      </c>
      <c r="C63" s="299">
        <v>10</v>
      </c>
      <c r="D63" s="299">
        <f t="shared" si="0"/>
        <v>8</v>
      </c>
      <c r="E63" s="299">
        <v>34</v>
      </c>
      <c r="F63" s="430" t="s">
        <v>3500</v>
      </c>
      <c r="G63" s="300" t="str">
        <f t="shared" si="1"/>
        <v>ChardonnaySaarland</v>
      </c>
    </row>
    <row r="64" spans="1:7" ht="12" customHeight="1">
      <c r="A64" s="298">
        <v>36402</v>
      </c>
      <c r="B64" s="299" t="s">
        <v>3506</v>
      </c>
      <c r="C64" s="299">
        <v>90</v>
      </c>
      <c r="D64" s="299">
        <f t="shared" si="0"/>
        <v>8</v>
      </c>
      <c r="E64" s="299">
        <v>34</v>
      </c>
      <c r="F64" s="430" t="s">
        <v>3500</v>
      </c>
      <c r="G64" s="300" t="str">
        <f t="shared" si="1"/>
        <v>ChardonnaySaarland</v>
      </c>
    </row>
    <row r="65" spans="1:7" ht="12" customHeight="1">
      <c r="A65" s="298">
        <v>36418</v>
      </c>
      <c r="B65" s="299" t="s">
        <v>3506</v>
      </c>
      <c r="C65" s="299">
        <v>50</v>
      </c>
      <c r="D65" s="299">
        <f t="shared" si="0"/>
        <v>9</v>
      </c>
      <c r="E65" s="299">
        <v>34</v>
      </c>
      <c r="F65" s="430" t="s">
        <v>3500</v>
      </c>
      <c r="G65" s="300" t="str">
        <f t="shared" si="1"/>
        <v>ChardonnaySaarland</v>
      </c>
    </row>
    <row r="66" spans="1:7" ht="12" customHeight="1">
      <c r="A66" s="298">
        <v>36423</v>
      </c>
      <c r="B66" s="299" t="s">
        <v>3506</v>
      </c>
      <c r="C66" s="299">
        <v>210</v>
      </c>
      <c r="D66" s="299">
        <f t="shared" si="0"/>
        <v>9</v>
      </c>
      <c r="E66" s="299">
        <v>34</v>
      </c>
      <c r="F66" s="430" t="s">
        <v>3500</v>
      </c>
      <c r="G66" s="300" t="str">
        <f t="shared" si="1"/>
        <v>ChardonnaySaarland</v>
      </c>
    </row>
    <row r="67" spans="1:7" ht="12" customHeight="1">
      <c r="A67" s="298">
        <v>36433</v>
      </c>
      <c r="B67" s="299" t="s">
        <v>3506</v>
      </c>
      <c r="C67" s="299">
        <v>30</v>
      </c>
      <c r="D67" s="299">
        <f t="shared" si="0"/>
        <v>9</v>
      </c>
      <c r="E67" s="299">
        <v>34</v>
      </c>
      <c r="F67" s="430" t="s">
        <v>3500</v>
      </c>
      <c r="G67" s="300" t="str">
        <f t="shared" si="1"/>
        <v>ChardonnaySaarland</v>
      </c>
    </row>
    <row r="68" spans="1:7" ht="12" customHeight="1">
      <c r="A68" s="298">
        <v>36453</v>
      </c>
      <c r="B68" s="299" t="s">
        <v>3506</v>
      </c>
      <c r="C68" s="299">
        <v>150</v>
      </c>
      <c r="D68" s="299">
        <f t="shared" si="0"/>
        <v>10</v>
      </c>
      <c r="E68" s="299">
        <v>34</v>
      </c>
      <c r="F68" s="430" t="s">
        <v>3500</v>
      </c>
      <c r="G68" s="300" t="str">
        <f t="shared" si="1"/>
        <v>ChardonnaySaarland</v>
      </c>
    </row>
    <row r="69" spans="1:7" ht="12" customHeight="1">
      <c r="A69" s="298">
        <v>36458</v>
      </c>
      <c r="B69" s="299" t="s">
        <v>3506</v>
      </c>
      <c r="C69" s="299">
        <v>40</v>
      </c>
      <c r="D69" s="299">
        <f t="shared" si="0"/>
        <v>10</v>
      </c>
      <c r="E69" s="299">
        <v>34</v>
      </c>
      <c r="F69" s="430" t="s">
        <v>3500</v>
      </c>
      <c r="G69" s="300" t="str">
        <f t="shared" si="1"/>
        <v>ChardonnaySaarland</v>
      </c>
    </row>
    <row r="70" spans="1:7" ht="12" customHeight="1">
      <c r="A70" s="298">
        <v>36475</v>
      </c>
      <c r="B70" s="299" t="s">
        <v>3506</v>
      </c>
      <c r="C70" s="299">
        <v>100</v>
      </c>
      <c r="D70" s="299">
        <f t="shared" ref="D70:D133" si="5">MONTH(A70)</f>
        <v>11</v>
      </c>
      <c r="E70" s="299">
        <v>34</v>
      </c>
      <c r="F70" s="430" t="s">
        <v>3500</v>
      </c>
      <c r="G70" s="300" t="str">
        <f t="shared" ref="G70:G133" si="6">B70&amp;F70</f>
        <v>ChardonnaySaarland</v>
      </c>
    </row>
    <row r="71" spans="1:7" ht="12" customHeight="1">
      <c r="A71" s="298">
        <v>36496</v>
      </c>
      <c r="B71" s="299" t="s">
        <v>3506</v>
      </c>
      <c r="C71" s="299">
        <v>100</v>
      </c>
      <c r="D71" s="299">
        <f t="shared" si="5"/>
        <v>12</v>
      </c>
      <c r="E71" s="299">
        <v>34</v>
      </c>
      <c r="F71" s="430" t="s">
        <v>3500</v>
      </c>
      <c r="G71" s="300" t="str">
        <f t="shared" si="6"/>
        <v>ChardonnaySaarland</v>
      </c>
    </row>
    <row r="72" spans="1:7" ht="12" customHeight="1">
      <c r="A72" s="298">
        <v>36506</v>
      </c>
      <c r="B72" s="299" t="s">
        <v>3506</v>
      </c>
      <c r="C72" s="299">
        <v>80</v>
      </c>
      <c r="D72" s="299">
        <f t="shared" si="5"/>
        <v>12</v>
      </c>
      <c r="E72" s="299">
        <v>34</v>
      </c>
      <c r="F72" s="430" t="s">
        <v>3500</v>
      </c>
      <c r="G72" s="300" t="str">
        <f t="shared" si="6"/>
        <v>ChardonnaySaarland</v>
      </c>
    </row>
    <row r="73" spans="1:7" ht="12" customHeight="1">
      <c r="A73" s="298">
        <v>36522</v>
      </c>
      <c r="B73" s="299" t="s">
        <v>3506</v>
      </c>
      <c r="C73" s="299">
        <v>100</v>
      </c>
      <c r="D73" s="299">
        <f t="shared" si="5"/>
        <v>12</v>
      </c>
      <c r="E73" s="299">
        <v>34</v>
      </c>
      <c r="F73" s="430" t="s">
        <v>3500</v>
      </c>
      <c r="G73" s="300" t="str">
        <f t="shared" si="6"/>
        <v>ChardonnaySaarland</v>
      </c>
    </row>
    <row r="74" spans="1:7" ht="12" customHeight="1">
      <c r="A74" s="298">
        <v>36284</v>
      </c>
      <c r="B74" s="299" t="s">
        <v>3507</v>
      </c>
      <c r="C74" s="299">
        <v>180</v>
      </c>
      <c r="D74" s="299">
        <f t="shared" si="5"/>
        <v>5</v>
      </c>
      <c r="E74" s="299">
        <v>35</v>
      </c>
      <c r="F74" s="430" t="s">
        <v>3501</v>
      </c>
      <c r="G74" s="300" t="str">
        <f t="shared" si="6"/>
        <v>ChiantiBW</v>
      </c>
    </row>
    <row r="75" spans="1:7" ht="12" customHeight="1">
      <c r="A75" s="298">
        <v>36325</v>
      </c>
      <c r="B75" s="299" t="s">
        <v>3507</v>
      </c>
      <c r="C75" s="299">
        <v>100</v>
      </c>
      <c r="D75" s="299">
        <f t="shared" si="5"/>
        <v>6</v>
      </c>
      <c r="E75" s="299">
        <v>35</v>
      </c>
      <c r="F75" s="430" t="s">
        <v>3501</v>
      </c>
      <c r="G75" s="300" t="str">
        <f t="shared" si="6"/>
        <v>ChiantiBW</v>
      </c>
    </row>
    <row r="76" spans="1:7" ht="12" customHeight="1">
      <c r="A76" s="298">
        <v>36271</v>
      </c>
      <c r="B76" s="299" t="s">
        <v>3507</v>
      </c>
      <c r="C76" s="299">
        <v>180</v>
      </c>
      <c r="D76" s="299">
        <f t="shared" si="5"/>
        <v>4</v>
      </c>
      <c r="E76" s="299">
        <v>35</v>
      </c>
      <c r="F76" s="430" t="s">
        <v>3497</v>
      </c>
      <c r="G76" s="300" t="str">
        <f t="shared" si="6"/>
        <v>ChiantiNRW</v>
      </c>
    </row>
    <row r="77" spans="1:7" ht="12" customHeight="1">
      <c r="A77" s="298">
        <v>36437</v>
      </c>
      <c r="B77" s="299" t="s">
        <v>3507</v>
      </c>
      <c r="C77" s="299">
        <v>50</v>
      </c>
      <c r="D77" s="299">
        <f t="shared" si="5"/>
        <v>10</v>
      </c>
      <c r="E77" s="299">
        <v>34</v>
      </c>
      <c r="F77" s="430" t="s">
        <v>3497</v>
      </c>
      <c r="G77" s="300" t="str">
        <f t="shared" si="6"/>
        <v>ChiantiNRW</v>
      </c>
    </row>
    <row r="78" spans="1:7" ht="12" customHeight="1">
      <c r="A78" s="298">
        <v>36453</v>
      </c>
      <c r="B78" s="299" t="s">
        <v>3507</v>
      </c>
      <c r="C78" s="299">
        <v>60</v>
      </c>
      <c r="D78" s="299">
        <f t="shared" si="5"/>
        <v>10</v>
      </c>
      <c r="E78" s="299">
        <v>34</v>
      </c>
      <c r="F78" s="430" t="s">
        <v>3497</v>
      </c>
      <c r="G78" s="300" t="str">
        <f t="shared" si="6"/>
        <v>ChiantiNRW</v>
      </c>
    </row>
    <row r="79" spans="1:7" ht="12" customHeight="1">
      <c r="A79" s="298">
        <v>36454</v>
      </c>
      <c r="B79" s="299" t="s">
        <v>3507</v>
      </c>
      <c r="C79" s="299">
        <v>10</v>
      </c>
      <c r="D79" s="299">
        <f t="shared" si="5"/>
        <v>10</v>
      </c>
      <c r="E79" s="299">
        <v>34</v>
      </c>
      <c r="F79" s="430" t="s">
        <v>3497</v>
      </c>
      <c r="G79" s="300" t="str">
        <f t="shared" si="6"/>
        <v>ChiantiNRW</v>
      </c>
    </row>
    <row r="80" spans="1:7" ht="12" customHeight="1">
      <c r="A80" s="298">
        <v>36495</v>
      </c>
      <c r="B80" s="299" t="s">
        <v>3507</v>
      </c>
      <c r="C80" s="299">
        <v>40</v>
      </c>
      <c r="D80" s="299">
        <f t="shared" si="5"/>
        <v>12</v>
      </c>
      <c r="E80" s="299">
        <v>34</v>
      </c>
      <c r="F80" s="430" t="s">
        <v>3497</v>
      </c>
      <c r="G80" s="300" t="str">
        <f t="shared" si="6"/>
        <v>ChiantiNRW</v>
      </c>
    </row>
    <row r="81" spans="1:7" ht="12" customHeight="1">
      <c r="A81" s="298">
        <v>36511</v>
      </c>
      <c r="B81" s="299" t="s">
        <v>3507</v>
      </c>
      <c r="C81" s="299">
        <v>30</v>
      </c>
      <c r="D81" s="299">
        <f t="shared" si="5"/>
        <v>12</v>
      </c>
      <c r="E81" s="299">
        <v>34</v>
      </c>
      <c r="F81" s="430" t="s">
        <v>3497</v>
      </c>
      <c r="G81" s="300" t="str">
        <f t="shared" si="6"/>
        <v>ChiantiNRW</v>
      </c>
    </row>
    <row r="82" spans="1:7" ht="12" customHeight="1">
      <c r="A82" s="298">
        <v>36521</v>
      </c>
      <c r="B82" s="299" t="s">
        <v>3507</v>
      </c>
      <c r="C82" s="299">
        <v>60</v>
      </c>
      <c r="D82" s="299">
        <f t="shared" si="5"/>
        <v>12</v>
      </c>
      <c r="E82" s="299">
        <v>28</v>
      </c>
      <c r="F82" s="430" t="s">
        <v>3497</v>
      </c>
      <c r="G82" s="300" t="str">
        <f t="shared" si="6"/>
        <v>ChiantiNRW</v>
      </c>
    </row>
    <row r="83" spans="1:7" ht="12" customHeight="1">
      <c r="A83" s="298">
        <v>36207</v>
      </c>
      <c r="B83" s="299" t="s">
        <v>3508</v>
      </c>
      <c r="C83" s="299">
        <v>120</v>
      </c>
      <c r="D83" s="299">
        <f t="shared" si="5"/>
        <v>2</v>
      </c>
      <c r="E83" s="299">
        <v>31</v>
      </c>
      <c r="F83" s="430" t="s">
        <v>3502</v>
      </c>
      <c r="G83" s="300" t="str">
        <f t="shared" si="6"/>
        <v>ChirazHessen</v>
      </c>
    </row>
    <row r="84" spans="1:7" ht="12" customHeight="1">
      <c r="A84" s="298">
        <v>36212</v>
      </c>
      <c r="B84" s="299" t="s">
        <v>3508</v>
      </c>
      <c r="C84" s="299">
        <v>120</v>
      </c>
      <c r="D84" s="299">
        <f t="shared" si="5"/>
        <v>2</v>
      </c>
      <c r="E84" s="299">
        <v>31</v>
      </c>
      <c r="F84" s="430" t="s">
        <v>3502</v>
      </c>
      <c r="G84" s="300" t="str">
        <f t="shared" si="6"/>
        <v>ChirazHessen</v>
      </c>
    </row>
    <row r="85" spans="1:7" ht="12" customHeight="1">
      <c r="A85" s="298">
        <v>36438</v>
      </c>
      <c r="B85" s="299" t="s">
        <v>3508</v>
      </c>
      <c r="C85" s="299">
        <v>210</v>
      </c>
      <c r="D85" s="299">
        <f t="shared" si="5"/>
        <v>10</v>
      </c>
      <c r="E85" s="299">
        <v>31</v>
      </c>
      <c r="F85" s="430" t="s">
        <v>3502</v>
      </c>
      <c r="G85" s="300" t="str">
        <f t="shared" si="6"/>
        <v>ChirazHessen</v>
      </c>
    </row>
    <row r="86" spans="1:7" ht="12" customHeight="1">
      <c r="A86" s="298">
        <v>36509</v>
      </c>
      <c r="B86" s="299" t="s">
        <v>3508</v>
      </c>
      <c r="C86" s="299">
        <v>120</v>
      </c>
      <c r="D86" s="299">
        <f t="shared" si="5"/>
        <v>12</v>
      </c>
      <c r="E86" s="299">
        <v>31</v>
      </c>
      <c r="F86" s="430" t="s">
        <v>3502</v>
      </c>
      <c r="G86" s="300" t="str">
        <f t="shared" si="6"/>
        <v>ChirazHessen</v>
      </c>
    </row>
    <row r="87" spans="1:7" ht="12" customHeight="1">
      <c r="A87" s="298">
        <v>36294</v>
      </c>
      <c r="B87" s="299" t="s">
        <v>3508</v>
      </c>
      <c r="C87" s="299">
        <v>30</v>
      </c>
      <c r="D87" s="299">
        <f t="shared" si="5"/>
        <v>5</v>
      </c>
      <c r="E87" s="299">
        <v>34</v>
      </c>
      <c r="F87" s="430" t="s">
        <v>3497</v>
      </c>
      <c r="G87" s="300" t="str">
        <f t="shared" si="6"/>
        <v>ChirazNRW</v>
      </c>
    </row>
    <row r="88" spans="1:7" ht="12" customHeight="1">
      <c r="A88" s="298">
        <v>36312</v>
      </c>
      <c r="B88" s="299" t="s">
        <v>3508</v>
      </c>
      <c r="C88" s="299">
        <v>100</v>
      </c>
      <c r="D88" s="299">
        <f t="shared" si="5"/>
        <v>6</v>
      </c>
      <c r="E88" s="299">
        <v>23</v>
      </c>
      <c r="F88" s="430" t="s">
        <v>3497</v>
      </c>
      <c r="G88" s="300" t="str">
        <f t="shared" si="6"/>
        <v>ChirazNRW</v>
      </c>
    </row>
    <row r="89" spans="1:7" ht="12" customHeight="1">
      <c r="A89" s="298">
        <v>36314</v>
      </c>
      <c r="B89" s="299" t="s">
        <v>3508</v>
      </c>
      <c r="C89" s="299">
        <v>30</v>
      </c>
      <c r="D89" s="299">
        <f t="shared" si="5"/>
        <v>6</v>
      </c>
      <c r="E89" s="299">
        <v>23</v>
      </c>
      <c r="F89" s="430" t="s">
        <v>3497</v>
      </c>
      <c r="G89" s="300" t="str">
        <f t="shared" si="6"/>
        <v>ChirazNRW</v>
      </c>
    </row>
    <row r="90" spans="1:7" ht="12" customHeight="1">
      <c r="A90" s="298">
        <v>36453</v>
      </c>
      <c r="B90" s="299" t="s">
        <v>3508</v>
      </c>
      <c r="C90" s="299">
        <v>20</v>
      </c>
      <c r="D90" s="299">
        <f t="shared" si="5"/>
        <v>10</v>
      </c>
      <c r="E90" s="299">
        <v>35</v>
      </c>
      <c r="F90" s="430" t="s">
        <v>3497</v>
      </c>
      <c r="G90" s="300" t="str">
        <f t="shared" si="6"/>
        <v>ChirazNRW</v>
      </c>
    </row>
    <row r="91" spans="1:7" ht="12" customHeight="1">
      <c r="A91" s="298">
        <v>36457</v>
      </c>
      <c r="B91" s="299" t="s">
        <v>3508</v>
      </c>
      <c r="C91" s="299">
        <v>110</v>
      </c>
      <c r="D91" s="299">
        <f t="shared" si="5"/>
        <v>10</v>
      </c>
      <c r="E91" s="299">
        <v>34</v>
      </c>
      <c r="F91" s="430" t="s">
        <v>3497</v>
      </c>
      <c r="G91" s="300" t="str">
        <f t="shared" si="6"/>
        <v>ChirazNRW</v>
      </c>
    </row>
    <row r="92" spans="1:7" ht="12" customHeight="1">
      <c r="A92" s="298">
        <v>36503</v>
      </c>
      <c r="B92" s="299" t="s">
        <v>3509</v>
      </c>
      <c r="C92" s="299">
        <v>50</v>
      </c>
      <c r="D92" s="299">
        <f t="shared" si="5"/>
        <v>12</v>
      </c>
      <c r="E92" s="299">
        <v>34</v>
      </c>
      <c r="F92" s="430" t="s">
        <v>3502</v>
      </c>
      <c r="G92" s="300" t="str">
        <f t="shared" si="6"/>
        <v>DeinhardHessen</v>
      </c>
    </row>
    <row r="93" spans="1:7" ht="12" customHeight="1">
      <c r="A93" s="298">
        <v>36192</v>
      </c>
      <c r="B93" s="299" t="s">
        <v>3509</v>
      </c>
      <c r="C93" s="299">
        <v>20</v>
      </c>
      <c r="D93" s="299">
        <f t="shared" si="5"/>
        <v>2</v>
      </c>
      <c r="E93" s="299">
        <v>34</v>
      </c>
      <c r="F93" s="430" t="s">
        <v>3497</v>
      </c>
      <c r="G93" s="300" t="str">
        <f t="shared" si="6"/>
        <v>DeinhardNRW</v>
      </c>
    </row>
    <row r="94" spans="1:7" ht="12" customHeight="1">
      <c r="A94" s="298">
        <v>36251</v>
      </c>
      <c r="B94" s="299" t="s">
        <v>3509</v>
      </c>
      <c r="C94" s="299">
        <v>10</v>
      </c>
      <c r="D94" s="299">
        <f t="shared" si="5"/>
        <v>4</v>
      </c>
      <c r="E94" s="299">
        <v>34</v>
      </c>
      <c r="F94" s="430" t="s">
        <v>3497</v>
      </c>
      <c r="G94" s="300" t="str">
        <f t="shared" si="6"/>
        <v>DeinhardNRW</v>
      </c>
    </row>
    <row r="95" spans="1:7" ht="12" customHeight="1">
      <c r="A95" s="298">
        <v>36269</v>
      </c>
      <c r="B95" s="299" t="s">
        <v>3509</v>
      </c>
      <c r="C95" s="299">
        <v>50</v>
      </c>
      <c r="D95" s="299">
        <f t="shared" si="5"/>
        <v>4</v>
      </c>
      <c r="E95" s="299">
        <v>34</v>
      </c>
      <c r="F95" s="430" t="s">
        <v>3497</v>
      </c>
      <c r="G95" s="300" t="str">
        <f t="shared" si="6"/>
        <v>DeinhardNRW</v>
      </c>
    </row>
    <row r="96" spans="1:7" ht="12" customHeight="1">
      <c r="A96" s="298">
        <v>36353</v>
      </c>
      <c r="B96" s="299" t="s">
        <v>3509</v>
      </c>
      <c r="C96" s="299">
        <v>50</v>
      </c>
      <c r="D96" s="299">
        <f t="shared" si="5"/>
        <v>7</v>
      </c>
      <c r="E96" s="299">
        <v>34</v>
      </c>
      <c r="F96" s="430" t="s">
        <v>3497</v>
      </c>
      <c r="G96" s="300" t="str">
        <f t="shared" si="6"/>
        <v>DeinhardNRW</v>
      </c>
    </row>
    <row r="97" spans="1:7" ht="12" customHeight="1">
      <c r="A97" s="298">
        <v>36523</v>
      </c>
      <c r="B97" s="299" t="s">
        <v>3509</v>
      </c>
      <c r="C97" s="299">
        <v>30</v>
      </c>
      <c r="D97" s="299">
        <f t="shared" si="5"/>
        <v>12</v>
      </c>
      <c r="E97" s="299">
        <v>34</v>
      </c>
      <c r="F97" s="430" t="s">
        <v>3497</v>
      </c>
      <c r="G97" s="300" t="str">
        <f t="shared" si="6"/>
        <v>DeinhardNRW</v>
      </c>
    </row>
    <row r="98" spans="1:7" ht="12" customHeight="1">
      <c r="A98" s="298">
        <v>36517</v>
      </c>
      <c r="B98" s="299" t="s">
        <v>3509</v>
      </c>
      <c r="C98" s="299">
        <v>80</v>
      </c>
      <c r="D98" s="299">
        <f t="shared" si="5"/>
        <v>12</v>
      </c>
      <c r="E98" s="299">
        <v>34</v>
      </c>
      <c r="F98" s="430" t="s">
        <v>3500</v>
      </c>
      <c r="G98" s="300" t="str">
        <f t="shared" si="6"/>
        <v>DeinhardSaarland</v>
      </c>
    </row>
    <row r="99" spans="1:7" ht="12" customHeight="1">
      <c r="A99" s="298">
        <v>36201</v>
      </c>
      <c r="B99" s="299" t="s">
        <v>3510</v>
      </c>
      <c r="C99" s="299">
        <v>60</v>
      </c>
      <c r="D99" s="299">
        <f t="shared" si="5"/>
        <v>2</v>
      </c>
      <c r="E99" s="299">
        <v>35</v>
      </c>
      <c r="F99" s="430" t="s">
        <v>3497</v>
      </c>
      <c r="G99" s="300" t="str">
        <f t="shared" si="6"/>
        <v>M&amp;MNRW</v>
      </c>
    </row>
    <row r="100" spans="1:7" ht="12" customHeight="1">
      <c r="A100" s="298">
        <v>36210</v>
      </c>
      <c r="B100" s="299" t="s">
        <v>3510</v>
      </c>
      <c r="C100" s="299">
        <v>80</v>
      </c>
      <c r="D100" s="299">
        <f t="shared" si="5"/>
        <v>2</v>
      </c>
      <c r="E100" s="299">
        <v>35</v>
      </c>
      <c r="F100" s="430" t="s">
        <v>3497</v>
      </c>
      <c r="G100" s="300" t="str">
        <f t="shared" si="6"/>
        <v>M&amp;MNRW</v>
      </c>
    </row>
    <row r="101" spans="1:7" ht="12" customHeight="1">
      <c r="A101" s="298">
        <v>36232</v>
      </c>
      <c r="B101" s="299" t="s">
        <v>3510</v>
      </c>
      <c r="C101" s="299">
        <v>20</v>
      </c>
      <c r="D101" s="299">
        <f t="shared" si="5"/>
        <v>3</v>
      </c>
      <c r="E101" s="299">
        <v>35</v>
      </c>
      <c r="F101" s="430" t="s">
        <v>3497</v>
      </c>
      <c r="G101" s="300" t="str">
        <f t="shared" si="6"/>
        <v>M&amp;MNRW</v>
      </c>
    </row>
    <row r="102" spans="1:7" ht="12" customHeight="1">
      <c r="A102" s="298">
        <v>36325</v>
      </c>
      <c r="B102" s="299" t="s">
        <v>3510</v>
      </c>
      <c r="C102" s="299">
        <v>10</v>
      </c>
      <c r="D102" s="299">
        <f t="shared" si="5"/>
        <v>6</v>
      </c>
      <c r="E102" s="299">
        <v>23</v>
      </c>
      <c r="F102" s="430" t="s">
        <v>3497</v>
      </c>
      <c r="G102" s="300" t="str">
        <f t="shared" si="6"/>
        <v>M&amp;MNRW</v>
      </c>
    </row>
    <row r="103" spans="1:7" ht="12" customHeight="1">
      <c r="A103" s="298">
        <v>36327</v>
      </c>
      <c r="B103" s="299" t="s">
        <v>3510</v>
      </c>
      <c r="C103" s="299">
        <v>80</v>
      </c>
      <c r="D103" s="299">
        <f t="shared" si="5"/>
        <v>6</v>
      </c>
      <c r="E103" s="299">
        <v>34</v>
      </c>
      <c r="F103" s="430" t="s">
        <v>3497</v>
      </c>
      <c r="G103" s="300" t="str">
        <f t="shared" si="6"/>
        <v>M&amp;MNRW</v>
      </c>
    </row>
    <row r="104" spans="1:7" ht="12" customHeight="1">
      <c r="A104" s="298">
        <v>36334</v>
      </c>
      <c r="B104" s="299" t="s">
        <v>3510</v>
      </c>
      <c r="C104" s="299">
        <v>40</v>
      </c>
      <c r="D104" s="299">
        <f t="shared" si="5"/>
        <v>6</v>
      </c>
      <c r="E104" s="299">
        <v>23</v>
      </c>
      <c r="F104" s="430" t="s">
        <v>3497</v>
      </c>
      <c r="G104" s="300" t="str">
        <f t="shared" si="6"/>
        <v>M&amp;MNRW</v>
      </c>
    </row>
    <row r="105" spans="1:7" ht="12" customHeight="1">
      <c r="A105" s="298">
        <v>36382</v>
      </c>
      <c r="B105" s="299" t="s">
        <v>3510</v>
      </c>
      <c r="C105" s="299">
        <v>20</v>
      </c>
      <c r="D105" s="299">
        <f t="shared" si="5"/>
        <v>8</v>
      </c>
      <c r="E105" s="299">
        <v>34</v>
      </c>
      <c r="F105" s="430" t="s">
        <v>3497</v>
      </c>
      <c r="G105" s="300" t="str">
        <f t="shared" si="6"/>
        <v>M&amp;MNRW</v>
      </c>
    </row>
    <row r="106" spans="1:7" ht="12" customHeight="1">
      <c r="A106" s="298">
        <v>36400</v>
      </c>
      <c r="B106" s="299" t="s">
        <v>3510</v>
      </c>
      <c r="C106" s="299">
        <v>50</v>
      </c>
      <c r="D106" s="299">
        <f t="shared" si="5"/>
        <v>8</v>
      </c>
      <c r="E106" s="299">
        <v>34</v>
      </c>
      <c r="F106" s="430" t="s">
        <v>3497</v>
      </c>
      <c r="G106" s="300" t="str">
        <f t="shared" si="6"/>
        <v>M&amp;MNRW</v>
      </c>
    </row>
    <row r="107" spans="1:7" ht="12" customHeight="1">
      <c r="A107" s="298">
        <v>36401</v>
      </c>
      <c r="B107" s="299" t="s">
        <v>3510</v>
      </c>
      <c r="C107" s="299">
        <v>40</v>
      </c>
      <c r="D107" s="299">
        <f t="shared" si="5"/>
        <v>8</v>
      </c>
      <c r="E107" s="299">
        <v>34</v>
      </c>
      <c r="F107" s="430" t="s">
        <v>3497</v>
      </c>
      <c r="G107" s="300" t="str">
        <f t="shared" si="6"/>
        <v>M&amp;MNRW</v>
      </c>
    </row>
    <row r="108" spans="1:7" ht="12" customHeight="1">
      <c r="A108" s="298">
        <v>36404</v>
      </c>
      <c r="B108" s="299" t="s">
        <v>3510</v>
      </c>
      <c r="C108" s="299">
        <v>120</v>
      </c>
      <c r="D108" s="299">
        <f t="shared" si="5"/>
        <v>9</v>
      </c>
      <c r="E108" s="299">
        <v>34</v>
      </c>
      <c r="F108" s="430" t="s">
        <v>3497</v>
      </c>
      <c r="G108" s="300" t="str">
        <f t="shared" si="6"/>
        <v>M&amp;MNRW</v>
      </c>
    </row>
    <row r="109" spans="1:7" ht="12" customHeight="1">
      <c r="A109" s="298">
        <v>36421</v>
      </c>
      <c r="B109" s="299" t="s">
        <v>3510</v>
      </c>
      <c r="C109" s="299">
        <v>70</v>
      </c>
      <c r="D109" s="299">
        <f t="shared" si="5"/>
        <v>9</v>
      </c>
      <c r="E109" s="299">
        <v>23</v>
      </c>
      <c r="F109" s="430" t="s">
        <v>3497</v>
      </c>
      <c r="G109" s="300" t="str">
        <f t="shared" si="6"/>
        <v>M&amp;MNRW</v>
      </c>
    </row>
    <row r="110" spans="1:7" ht="12" customHeight="1">
      <c r="A110" s="298">
        <v>36427</v>
      </c>
      <c r="B110" s="299" t="s">
        <v>3510</v>
      </c>
      <c r="C110" s="299">
        <v>60</v>
      </c>
      <c r="D110" s="299">
        <f t="shared" si="5"/>
        <v>9</v>
      </c>
      <c r="E110" s="299">
        <v>34</v>
      </c>
      <c r="F110" s="430" t="s">
        <v>3497</v>
      </c>
      <c r="G110" s="300" t="str">
        <f t="shared" si="6"/>
        <v>M&amp;MNRW</v>
      </c>
    </row>
    <row r="111" spans="1:7" ht="12" customHeight="1">
      <c r="A111" s="298">
        <v>36412</v>
      </c>
      <c r="B111" s="299" t="s">
        <v>3510</v>
      </c>
      <c r="C111" s="299">
        <v>40</v>
      </c>
      <c r="D111" s="299">
        <f t="shared" si="5"/>
        <v>9</v>
      </c>
      <c r="E111" s="299">
        <v>34</v>
      </c>
      <c r="F111" s="430" t="s">
        <v>3500</v>
      </c>
      <c r="G111" s="300" t="str">
        <f t="shared" si="6"/>
        <v>M&amp;MSaarland</v>
      </c>
    </row>
    <row r="112" spans="1:7" ht="12" customHeight="1">
      <c r="A112" s="298">
        <v>36424</v>
      </c>
      <c r="B112" s="299" t="s">
        <v>3510</v>
      </c>
      <c r="C112" s="299">
        <v>80</v>
      </c>
      <c r="D112" s="299">
        <f t="shared" si="5"/>
        <v>9</v>
      </c>
      <c r="E112" s="299">
        <v>34</v>
      </c>
      <c r="F112" s="430" t="s">
        <v>3500</v>
      </c>
      <c r="G112" s="300" t="str">
        <f t="shared" si="6"/>
        <v>M&amp;MSaarland</v>
      </c>
    </row>
    <row r="113" spans="1:7" ht="12" customHeight="1">
      <c r="A113" s="298">
        <v>36506</v>
      </c>
      <c r="B113" s="299" t="s">
        <v>3510</v>
      </c>
      <c r="C113" s="299">
        <v>120</v>
      </c>
      <c r="D113" s="299">
        <f t="shared" si="5"/>
        <v>12</v>
      </c>
      <c r="E113" s="299">
        <v>34</v>
      </c>
      <c r="F113" s="430" t="s">
        <v>3500</v>
      </c>
      <c r="G113" s="300" t="str">
        <f t="shared" si="6"/>
        <v>M&amp;MSaarland</v>
      </c>
    </row>
    <row r="114" spans="1:7" ht="12" customHeight="1">
      <c r="A114" s="298">
        <v>36314</v>
      </c>
      <c r="B114" s="299" t="s">
        <v>3511</v>
      </c>
      <c r="C114" s="299">
        <v>60</v>
      </c>
      <c r="D114" s="299">
        <f t="shared" si="5"/>
        <v>6</v>
      </c>
      <c r="E114" s="299">
        <v>31</v>
      </c>
      <c r="F114" s="430" t="s">
        <v>3502</v>
      </c>
      <c r="G114" s="300" t="str">
        <f t="shared" si="6"/>
        <v>MoetHessen</v>
      </c>
    </row>
    <row r="115" spans="1:7" ht="12" customHeight="1">
      <c r="A115" s="298">
        <v>36352</v>
      </c>
      <c r="B115" s="299" t="s">
        <v>3511</v>
      </c>
      <c r="C115" s="299">
        <v>20</v>
      </c>
      <c r="D115" s="299">
        <f t="shared" si="5"/>
        <v>7</v>
      </c>
      <c r="E115" s="299">
        <v>31</v>
      </c>
      <c r="F115" s="430" t="s">
        <v>3502</v>
      </c>
      <c r="G115" s="300" t="str">
        <f t="shared" si="6"/>
        <v>MoetHessen</v>
      </c>
    </row>
    <row r="116" spans="1:7" ht="12" customHeight="1">
      <c r="A116" s="298">
        <v>36457</v>
      </c>
      <c r="B116" s="299" t="s">
        <v>3511</v>
      </c>
      <c r="C116" s="299">
        <v>80</v>
      </c>
      <c r="D116" s="299">
        <f t="shared" si="5"/>
        <v>10</v>
      </c>
      <c r="E116" s="299">
        <v>31</v>
      </c>
      <c r="F116" s="430" t="s">
        <v>3502</v>
      </c>
      <c r="G116" s="300" t="str">
        <f t="shared" si="6"/>
        <v>MoetHessen</v>
      </c>
    </row>
    <row r="117" spans="1:7" ht="12" customHeight="1">
      <c r="A117" s="298">
        <v>36297</v>
      </c>
      <c r="B117" s="299" t="s">
        <v>3511</v>
      </c>
      <c r="C117" s="299">
        <v>80</v>
      </c>
      <c r="D117" s="299">
        <f t="shared" si="5"/>
        <v>5</v>
      </c>
      <c r="E117" s="299">
        <v>34</v>
      </c>
      <c r="F117" s="430" t="s">
        <v>3497</v>
      </c>
      <c r="G117" s="300" t="str">
        <f t="shared" si="6"/>
        <v>MoetNRW</v>
      </c>
    </row>
    <row r="118" spans="1:7" ht="12" customHeight="1">
      <c r="A118" s="298">
        <v>36313</v>
      </c>
      <c r="B118" s="299" t="s">
        <v>3511</v>
      </c>
      <c r="C118" s="299">
        <v>20</v>
      </c>
      <c r="D118" s="299">
        <f t="shared" si="5"/>
        <v>6</v>
      </c>
      <c r="E118" s="299">
        <v>28</v>
      </c>
      <c r="F118" s="430" t="s">
        <v>3497</v>
      </c>
      <c r="G118" s="300" t="str">
        <f t="shared" si="6"/>
        <v>MoetNRW</v>
      </c>
    </row>
    <row r="119" spans="1:7" ht="12" customHeight="1">
      <c r="A119" s="298">
        <v>36323</v>
      </c>
      <c r="B119" s="299" t="s">
        <v>3511</v>
      </c>
      <c r="C119" s="299">
        <v>30</v>
      </c>
      <c r="D119" s="299">
        <f t="shared" si="5"/>
        <v>6</v>
      </c>
      <c r="E119" s="299">
        <v>28</v>
      </c>
      <c r="F119" s="430" t="s">
        <v>3497</v>
      </c>
      <c r="G119" s="300" t="str">
        <f t="shared" si="6"/>
        <v>MoetNRW</v>
      </c>
    </row>
    <row r="120" spans="1:7" ht="12" customHeight="1">
      <c r="A120" s="298">
        <v>36326</v>
      </c>
      <c r="B120" s="299" t="s">
        <v>3511</v>
      </c>
      <c r="C120" s="299">
        <v>70</v>
      </c>
      <c r="D120" s="299">
        <f t="shared" si="5"/>
        <v>6</v>
      </c>
      <c r="E120" s="299">
        <v>28</v>
      </c>
      <c r="F120" s="430" t="s">
        <v>3497</v>
      </c>
      <c r="G120" s="300" t="str">
        <f t="shared" si="6"/>
        <v>MoetNRW</v>
      </c>
    </row>
    <row r="121" spans="1:7" ht="12" customHeight="1">
      <c r="A121" s="298">
        <v>36465</v>
      </c>
      <c r="B121" s="299" t="s">
        <v>3511</v>
      </c>
      <c r="C121" s="299">
        <v>30</v>
      </c>
      <c r="D121" s="299">
        <f t="shared" si="5"/>
        <v>11</v>
      </c>
      <c r="E121" s="299">
        <v>23</v>
      </c>
      <c r="F121" s="430" t="s">
        <v>3497</v>
      </c>
      <c r="G121" s="300" t="str">
        <f t="shared" si="6"/>
        <v>MoetNRW</v>
      </c>
    </row>
    <row r="122" spans="1:7" ht="12" customHeight="1">
      <c r="A122" s="298">
        <v>36468</v>
      </c>
      <c r="B122" s="299" t="s">
        <v>3511</v>
      </c>
      <c r="C122" s="299">
        <v>80</v>
      </c>
      <c r="D122" s="299">
        <f t="shared" si="5"/>
        <v>11</v>
      </c>
      <c r="E122" s="299">
        <v>23</v>
      </c>
      <c r="F122" s="430" t="s">
        <v>3497</v>
      </c>
      <c r="G122" s="300" t="str">
        <f t="shared" si="6"/>
        <v>MoetNRW</v>
      </c>
    </row>
    <row r="123" spans="1:7" ht="12" customHeight="1">
      <c r="A123" s="298">
        <v>36162</v>
      </c>
      <c r="B123" s="299" t="s">
        <v>3511</v>
      </c>
      <c r="C123" s="299">
        <v>80</v>
      </c>
      <c r="D123" s="299">
        <f t="shared" si="5"/>
        <v>1</v>
      </c>
      <c r="E123" s="299">
        <v>34</v>
      </c>
      <c r="F123" s="430" t="s">
        <v>3500</v>
      </c>
      <c r="G123" s="300" t="str">
        <f t="shared" si="6"/>
        <v>MoetSaarland</v>
      </c>
    </row>
    <row r="124" spans="1:7" ht="12" customHeight="1">
      <c r="A124" s="298">
        <v>36167</v>
      </c>
      <c r="B124" s="299" t="s">
        <v>3511</v>
      </c>
      <c r="C124" s="299">
        <v>20</v>
      </c>
      <c r="D124" s="299">
        <f t="shared" si="5"/>
        <v>1</v>
      </c>
      <c r="E124" s="299">
        <v>34</v>
      </c>
      <c r="F124" s="430" t="s">
        <v>3500</v>
      </c>
      <c r="G124" s="300" t="str">
        <f t="shared" si="6"/>
        <v>MoetSaarland</v>
      </c>
    </row>
    <row r="125" spans="1:7" ht="12" customHeight="1">
      <c r="A125" s="298">
        <v>36269</v>
      </c>
      <c r="B125" s="299" t="s">
        <v>3511</v>
      </c>
      <c r="C125" s="299">
        <v>40</v>
      </c>
      <c r="D125" s="299">
        <f t="shared" si="5"/>
        <v>4</v>
      </c>
      <c r="E125" s="299">
        <v>34</v>
      </c>
      <c r="F125" s="430" t="s">
        <v>3500</v>
      </c>
      <c r="G125" s="300" t="str">
        <f t="shared" si="6"/>
        <v>MoetSaarland</v>
      </c>
    </row>
    <row r="126" spans="1:7" ht="12" customHeight="1">
      <c r="A126" s="298">
        <v>36290</v>
      </c>
      <c r="B126" s="299" t="s">
        <v>3511</v>
      </c>
      <c r="C126" s="299">
        <v>70</v>
      </c>
      <c r="D126" s="299">
        <f t="shared" si="5"/>
        <v>5</v>
      </c>
      <c r="E126" s="299">
        <v>34</v>
      </c>
      <c r="F126" s="430" t="s">
        <v>3500</v>
      </c>
      <c r="G126" s="300" t="str">
        <f t="shared" si="6"/>
        <v>MoetSaarland</v>
      </c>
    </row>
    <row r="127" spans="1:7" ht="12" customHeight="1">
      <c r="A127" s="298">
        <v>36388</v>
      </c>
      <c r="B127" s="299" t="s">
        <v>3511</v>
      </c>
      <c r="C127" s="299">
        <v>50</v>
      </c>
      <c r="D127" s="299">
        <f t="shared" si="5"/>
        <v>8</v>
      </c>
      <c r="E127" s="299">
        <v>34</v>
      </c>
      <c r="F127" s="430" t="s">
        <v>3500</v>
      </c>
      <c r="G127" s="300" t="str">
        <f t="shared" si="6"/>
        <v>MoetSaarland</v>
      </c>
    </row>
    <row r="128" spans="1:7" ht="12" customHeight="1">
      <c r="A128" s="298">
        <v>36396</v>
      </c>
      <c r="B128" s="299" t="s">
        <v>3511</v>
      </c>
      <c r="C128" s="299">
        <v>70</v>
      </c>
      <c r="D128" s="299">
        <f t="shared" si="5"/>
        <v>8</v>
      </c>
      <c r="E128" s="299">
        <v>34</v>
      </c>
      <c r="F128" s="430" t="s">
        <v>3500</v>
      </c>
      <c r="G128" s="300" t="str">
        <f t="shared" si="6"/>
        <v>MoetSaarland</v>
      </c>
    </row>
    <row r="129" spans="1:7" ht="12" customHeight="1">
      <c r="A129" s="298">
        <v>36453</v>
      </c>
      <c r="B129" s="299" t="s">
        <v>3511</v>
      </c>
      <c r="C129" s="299">
        <v>10</v>
      </c>
      <c r="D129" s="299">
        <f t="shared" si="5"/>
        <v>10</v>
      </c>
      <c r="E129" s="299">
        <v>34</v>
      </c>
      <c r="F129" s="430" t="s">
        <v>3500</v>
      </c>
      <c r="G129" s="300" t="str">
        <f t="shared" si="6"/>
        <v>MoetSaarland</v>
      </c>
    </row>
    <row r="130" spans="1:7" ht="12" customHeight="1">
      <c r="A130" s="298">
        <v>36475</v>
      </c>
      <c r="B130" s="299" t="s">
        <v>3511</v>
      </c>
      <c r="C130" s="299">
        <v>50</v>
      </c>
      <c r="D130" s="299">
        <f t="shared" si="5"/>
        <v>11</v>
      </c>
      <c r="E130" s="299">
        <v>34</v>
      </c>
      <c r="F130" s="430" t="s">
        <v>3500</v>
      </c>
      <c r="G130" s="300" t="str">
        <f t="shared" si="6"/>
        <v>MoetSaarland</v>
      </c>
    </row>
    <row r="131" spans="1:7" ht="12" customHeight="1">
      <c r="A131" s="298">
        <v>36508</v>
      </c>
      <c r="B131" s="299" t="s">
        <v>3511</v>
      </c>
      <c r="C131" s="299">
        <v>10</v>
      </c>
      <c r="D131" s="299">
        <f t="shared" si="5"/>
        <v>12</v>
      </c>
      <c r="E131" s="299">
        <v>34</v>
      </c>
      <c r="F131" s="430" t="s">
        <v>3500</v>
      </c>
      <c r="G131" s="300" t="str">
        <f t="shared" si="6"/>
        <v>MoetSaarland</v>
      </c>
    </row>
    <row r="132" spans="1:7" ht="12" customHeight="1">
      <c r="A132" s="298">
        <v>36174</v>
      </c>
      <c r="B132" s="299" t="s">
        <v>3512</v>
      </c>
      <c r="C132" s="299">
        <v>120</v>
      </c>
      <c r="D132" s="299">
        <f t="shared" si="5"/>
        <v>1</v>
      </c>
      <c r="E132" s="299">
        <v>28</v>
      </c>
      <c r="F132" s="430" t="s">
        <v>3497</v>
      </c>
      <c r="G132" s="300" t="str">
        <f t="shared" si="6"/>
        <v>MummNRW</v>
      </c>
    </row>
    <row r="133" spans="1:7" ht="12" customHeight="1">
      <c r="A133" s="298">
        <v>36181</v>
      </c>
      <c r="B133" s="299" t="s">
        <v>3512</v>
      </c>
      <c r="C133" s="299">
        <v>70</v>
      </c>
      <c r="D133" s="299">
        <f t="shared" si="5"/>
        <v>1</v>
      </c>
      <c r="E133" s="299">
        <v>28</v>
      </c>
      <c r="F133" s="430" t="s">
        <v>3497</v>
      </c>
      <c r="G133" s="300" t="str">
        <f t="shared" si="6"/>
        <v>MummNRW</v>
      </c>
    </row>
    <row r="134" spans="1:7" ht="12" customHeight="1">
      <c r="A134" s="298">
        <v>36192</v>
      </c>
      <c r="B134" s="299" t="s">
        <v>3512</v>
      </c>
      <c r="C134" s="299">
        <v>60</v>
      </c>
      <c r="D134" s="299">
        <f t="shared" ref="D134:D197" si="7">MONTH(A134)</f>
        <v>2</v>
      </c>
      <c r="E134" s="299">
        <v>28</v>
      </c>
      <c r="F134" s="430" t="s">
        <v>3497</v>
      </c>
      <c r="G134" s="300" t="str">
        <f t="shared" ref="G134:G197" si="8">B134&amp;F134</f>
        <v>MummNRW</v>
      </c>
    </row>
    <row r="135" spans="1:7" ht="12" customHeight="1">
      <c r="A135" s="298">
        <v>36204</v>
      </c>
      <c r="B135" s="299" t="s">
        <v>3512</v>
      </c>
      <c r="C135" s="299">
        <v>30</v>
      </c>
      <c r="D135" s="299">
        <f t="shared" si="7"/>
        <v>2</v>
      </c>
      <c r="E135" s="299">
        <v>28</v>
      </c>
      <c r="F135" s="430" t="s">
        <v>3497</v>
      </c>
      <c r="G135" s="300" t="str">
        <f t="shared" si="8"/>
        <v>MummNRW</v>
      </c>
    </row>
    <row r="136" spans="1:7" ht="12" customHeight="1">
      <c r="A136" s="298">
        <v>36207</v>
      </c>
      <c r="B136" s="299" t="s">
        <v>3512</v>
      </c>
      <c r="C136" s="299">
        <v>10</v>
      </c>
      <c r="D136" s="299">
        <f t="shared" si="7"/>
        <v>2</v>
      </c>
      <c r="E136" s="299">
        <v>23</v>
      </c>
      <c r="F136" s="430" t="s">
        <v>3497</v>
      </c>
      <c r="G136" s="300" t="str">
        <f t="shared" si="8"/>
        <v>MummNRW</v>
      </c>
    </row>
    <row r="137" spans="1:7" ht="12" customHeight="1">
      <c r="A137" s="298">
        <v>36212</v>
      </c>
      <c r="B137" s="299" t="s">
        <v>3512</v>
      </c>
      <c r="C137" s="299">
        <v>30</v>
      </c>
      <c r="D137" s="299">
        <f t="shared" si="7"/>
        <v>2</v>
      </c>
      <c r="E137" s="299">
        <v>34</v>
      </c>
      <c r="F137" s="430" t="s">
        <v>3497</v>
      </c>
      <c r="G137" s="300" t="str">
        <f t="shared" si="8"/>
        <v>MummNRW</v>
      </c>
    </row>
    <row r="138" spans="1:7" ht="12" customHeight="1">
      <c r="A138" s="298">
        <v>36338</v>
      </c>
      <c r="B138" s="299" t="s">
        <v>3512</v>
      </c>
      <c r="C138" s="299">
        <v>160</v>
      </c>
      <c r="D138" s="299">
        <f t="shared" si="7"/>
        <v>6</v>
      </c>
      <c r="E138" s="299">
        <v>34</v>
      </c>
      <c r="F138" s="430" t="s">
        <v>3497</v>
      </c>
      <c r="G138" s="300" t="str">
        <f t="shared" si="8"/>
        <v>MummNRW</v>
      </c>
    </row>
    <row r="139" spans="1:7" ht="12" customHeight="1">
      <c r="A139" s="298">
        <v>36355</v>
      </c>
      <c r="B139" s="299" t="s">
        <v>3512</v>
      </c>
      <c r="C139" s="299">
        <v>80</v>
      </c>
      <c r="D139" s="299">
        <f t="shared" si="7"/>
        <v>7</v>
      </c>
      <c r="E139" s="299">
        <v>34</v>
      </c>
      <c r="F139" s="430" t="s">
        <v>3497</v>
      </c>
      <c r="G139" s="300" t="str">
        <f t="shared" si="8"/>
        <v>MummNRW</v>
      </c>
    </row>
    <row r="140" spans="1:7" ht="12" customHeight="1">
      <c r="A140" s="298">
        <v>36357</v>
      </c>
      <c r="B140" s="299" t="s">
        <v>3512</v>
      </c>
      <c r="C140" s="299">
        <v>90</v>
      </c>
      <c r="D140" s="299">
        <f t="shared" si="7"/>
        <v>7</v>
      </c>
      <c r="E140" s="299">
        <v>34</v>
      </c>
      <c r="F140" s="430" t="s">
        <v>3497</v>
      </c>
      <c r="G140" s="300" t="str">
        <f t="shared" si="8"/>
        <v>MummNRW</v>
      </c>
    </row>
    <row r="141" spans="1:7" ht="12" customHeight="1">
      <c r="A141" s="298">
        <v>36394</v>
      </c>
      <c r="B141" s="299" t="s">
        <v>3512</v>
      </c>
      <c r="C141" s="299">
        <v>120</v>
      </c>
      <c r="D141" s="299">
        <f t="shared" si="7"/>
        <v>8</v>
      </c>
      <c r="E141" s="299">
        <v>28</v>
      </c>
      <c r="F141" s="430" t="s">
        <v>3497</v>
      </c>
      <c r="G141" s="300" t="str">
        <f t="shared" si="8"/>
        <v>MummNRW</v>
      </c>
    </row>
    <row r="142" spans="1:7" ht="12" customHeight="1">
      <c r="A142" s="298">
        <v>36394</v>
      </c>
      <c r="B142" s="299" t="s">
        <v>3512</v>
      </c>
      <c r="C142" s="299">
        <v>120</v>
      </c>
      <c r="D142" s="299">
        <f t="shared" si="7"/>
        <v>8</v>
      </c>
      <c r="E142" s="299">
        <v>35</v>
      </c>
      <c r="F142" s="430" t="s">
        <v>3497</v>
      </c>
      <c r="G142" s="300" t="str">
        <f t="shared" si="8"/>
        <v>MummNRW</v>
      </c>
    </row>
    <row r="143" spans="1:7" ht="12" customHeight="1">
      <c r="A143" s="298">
        <v>36398</v>
      </c>
      <c r="B143" s="299" t="s">
        <v>3512</v>
      </c>
      <c r="C143" s="299">
        <v>70</v>
      </c>
      <c r="D143" s="299">
        <f t="shared" si="7"/>
        <v>8</v>
      </c>
      <c r="E143" s="299">
        <v>23</v>
      </c>
      <c r="F143" s="430" t="s">
        <v>3497</v>
      </c>
      <c r="G143" s="300" t="str">
        <f t="shared" si="8"/>
        <v>MummNRW</v>
      </c>
    </row>
    <row r="144" spans="1:7" ht="12" customHeight="1">
      <c r="A144" s="298">
        <v>36413</v>
      </c>
      <c r="B144" s="299" t="s">
        <v>3512</v>
      </c>
      <c r="C144" s="299">
        <v>50</v>
      </c>
      <c r="D144" s="299">
        <f t="shared" si="7"/>
        <v>9</v>
      </c>
      <c r="E144" s="299">
        <v>28</v>
      </c>
      <c r="F144" s="430" t="s">
        <v>3497</v>
      </c>
      <c r="G144" s="300" t="str">
        <f t="shared" si="8"/>
        <v>MummNRW</v>
      </c>
    </row>
    <row r="145" spans="1:7" ht="12" customHeight="1">
      <c r="A145" s="298">
        <v>36429</v>
      </c>
      <c r="B145" s="299" t="s">
        <v>3512</v>
      </c>
      <c r="C145" s="299">
        <v>120</v>
      </c>
      <c r="D145" s="299">
        <f t="shared" si="7"/>
        <v>9</v>
      </c>
      <c r="E145" s="299">
        <v>23</v>
      </c>
      <c r="F145" s="430" t="s">
        <v>3497</v>
      </c>
      <c r="G145" s="300" t="str">
        <f t="shared" si="8"/>
        <v>MummNRW</v>
      </c>
    </row>
    <row r="146" spans="1:7" ht="12" customHeight="1">
      <c r="A146" s="298">
        <v>36437</v>
      </c>
      <c r="B146" s="299" t="s">
        <v>3512</v>
      </c>
      <c r="C146" s="299">
        <v>30</v>
      </c>
      <c r="D146" s="299">
        <f t="shared" si="7"/>
        <v>10</v>
      </c>
      <c r="E146" s="299">
        <v>34</v>
      </c>
      <c r="F146" s="430" t="s">
        <v>3497</v>
      </c>
      <c r="G146" s="300" t="str">
        <f t="shared" si="8"/>
        <v>MummNRW</v>
      </c>
    </row>
    <row r="147" spans="1:7" ht="12" customHeight="1">
      <c r="A147" s="298">
        <v>36214</v>
      </c>
      <c r="B147" s="299" t="s">
        <v>3512</v>
      </c>
      <c r="C147" s="299">
        <v>50</v>
      </c>
      <c r="D147" s="299">
        <f t="shared" si="7"/>
        <v>2</v>
      </c>
      <c r="E147" s="299">
        <v>30</v>
      </c>
      <c r="F147" s="430" t="s">
        <v>3500</v>
      </c>
      <c r="G147" s="300" t="str">
        <f t="shared" si="8"/>
        <v>MummSaarland</v>
      </c>
    </row>
    <row r="148" spans="1:7" ht="12" customHeight="1">
      <c r="A148" s="298">
        <v>36317</v>
      </c>
      <c r="B148" s="299" t="s">
        <v>3512</v>
      </c>
      <c r="C148" s="299">
        <v>100</v>
      </c>
      <c r="D148" s="299">
        <f t="shared" si="7"/>
        <v>6</v>
      </c>
      <c r="E148" s="299">
        <v>34</v>
      </c>
      <c r="F148" s="430" t="s">
        <v>3500</v>
      </c>
      <c r="G148" s="300" t="str">
        <f t="shared" si="8"/>
        <v>MummSaarland</v>
      </c>
    </row>
    <row r="149" spans="1:7" ht="12" customHeight="1">
      <c r="A149" s="298">
        <v>36338</v>
      </c>
      <c r="B149" s="299" t="s">
        <v>3512</v>
      </c>
      <c r="C149" s="299">
        <v>10</v>
      </c>
      <c r="D149" s="299">
        <f t="shared" si="7"/>
        <v>6</v>
      </c>
      <c r="E149" s="299">
        <v>34</v>
      </c>
      <c r="F149" s="430" t="s">
        <v>3500</v>
      </c>
      <c r="G149" s="300" t="str">
        <f t="shared" si="8"/>
        <v>MummSaarland</v>
      </c>
    </row>
    <row r="150" spans="1:7" ht="12" customHeight="1">
      <c r="A150" s="298">
        <v>36361</v>
      </c>
      <c r="B150" s="299" t="s">
        <v>3512</v>
      </c>
      <c r="C150" s="299">
        <v>80</v>
      </c>
      <c r="D150" s="299">
        <f t="shared" si="7"/>
        <v>7</v>
      </c>
      <c r="E150" s="299">
        <v>30</v>
      </c>
      <c r="F150" s="430" t="s">
        <v>3500</v>
      </c>
      <c r="G150" s="300" t="str">
        <f t="shared" si="8"/>
        <v>MummSaarland</v>
      </c>
    </row>
    <row r="151" spans="1:7" ht="12" customHeight="1">
      <c r="A151" s="298">
        <v>36376</v>
      </c>
      <c r="B151" s="299" t="s">
        <v>3512</v>
      </c>
      <c r="C151" s="299">
        <v>80</v>
      </c>
      <c r="D151" s="299">
        <f t="shared" si="7"/>
        <v>8</v>
      </c>
      <c r="E151" s="299">
        <v>34</v>
      </c>
      <c r="F151" s="430" t="s">
        <v>3500</v>
      </c>
      <c r="G151" s="300" t="str">
        <f t="shared" si="8"/>
        <v>MummSaarland</v>
      </c>
    </row>
    <row r="152" spans="1:7" ht="12" customHeight="1">
      <c r="A152" s="298">
        <v>36377</v>
      </c>
      <c r="B152" s="299" t="s">
        <v>3512</v>
      </c>
      <c r="C152" s="299">
        <v>20</v>
      </c>
      <c r="D152" s="299">
        <f t="shared" si="7"/>
        <v>8</v>
      </c>
      <c r="E152" s="299">
        <v>34</v>
      </c>
      <c r="F152" s="430" t="s">
        <v>3500</v>
      </c>
      <c r="G152" s="300" t="str">
        <f t="shared" si="8"/>
        <v>MummSaarland</v>
      </c>
    </row>
    <row r="153" spans="1:7" ht="12" customHeight="1">
      <c r="A153" s="298">
        <v>36378</v>
      </c>
      <c r="B153" s="299" t="s">
        <v>3512</v>
      </c>
      <c r="C153" s="299">
        <v>20</v>
      </c>
      <c r="D153" s="299">
        <f t="shared" si="7"/>
        <v>8</v>
      </c>
      <c r="E153" s="299">
        <v>34</v>
      </c>
      <c r="F153" s="430" t="s">
        <v>3500</v>
      </c>
      <c r="G153" s="300" t="str">
        <f t="shared" si="8"/>
        <v>MummSaarland</v>
      </c>
    </row>
    <row r="154" spans="1:7" ht="12" customHeight="1">
      <c r="A154" s="298">
        <v>36378</v>
      </c>
      <c r="B154" s="299" t="s">
        <v>3512</v>
      </c>
      <c r="C154" s="299">
        <v>20</v>
      </c>
      <c r="D154" s="299">
        <f t="shared" si="7"/>
        <v>8</v>
      </c>
      <c r="E154" s="299">
        <v>34</v>
      </c>
      <c r="F154" s="430" t="s">
        <v>3500</v>
      </c>
      <c r="G154" s="300" t="str">
        <f t="shared" si="8"/>
        <v>MummSaarland</v>
      </c>
    </row>
    <row r="155" spans="1:7" ht="12" customHeight="1">
      <c r="A155" s="298">
        <v>36378</v>
      </c>
      <c r="B155" s="299" t="s">
        <v>3512</v>
      </c>
      <c r="C155" s="299">
        <v>160</v>
      </c>
      <c r="D155" s="299">
        <f t="shared" si="7"/>
        <v>8</v>
      </c>
      <c r="E155" s="299">
        <v>34</v>
      </c>
      <c r="F155" s="430" t="s">
        <v>3500</v>
      </c>
      <c r="G155" s="300" t="str">
        <f t="shared" si="8"/>
        <v>MummSaarland</v>
      </c>
    </row>
    <row r="156" spans="1:7" ht="12" customHeight="1">
      <c r="A156" s="298">
        <v>36400</v>
      </c>
      <c r="B156" s="299" t="s">
        <v>3512</v>
      </c>
      <c r="C156" s="299">
        <v>80</v>
      </c>
      <c r="D156" s="299">
        <f t="shared" si="7"/>
        <v>8</v>
      </c>
      <c r="E156" s="299">
        <v>34</v>
      </c>
      <c r="F156" s="430" t="s">
        <v>3500</v>
      </c>
      <c r="G156" s="300" t="str">
        <f t="shared" si="8"/>
        <v>MummSaarland</v>
      </c>
    </row>
    <row r="157" spans="1:7" ht="12" customHeight="1">
      <c r="A157" s="298">
        <v>36416</v>
      </c>
      <c r="B157" s="299" t="s">
        <v>3512</v>
      </c>
      <c r="C157" s="299">
        <v>80</v>
      </c>
      <c r="D157" s="299">
        <f t="shared" si="7"/>
        <v>9</v>
      </c>
      <c r="E157" s="299">
        <v>34</v>
      </c>
      <c r="F157" s="430" t="s">
        <v>3500</v>
      </c>
      <c r="G157" s="300" t="str">
        <f t="shared" si="8"/>
        <v>MummSaarland</v>
      </c>
    </row>
    <row r="158" spans="1:7" ht="12" customHeight="1">
      <c r="A158" s="298">
        <v>36425</v>
      </c>
      <c r="B158" s="299" t="s">
        <v>3512</v>
      </c>
      <c r="C158" s="299">
        <v>70</v>
      </c>
      <c r="D158" s="299">
        <f t="shared" si="7"/>
        <v>9</v>
      </c>
      <c r="E158" s="299">
        <v>30</v>
      </c>
      <c r="F158" s="430" t="s">
        <v>3500</v>
      </c>
      <c r="G158" s="300" t="str">
        <f t="shared" si="8"/>
        <v>MummSaarland</v>
      </c>
    </row>
    <row r="159" spans="1:7" ht="12" customHeight="1">
      <c r="A159" s="298">
        <v>36203</v>
      </c>
      <c r="B159" s="299" t="s">
        <v>3513</v>
      </c>
      <c r="C159" s="299">
        <v>60</v>
      </c>
      <c r="D159" s="299">
        <f t="shared" si="7"/>
        <v>2</v>
      </c>
      <c r="E159" s="299">
        <v>34</v>
      </c>
      <c r="F159" s="430" t="s">
        <v>3497</v>
      </c>
      <c r="G159" s="300" t="str">
        <f t="shared" si="8"/>
        <v>RieslingNRW</v>
      </c>
    </row>
    <row r="160" spans="1:7" ht="12" customHeight="1">
      <c r="A160" s="298">
        <v>36207</v>
      </c>
      <c r="B160" s="299" t="s">
        <v>3513</v>
      </c>
      <c r="C160" s="299">
        <v>120</v>
      </c>
      <c r="D160" s="299">
        <f t="shared" si="7"/>
        <v>2</v>
      </c>
      <c r="E160" s="299">
        <v>28</v>
      </c>
      <c r="F160" s="430" t="s">
        <v>3497</v>
      </c>
      <c r="G160" s="300" t="str">
        <f t="shared" si="8"/>
        <v>RieslingNRW</v>
      </c>
    </row>
    <row r="161" spans="1:7" ht="12" customHeight="1">
      <c r="A161" s="298">
        <v>36210</v>
      </c>
      <c r="B161" s="299" t="s">
        <v>3513</v>
      </c>
      <c r="C161" s="299">
        <v>150</v>
      </c>
      <c r="D161" s="299">
        <f t="shared" si="7"/>
        <v>2</v>
      </c>
      <c r="E161" s="299">
        <v>28</v>
      </c>
      <c r="F161" s="430" t="s">
        <v>3497</v>
      </c>
      <c r="G161" s="300" t="str">
        <f t="shared" si="8"/>
        <v>RieslingNRW</v>
      </c>
    </row>
    <row r="162" spans="1:7" ht="12" customHeight="1">
      <c r="A162" s="298">
        <v>36213</v>
      </c>
      <c r="B162" s="299" t="s">
        <v>3513</v>
      </c>
      <c r="C162" s="299">
        <v>50</v>
      </c>
      <c r="D162" s="299">
        <f t="shared" si="7"/>
        <v>2</v>
      </c>
      <c r="E162" s="299">
        <v>34</v>
      </c>
      <c r="F162" s="430" t="s">
        <v>3497</v>
      </c>
      <c r="G162" s="300" t="str">
        <f t="shared" si="8"/>
        <v>RieslingNRW</v>
      </c>
    </row>
    <row r="163" spans="1:7" ht="12" customHeight="1">
      <c r="A163" s="298">
        <v>36215</v>
      </c>
      <c r="B163" s="299" t="s">
        <v>3513</v>
      </c>
      <c r="C163" s="299">
        <v>210</v>
      </c>
      <c r="D163" s="299">
        <f t="shared" si="7"/>
        <v>2</v>
      </c>
      <c r="E163" s="299">
        <v>28</v>
      </c>
      <c r="F163" s="430" t="s">
        <v>3497</v>
      </c>
      <c r="G163" s="300" t="str">
        <f t="shared" si="8"/>
        <v>RieslingNRW</v>
      </c>
    </row>
    <row r="164" spans="1:7" ht="12" customHeight="1">
      <c r="A164" s="298">
        <v>36215</v>
      </c>
      <c r="B164" s="299" t="s">
        <v>3513</v>
      </c>
      <c r="C164" s="299">
        <v>70</v>
      </c>
      <c r="D164" s="299">
        <f t="shared" si="7"/>
        <v>2</v>
      </c>
      <c r="E164" s="299">
        <v>34</v>
      </c>
      <c r="F164" s="430" t="s">
        <v>3497</v>
      </c>
      <c r="G164" s="300" t="str">
        <f t="shared" si="8"/>
        <v>RieslingNRW</v>
      </c>
    </row>
    <row r="165" spans="1:7" ht="12" customHeight="1">
      <c r="A165" s="298">
        <v>36217</v>
      </c>
      <c r="B165" s="299" t="s">
        <v>3513</v>
      </c>
      <c r="C165" s="299">
        <v>10</v>
      </c>
      <c r="D165" s="299">
        <f t="shared" si="7"/>
        <v>2</v>
      </c>
      <c r="E165" s="299">
        <v>28</v>
      </c>
      <c r="F165" s="430" t="s">
        <v>3497</v>
      </c>
      <c r="G165" s="300" t="str">
        <f t="shared" si="8"/>
        <v>RieslingNRW</v>
      </c>
    </row>
    <row r="166" spans="1:7" ht="12" customHeight="1">
      <c r="A166" s="298">
        <v>36220</v>
      </c>
      <c r="B166" s="299" t="s">
        <v>3513</v>
      </c>
      <c r="C166" s="299">
        <v>80</v>
      </c>
      <c r="D166" s="299">
        <f t="shared" si="7"/>
        <v>3</v>
      </c>
      <c r="E166" s="299">
        <v>28</v>
      </c>
      <c r="F166" s="430" t="s">
        <v>3497</v>
      </c>
      <c r="G166" s="300" t="str">
        <f t="shared" si="8"/>
        <v>RieslingNRW</v>
      </c>
    </row>
    <row r="167" spans="1:7" ht="12" customHeight="1">
      <c r="A167" s="298">
        <v>36240</v>
      </c>
      <c r="B167" s="299" t="s">
        <v>3513</v>
      </c>
      <c r="C167" s="299">
        <v>150</v>
      </c>
      <c r="D167" s="299">
        <f t="shared" si="7"/>
        <v>3</v>
      </c>
      <c r="E167" s="299">
        <v>28</v>
      </c>
      <c r="F167" s="430" t="s">
        <v>3497</v>
      </c>
      <c r="G167" s="300" t="str">
        <f t="shared" si="8"/>
        <v>RieslingNRW</v>
      </c>
    </row>
    <row r="168" spans="1:7" ht="12" customHeight="1">
      <c r="A168" s="298">
        <v>36292</v>
      </c>
      <c r="B168" s="299" t="s">
        <v>3513</v>
      </c>
      <c r="C168" s="299">
        <v>110</v>
      </c>
      <c r="D168" s="299">
        <f t="shared" si="7"/>
        <v>5</v>
      </c>
      <c r="E168" s="299">
        <v>28</v>
      </c>
      <c r="F168" s="430" t="s">
        <v>3497</v>
      </c>
      <c r="G168" s="300" t="str">
        <f t="shared" si="8"/>
        <v>RieslingNRW</v>
      </c>
    </row>
    <row r="169" spans="1:7" ht="12" customHeight="1">
      <c r="A169" s="298">
        <v>36322</v>
      </c>
      <c r="B169" s="299" t="s">
        <v>3513</v>
      </c>
      <c r="C169" s="299">
        <v>80</v>
      </c>
      <c r="D169" s="299">
        <f t="shared" si="7"/>
        <v>6</v>
      </c>
      <c r="E169" s="299">
        <v>23</v>
      </c>
      <c r="F169" s="430" t="s">
        <v>3497</v>
      </c>
      <c r="G169" s="300" t="str">
        <f t="shared" si="8"/>
        <v>RieslingNRW</v>
      </c>
    </row>
    <row r="170" spans="1:7" ht="12" customHeight="1">
      <c r="A170" s="298">
        <v>36355</v>
      </c>
      <c r="B170" s="299" t="s">
        <v>3513</v>
      </c>
      <c r="C170" s="299">
        <v>50</v>
      </c>
      <c r="D170" s="299">
        <f t="shared" si="7"/>
        <v>7</v>
      </c>
      <c r="E170" s="299">
        <v>34</v>
      </c>
      <c r="F170" s="430" t="s">
        <v>3497</v>
      </c>
      <c r="G170" s="300" t="str">
        <f t="shared" si="8"/>
        <v>RieslingNRW</v>
      </c>
    </row>
    <row r="171" spans="1:7" ht="12" customHeight="1">
      <c r="A171" s="298">
        <v>36358</v>
      </c>
      <c r="B171" s="299" t="s">
        <v>3513</v>
      </c>
      <c r="C171" s="299">
        <v>10</v>
      </c>
      <c r="D171" s="299">
        <f t="shared" si="7"/>
        <v>7</v>
      </c>
      <c r="E171" s="299">
        <v>23</v>
      </c>
      <c r="F171" s="430" t="s">
        <v>3497</v>
      </c>
      <c r="G171" s="300" t="str">
        <f t="shared" si="8"/>
        <v>RieslingNRW</v>
      </c>
    </row>
    <row r="172" spans="1:7" ht="12" customHeight="1">
      <c r="A172" s="298">
        <v>36379</v>
      </c>
      <c r="B172" s="299" t="s">
        <v>3513</v>
      </c>
      <c r="C172" s="299">
        <v>10</v>
      </c>
      <c r="D172" s="299">
        <f t="shared" si="7"/>
        <v>8</v>
      </c>
      <c r="E172" s="299">
        <v>35</v>
      </c>
      <c r="F172" s="430" t="s">
        <v>3497</v>
      </c>
      <c r="G172" s="300" t="str">
        <f t="shared" si="8"/>
        <v>RieslingNRW</v>
      </c>
    </row>
    <row r="173" spans="1:7" ht="12" customHeight="1">
      <c r="A173" s="298">
        <v>36380</v>
      </c>
      <c r="B173" s="299" t="s">
        <v>3513</v>
      </c>
      <c r="C173" s="299">
        <v>80</v>
      </c>
      <c r="D173" s="299">
        <f t="shared" si="7"/>
        <v>8</v>
      </c>
      <c r="E173" s="299">
        <v>34</v>
      </c>
      <c r="F173" s="430" t="s">
        <v>3497</v>
      </c>
      <c r="G173" s="300" t="str">
        <f t="shared" si="8"/>
        <v>RieslingNRW</v>
      </c>
    </row>
    <row r="174" spans="1:7" ht="12" customHeight="1">
      <c r="A174" s="298">
        <v>36392</v>
      </c>
      <c r="B174" s="299" t="s">
        <v>3513</v>
      </c>
      <c r="C174" s="299">
        <v>120</v>
      </c>
      <c r="D174" s="299">
        <f t="shared" si="7"/>
        <v>8</v>
      </c>
      <c r="E174" s="299">
        <v>35</v>
      </c>
      <c r="F174" s="430" t="s">
        <v>3497</v>
      </c>
      <c r="G174" s="300" t="str">
        <f t="shared" si="8"/>
        <v>RieslingNRW</v>
      </c>
    </row>
    <row r="175" spans="1:7" ht="12" customHeight="1">
      <c r="A175" s="298">
        <v>36394</v>
      </c>
      <c r="B175" s="299" t="s">
        <v>3513</v>
      </c>
      <c r="C175" s="299">
        <v>80</v>
      </c>
      <c r="D175" s="299">
        <f t="shared" si="7"/>
        <v>8</v>
      </c>
      <c r="E175" s="299">
        <v>28</v>
      </c>
      <c r="F175" s="430" t="s">
        <v>3497</v>
      </c>
      <c r="G175" s="300" t="str">
        <f t="shared" si="8"/>
        <v>RieslingNRW</v>
      </c>
    </row>
    <row r="176" spans="1:7" ht="12" customHeight="1">
      <c r="A176" s="298">
        <v>36410</v>
      </c>
      <c r="B176" s="299" t="s">
        <v>3513</v>
      </c>
      <c r="C176" s="299">
        <v>210</v>
      </c>
      <c r="D176" s="299">
        <f t="shared" si="7"/>
        <v>9</v>
      </c>
      <c r="E176" s="299">
        <v>28</v>
      </c>
      <c r="F176" s="430" t="s">
        <v>3497</v>
      </c>
      <c r="G176" s="300" t="str">
        <f t="shared" si="8"/>
        <v>RieslingNRW</v>
      </c>
    </row>
    <row r="177" spans="1:7" ht="12" customHeight="1">
      <c r="A177" s="298">
        <v>36430</v>
      </c>
      <c r="B177" s="299" t="s">
        <v>3513</v>
      </c>
      <c r="C177" s="299">
        <v>20</v>
      </c>
      <c r="D177" s="299">
        <f t="shared" si="7"/>
        <v>9</v>
      </c>
      <c r="E177" s="299">
        <v>35</v>
      </c>
      <c r="F177" s="430" t="s">
        <v>3497</v>
      </c>
      <c r="G177" s="300" t="str">
        <f t="shared" si="8"/>
        <v>RieslingNRW</v>
      </c>
    </row>
    <row r="178" spans="1:7" ht="12" customHeight="1">
      <c r="A178" s="298">
        <v>36475</v>
      </c>
      <c r="B178" s="299" t="s">
        <v>3513</v>
      </c>
      <c r="C178" s="299">
        <v>120</v>
      </c>
      <c r="D178" s="299">
        <f t="shared" si="7"/>
        <v>11</v>
      </c>
      <c r="E178" s="299">
        <v>35</v>
      </c>
      <c r="F178" s="430" t="s">
        <v>3497</v>
      </c>
      <c r="G178" s="300" t="str">
        <f t="shared" si="8"/>
        <v>RieslingNRW</v>
      </c>
    </row>
    <row r="179" spans="1:7" ht="12" customHeight="1">
      <c r="A179" s="298">
        <v>36498</v>
      </c>
      <c r="B179" s="299" t="s">
        <v>3513</v>
      </c>
      <c r="C179" s="299">
        <v>20</v>
      </c>
      <c r="D179" s="299">
        <f t="shared" si="7"/>
        <v>12</v>
      </c>
      <c r="E179" s="299">
        <v>34</v>
      </c>
      <c r="F179" s="430" t="s">
        <v>3497</v>
      </c>
      <c r="G179" s="300" t="str">
        <f t="shared" si="8"/>
        <v>RieslingNRW</v>
      </c>
    </row>
    <row r="180" spans="1:7" ht="12" customHeight="1">
      <c r="A180" s="298">
        <v>36269</v>
      </c>
      <c r="B180" s="299" t="s">
        <v>3513</v>
      </c>
      <c r="C180" s="299">
        <v>50</v>
      </c>
      <c r="D180" s="299">
        <f t="shared" si="7"/>
        <v>4</v>
      </c>
      <c r="E180" s="299">
        <v>34</v>
      </c>
      <c r="F180" s="430" t="s">
        <v>3500</v>
      </c>
      <c r="G180" s="300" t="str">
        <f t="shared" si="8"/>
        <v>RieslingSaarland</v>
      </c>
    </row>
    <row r="181" spans="1:7" ht="12" customHeight="1">
      <c r="A181" s="298">
        <v>36276</v>
      </c>
      <c r="B181" s="299" t="s">
        <v>3513</v>
      </c>
      <c r="C181" s="299">
        <v>150</v>
      </c>
      <c r="D181" s="299">
        <f t="shared" si="7"/>
        <v>4</v>
      </c>
      <c r="E181" s="299">
        <v>34</v>
      </c>
      <c r="F181" s="430" t="s">
        <v>3500</v>
      </c>
      <c r="G181" s="300" t="str">
        <f t="shared" si="8"/>
        <v>RieslingSaarland</v>
      </c>
    </row>
    <row r="182" spans="1:7" ht="12" customHeight="1">
      <c r="A182" s="298">
        <v>36283</v>
      </c>
      <c r="B182" s="299" t="s">
        <v>3513</v>
      </c>
      <c r="C182" s="299">
        <v>110</v>
      </c>
      <c r="D182" s="299">
        <f t="shared" si="7"/>
        <v>5</v>
      </c>
      <c r="E182" s="299">
        <v>30</v>
      </c>
      <c r="F182" s="430" t="s">
        <v>3500</v>
      </c>
      <c r="G182" s="300" t="str">
        <f t="shared" si="8"/>
        <v>RieslingSaarland</v>
      </c>
    </row>
    <row r="183" spans="1:7" ht="12" customHeight="1">
      <c r="A183" s="298">
        <v>36309</v>
      </c>
      <c r="B183" s="299" t="s">
        <v>3513</v>
      </c>
      <c r="C183" s="299">
        <v>30</v>
      </c>
      <c r="D183" s="299">
        <f t="shared" si="7"/>
        <v>5</v>
      </c>
      <c r="E183" s="299">
        <v>30</v>
      </c>
      <c r="F183" s="430" t="s">
        <v>3500</v>
      </c>
      <c r="G183" s="300" t="str">
        <f t="shared" si="8"/>
        <v>RieslingSaarland</v>
      </c>
    </row>
    <row r="184" spans="1:7" ht="12" customHeight="1">
      <c r="A184" s="298">
        <v>36321</v>
      </c>
      <c r="B184" s="299" t="s">
        <v>3513</v>
      </c>
      <c r="C184" s="299">
        <v>150</v>
      </c>
      <c r="D184" s="299">
        <f t="shared" si="7"/>
        <v>6</v>
      </c>
      <c r="E184" s="299">
        <v>34</v>
      </c>
      <c r="F184" s="430" t="s">
        <v>3500</v>
      </c>
      <c r="G184" s="300" t="str">
        <f t="shared" si="8"/>
        <v>RieslingSaarland</v>
      </c>
    </row>
    <row r="185" spans="1:7" ht="12" customHeight="1">
      <c r="A185" s="298">
        <v>36339</v>
      </c>
      <c r="B185" s="299" t="s">
        <v>3513</v>
      </c>
      <c r="C185" s="299">
        <v>210</v>
      </c>
      <c r="D185" s="299">
        <f t="shared" si="7"/>
        <v>6</v>
      </c>
      <c r="E185" s="299">
        <v>34</v>
      </c>
      <c r="F185" s="430" t="s">
        <v>3500</v>
      </c>
      <c r="G185" s="300" t="str">
        <f t="shared" si="8"/>
        <v>RieslingSaarland</v>
      </c>
    </row>
    <row r="186" spans="1:7" ht="12" customHeight="1">
      <c r="A186" s="298">
        <v>36346</v>
      </c>
      <c r="B186" s="299" t="s">
        <v>3513</v>
      </c>
      <c r="C186" s="299">
        <v>10</v>
      </c>
      <c r="D186" s="299">
        <f t="shared" si="7"/>
        <v>7</v>
      </c>
      <c r="E186" s="299">
        <v>34</v>
      </c>
      <c r="F186" s="430" t="s">
        <v>3500</v>
      </c>
      <c r="G186" s="300" t="str">
        <f t="shared" si="8"/>
        <v>RieslingSaarland</v>
      </c>
    </row>
    <row r="187" spans="1:7" ht="12" customHeight="1">
      <c r="A187" s="298">
        <v>36351</v>
      </c>
      <c r="B187" s="299" t="s">
        <v>3513</v>
      </c>
      <c r="C187" s="299">
        <v>150</v>
      </c>
      <c r="D187" s="299">
        <f t="shared" si="7"/>
        <v>7</v>
      </c>
      <c r="E187" s="299">
        <v>34</v>
      </c>
      <c r="F187" s="430" t="s">
        <v>3500</v>
      </c>
      <c r="G187" s="300" t="str">
        <f t="shared" si="8"/>
        <v>RieslingSaarland</v>
      </c>
    </row>
    <row r="188" spans="1:7" ht="12" customHeight="1">
      <c r="A188" s="298">
        <v>36382</v>
      </c>
      <c r="B188" s="299" t="s">
        <v>3513</v>
      </c>
      <c r="C188" s="299">
        <v>240</v>
      </c>
      <c r="D188" s="299">
        <f t="shared" si="7"/>
        <v>8</v>
      </c>
      <c r="E188" s="299">
        <v>34</v>
      </c>
      <c r="F188" s="430" t="s">
        <v>3500</v>
      </c>
      <c r="G188" s="300" t="str">
        <f t="shared" si="8"/>
        <v>RieslingSaarland</v>
      </c>
    </row>
    <row r="189" spans="1:7" ht="12" customHeight="1">
      <c r="A189" s="298">
        <v>36409</v>
      </c>
      <c r="B189" s="299" t="s">
        <v>3513</v>
      </c>
      <c r="C189" s="299">
        <v>180</v>
      </c>
      <c r="D189" s="299">
        <f t="shared" si="7"/>
        <v>9</v>
      </c>
      <c r="E189" s="299">
        <v>34</v>
      </c>
      <c r="F189" s="430" t="s">
        <v>3500</v>
      </c>
      <c r="G189" s="300" t="str">
        <f t="shared" si="8"/>
        <v>RieslingSaarland</v>
      </c>
    </row>
    <row r="190" spans="1:7" ht="12" customHeight="1">
      <c r="A190" s="298">
        <v>36452</v>
      </c>
      <c r="B190" s="299" t="s">
        <v>3513</v>
      </c>
      <c r="C190" s="299">
        <v>80</v>
      </c>
      <c r="D190" s="299">
        <f t="shared" si="7"/>
        <v>10</v>
      </c>
      <c r="E190" s="299">
        <v>34</v>
      </c>
      <c r="F190" s="430" t="s">
        <v>3500</v>
      </c>
      <c r="G190" s="300" t="str">
        <f t="shared" si="8"/>
        <v>RieslingSaarland</v>
      </c>
    </row>
    <row r="191" spans="1:7" ht="12" customHeight="1">
      <c r="A191" s="298">
        <v>36467</v>
      </c>
      <c r="B191" s="299" t="s">
        <v>3513</v>
      </c>
      <c r="C191" s="299">
        <v>90</v>
      </c>
      <c r="D191" s="299">
        <f t="shared" si="7"/>
        <v>11</v>
      </c>
      <c r="E191" s="299">
        <v>34</v>
      </c>
      <c r="F191" s="430" t="s">
        <v>3500</v>
      </c>
      <c r="G191" s="300" t="str">
        <f t="shared" si="8"/>
        <v>RieslingSaarland</v>
      </c>
    </row>
    <row r="192" spans="1:7" ht="12" customHeight="1">
      <c r="A192" s="298">
        <v>36470</v>
      </c>
      <c r="B192" s="299" t="s">
        <v>3513</v>
      </c>
      <c r="C192" s="299">
        <v>60</v>
      </c>
      <c r="D192" s="299">
        <f t="shared" si="7"/>
        <v>11</v>
      </c>
      <c r="E192" s="299">
        <v>34</v>
      </c>
      <c r="F192" s="430" t="s">
        <v>3500</v>
      </c>
      <c r="G192" s="300" t="str">
        <f t="shared" si="8"/>
        <v>RieslingSaarland</v>
      </c>
    </row>
    <row r="193" spans="1:7" ht="12" customHeight="1">
      <c r="A193" s="298">
        <v>36483</v>
      </c>
      <c r="B193" s="299" t="s">
        <v>3513</v>
      </c>
      <c r="C193" s="299">
        <v>120</v>
      </c>
      <c r="D193" s="299">
        <f t="shared" si="7"/>
        <v>11</v>
      </c>
      <c r="E193" s="299">
        <v>34</v>
      </c>
      <c r="F193" s="430" t="s">
        <v>3500</v>
      </c>
      <c r="G193" s="300" t="str">
        <f t="shared" si="8"/>
        <v>RieslingSaarland</v>
      </c>
    </row>
    <row r="194" spans="1:7" ht="12" customHeight="1">
      <c r="A194" s="298">
        <v>36491</v>
      </c>
      <c r="B194" s="299" t="s">
        <v>3513</v>
      </c>
      <c r="C194" s="299">
        <v>60</v>
      </c>
      <c r="D194" s="299">
        <f t="shared" si="7"/>
        <v>11</v>
      </c>
      <c r="E194" s="299">
        <v>34</v>
      </c>
      <c r="F194" s="430" t="s">
        <v>3500</v>
      </c>
      <c r="G194" s="300" t="str">
        <f t="shared" si="8"/>
        <v>RieslingSaarland</v>
      </c>
    </row>
    <row r="195" spans="1:7" ht="12" customHeight="1">
      <c r="A195" s="298">
        <v>36499</v>
      </c>
      <c r="B195" s="299" t="s">
        <v>3513</v>
      </c>
      <c r="C195" s="299">
        <v>90</v>
      </c>
      <c r="D195" s="299">
        <f t="shared" si="7"/>
        <v>12</v>
      </c>
      <c r="E195" s="299">
        <v>34</v>
      </c>
      <c r="F195" s="430" t="s">
        <v>3500</v>
      </c>
      <c r="G195" s="300" t="str">
        <f t="shared" si="8"/>
        <v>RieslingSaarland</v>
      </c>
    </row>
    <row r="196" spans="1:7" ht="12" customHeight="1">
      <c r="A196" s="298">
        <v>36203</v>
      </c>
      <c r="B196" s="299" t="s">
        <v>3514</v>
      </c>
      <c r="C196" s="299">
        <v>100</v>
      </c>
      <c r="D196" s="299">
        <f t="shared" si="7"/>
        <v>2</v>
      </c>
      <c r="E196" s="299">
        <v>31</v>
      </c>
      <c r="F196" s="430" t="s">
        <v>3502</v>
      </c>
      <c r="G196" s="300" t="str">
        <f t="shared" si="8"/>
        <v>RiojaHessen</v>
      </c>
    </row>
    <row r="197" spans="1:7" ht="12" customHeight="1">
      <c r="A197" s="298">
        <v>36245</v>
      </c>
      <c r="B197" s="299" t="s">
        <v>3514</v>
      </c>
      <c r="C197" s="299">
        <v>90</v>
      </c>
      <c r="D197" s="299">
        <f t="shared" si="7"/>
        <v>3</v>
      </c>
      <c r="E197" s="299">
        <v>34</v>
      </c>
      <c r="F197" s="430" t="s">
        <v>3502</v>
      </c>
      <c r="G197" s="300" t="str">
        <f t="shared" si="8"/>
        <v>RiojaHessen</v>
      </c>
    </row>
    <row r="198" spans="1:7" ht="12" customHeight="1">
      <c r="A198" s="298">
        <v>36299</v>
      </c>
      <c r="B198" s="299" t="s">
        <v>3514</v>
      </c>
      <c r="C198" s="299">
        <v>30</v>
      </c>
      <c r="D198" s="299">
        <f t="shared" ref="D198:D261" si="9">MONTH(A198)</f>
        <v>5</v>
      </c>
      <c r="E198" s="299">
        <v>34</v>
      </c>
      <c r="F198" s="430" t="s">
        <v>3502</v>
      </c>
      <c r="G198" s="300" t="str">
        <f t="shared" ref="G198:G261" si="10">B198&amp;F198</f>
        <v>RiojaHessen</v>
      </c>
    </row>
    <row r="199" spans="1:7" ht="12" customHeight="1">
      <c r="A199" s="298">
        <v>36346</v>
      </c>
      <c r="B199" s="299" t="s">
        <v>3514</v>
      </c>
      <c r="C199" s="299">
        <v>100</v>
      </c>
      <c r="D199" s="299">
        <f t="shared" si="9"/>
        <v>7</v>
      </c>
      <c r="E199" s="299">
        <v>31</v>
      </c>
      <c r="F199" s="430" t="s">
        <v>3502</v>
      </c>
      <c r="G199" s="300" t="str">
        <f t="shared" si="10"/>
        <v>RiojaHessen</v>
      </c>
    </row>
    <row r="200" spans="1:7" ht="12" customHeight="1">
      <c r="A200" s="298">
        <v>36352</v>
      </c>
      <c r="B200" s="299" t="s">
        <v>3514</v>
      </c>
      <c r="C200" s="299">
        <v>70</v>
      </c>
      <c r="D200" s="299">
        <f t="shared" si="9"/>
        <v>7</v>
      </c>
      <c r="E200" s="299">
        <v>31</v>
      </c>
      <c r="F200" s="430" t="s">
        <v>3502</v>
      </c>
      <c r="G200" s="300" t="str">
        <f t="shared" si="10"/>
        <v>RiojaHessen</v>
      </c>
    </row>
    <row r="201" spans="1:7" ht="12" customHeight="1">
      <c r="A201" s="298">
        <v>36359</v>
      </c>
      <c r="B201" s="299" t="s">
        <v>3514</v>
      </c>
      <c r="C201" s="299">
        <v>240</v>
      </c>
      <c r="D201" s="299">
        <f t="shared" si="9"/>
        <v>7</v>
      </c>
      <c r="E201" s="299">
        <v>31</v>
      </c>
      <c r="F201" s="430" t="s">
        <v>3502</v>
      </c>
      <c r="G201" s="300" t="str">
        <f t="shared" si="10"/>
        <v>RiojaHessen</v>
      </c>
    </row>
    <row r="202" spans="1:7" ht="12" customHeight="1">
      <c r="A202" s="298">
        <v>36412</v>
      </c>
      <c r="B202" s="299" t="s">
        <v>3514</v>
      </c>
      <c r="C202" s="299">
        <v>100</v>
      </c>
      <c r="D202" s="299">
        <f t="shared" si="9"/>
        <v>9</v>
      </c>
      <c r="E202" s="299">
        <v>34</v>
      </c>
      <c r="F202" s="430" t="s">
        <v>3502</v>
      </c>
      <c r="G202" s="300" t="str">
        <f t="shared" si="10"/>
        <v>RiojaHessen</v>
      </c>
    </row>
    <row r="203" spans="1:7" ht="12" customHeight="1">
      <c r="A203" s="298">
        <v>36433</v>
      </c>
      <c r="B203" s="299" t="s">
        <v>3514</v>
      </c>
      <c r="C203" s="299">
        <v>120</v>
      </c>
      <c r="D203" s="299">
        <f t="shared" si="9"/>
        <v>9</v>
      </c>
      <c r="E203" s="299">
        <v>34</v>
      </c>
      <c r="F203" s="430" t="s">
        <v>3502</v>
      </c>
      <c r="G203" s="300" t="str">
        <f t="shared" si="10"/>
        <v>RiojaHessen</v>
      </c>
    </row>
    <row r="204" spans="1:7" ht="12" customHeight="1">
      <c r="A204" s="298">
        <v>36205</v>
      </c>
      <c r="B204" s="299" t="s">
        <v>3514</v>
      </c>
      <c r="C204" s="299">
        <v>120</v>
      </c>
      <c r="D204" s="299">
        <f t="shared" si="9"/>
        <v>2</v>
      </c>
      <c r="E204" s="299">
        <v>34</v>
      </c>
      <c r="F204" s="430" t="s">
        <v>3497</v>
      </c>
      <c r="G204" s="300" t="str">
        <f t="shared" si="10"/>
        <v>RiojaNRW</v>
      </c>
    </row>
    <row r="205" spans="1:7" ht="12" customHeight="1">
      <c r="A205" s="298">
        <v>36211</v>
      </c>
      <c r="B205" s="299" t="s">
        <v>3514</v>
      </c>
      <c r="C205" s="299">
        <v>90</v>
      </c>
      <c r="D205" s="299">
        <f t="shared" si="9"/>
        <v>2</v>
      </c>
      <c r="E205" s="299">
        <v>34</v>
      </c>
      <c r="F205" s="430" t="s">
        <v>3497</v>
      </c>
      <c r="G205" s="300" t="str">
        <f t="shared" si="10"/>
        <v>RiojaNRW</v>
      </c>
    </row>
    <row r="206" spans="1:7" ht="12" customHeight="1">
      <c r="A206" s="298">
        <v>36305</v>
      </c>
      <c r="B206" s="299" t="s">
        <v>3514</v>
      </c>
      <c r="C206" s="299">
        <v>150</v>
      </c>
      <c r="D206" s="299">
        <f t="shared" si="9"/>
        <v>5</v>
      </c>
      <c r="E206" s="299">
        <v>34</v>
      </c>
      <c r="F206" s="430" t="s">
        <v>3497</v>
      </c>
      <c r="G206" s="300" t="str">
        <f t="shared" si="10"/>
        <v>RiojaNRW</v>
      </c>
    </row>
    <row r="207" spans="1:7" ht="12" customHeight="1">
      <c r="A207" s="298">
        <v>36361</v>
      </c>
      <c r="B207" s="299" t="s">
        <v>3514</v>
      </c>
      <c r="C207" s="299">
        <v>150</v>
      </c>
      <c r="D207" s="299">
        <f t="shared" si="9"/>
        <v>7</v>
      </c>
      <c r="E207" s="299">
        <v>35</v>
      </c>
      <c r="F207" s="430" t="s">
        <v>3497</v>
      </c>
      <c r="G207" s="300" t="str">
        <f t="shared" si="10"/>
        <v>RiojaNRW</v>
      </c>
    </row>
    <row r="208" spans="1:7" ht="12" customHeight="1">
      <c r="A208" s="298">
        <v>36376</v>
      </c>
      <c r="B208" s="299" t="s">
        <v>3514</v>
      </c>
      <c r="C208" s="299">
        <v>210</v>
      </c>
      <c r="D208" s="299">
        <f t="shared" si="9"/>
        <v>8</v>
      </c>
      <c r="E208" s="299">
        <v>23</v>
      </c>
      <c r="F208" s="430" t="s">
        <v>3497</v>
      </c>
      <c r="G208" s="300" t="str">
        <f t="shared" si="10"/>
        <v>RiojaNRW</v>
      </c>
    </row>
    <row r="209" spans="1:7" ht="12" customHeight="1">
      <c r="A209" s="298">
        <v>36391</v>
      </c>
      <c r="B209" s="299" t="s">
        <v>3514</v>
      </c>
      <c r="C209" s="299">
        <v>90</v>
      </c>
      <c r="D209" s="299">
        <f t="shared" si="9"/>
        <v>8</v>
      </c>
      <c r="E209" s="299">
        <v>23</v>
      </c>
      <c r="F209" s="430" t="s">
        <v>3497</v>
      </c>
      <c r="G209" s="300" t="str">
        <f t="shared" si="10"/>
        <v>RiojaNRW</v>
      </c>
    </row>
    <row r="210" spans="1:7" ht="12" customHeight="1">
      <c r="A210" s="298">
        <v>36398</v>
      </c>
      <c r="B210" s="299" t="s">
        <v>3514</v>
      </c>
      <c r="C210" s="299">
        <v>210</v>
      </c>
      <c r="D210" s="299">
        <f t="shared" si="9"/>
        <v>8</v>
      </c>
      <c r="E210" s="299">
        <v>23</v>
      </c>
      <c r="F210" s="430" t="s">
        <v>3497</v>
      </c>
      <c r="G210" s="300" t="str">
        <f t="shared" si="10"/>
        <v>RiojaNRW</v>
      </c>
    </row>
    <row r="211" spans="1:7" ht="12" customHeight="1">
      <c r="A211" s="298">
        <v>36400</v>
      </c>
      <c r="B211" s="299" t="s">
        <v>3514</v>
      </c>
      <c r="C211" s="299">
        <v>80</v>
      </c>
      <c r="D211" s="299">
        <f t="shared" si="9"/>
        <v>8</v>
      </c>
      <c r="E211" s="299">
        <v>35</v>
      </c>
      <c r="F211" s="430" t="s">
        <v>3497</v>
      </c>
      <c r="G211" s="300" t="str">
        <f t="shared" si="10"/>
        <v>RiojaNRW</v>
      </c>
    </row>
    <row r="212" spans="1:7" ht="12" customHeight="1">
      <c r="A212" s="298">
        <v>36400</v>
      </c>
      <c r="B212" s="299" t="s">
        <v>3514</v>
      </c>
      <c r="C212" s="299">
        <v>10</v>
      </c>
      <c r="D212" s="299">
        <f t="shared" si="9"/>
        <v>8</v>
      </c>
      <c r="E212" s="299">
        <v>35</v>
      </c>
      <c r="F212" s="430" t="s">
        <v>3497</v>
      </c>
      <c r="G212" s="300" t="str">
        <f t="shared" si="10"/>
        <v>RiojaNRW</v>
      </c>
    </row>
    <row r="213" spans="1:7" ht="12" customHeight="1">
      <c r="A213" s="298">
        <v>36411</v>
      </c>
      <c r="B213" s="299" t="s">
        <v>3514</v>
      </c>
      <c r="C213" s="299">
        <v>90</v>
      </c>
      <c r="D213" s="299">
        <f t="shared" si="9"/>
        <v>9</v>
      </c>
      <c r="E213" s="299">
        <v>35</v>
      </c>
      <c r="F213" s="430" t="s">
        <v>3497</v>
      </c>
      <c r="G213" s="300" t="str">
        <f t="shared" si="10"/>
        <v>RiojaNRW</v>
      </c>
    </row>
    <row r="214" spans="1:7" ht="12" customHeight="1">
      <c r="A214" s="298">
        <v>36383</v>
      </c>
      <c r="B214" s="299" t="s">
        <v>3515</v>
      </c>
      <c r="C214" s="299">
        <v>90</v>
      </c>
      <c r="D214" s="299">
        <f t="shared" si="9"/>
        <v>8</v>
      </c>
      <c r="E214" s="299">
        <v>35</v>
      </c>
      <c r="F214" s="430" t="s">
        <v>3501</v>
      </c>
      <c r="G214" s="300" t="str">
        <f t="shared" si="10"/>
        <v>SoaveBW</v>
      </c>
    </row>
    <row r="215" spans="1:7" ht="12" customHeight="1">
      <c r="A215" s="298">
        <v>36400</v>
      </c>
      <c r="B215" s="299" t="s">
        <v>3515</v>
      </c>
      <c r="C215" s="299">
        <v>110</v>
      </c>
      <c r="D215" s="299">
        <f t="shared" si="9"/>
        <v>8</v>
      </c>
      <c r="E215" s="299">
        <v>35</v>
      </c>
      <c r="F215" s="430" t="s">
        <v>3501</v>
      </c>
      <c r="G215" s="300" t="str">
        <f t="shared" si="10"/>
        <v>SoaveBW</v>
      </c>
    </row>
    <row r="216" spans="1:7" ht="12" customHeight="1">
      <c r="A216" s="298">
        <v>36164</v>
      </c>
      <c r="B216" s="299" t="s">
        <v>3515</v>
      </c>
      <c r="C216" s="299">
        <v>90</v>
      </c>
      <c r="D216" s="299">
        <f t="shared" si="9"/>
        <v>1</v>
      </c>
      <c r="E216" s="299">
        <v>34</v>
      </c>
      <c r="F216" s="430" t="s">
        <v>3502</v>
      </c>
      <c r="G216" s="300" t="str">
        <f t="shared" si="10"/>
        <v>SoaveHessen</v>
      </c>
    </row>
    <row r="217" spans="1:7" ht="12" customHeight="1">
      <c r="A217" s="298">
        <v>36505</v>
      </c>
      <c r="B217" s="299" t="s">
        <v>3515</v>
      </c>
      <c r="C217" s="299">
        <v>90</v>
      </c>
      <c r="D217" s="299">
        <f t="shared" si="9"/>
        <v>12</v>
      </c>
      <c r="E217" s="299">
        <v>23</v>
      </c>
      <c r="F217" s="430" t="s">
        <v>3497</v>
      </c>
      <c r="G217" s="300" t="str">
        <f t="shared" si="10"/>
        <v>SoaveNRW</v>
      </c>
    </row>
    <row r="218" spans="1:7" ht="12" customHeight="1">
      <c r="A218" s="298">
        <v>36193</v>
      </c>
      <c r="B218" s="299" t="s">
        <v>3496</v>
      </c>
      <c r="C218" s="299">
        <v>80</v>
      </c>
      <c r="D218" s="299">
        <f t="shared" si="9"/>
        <v>2</v>
      </c>
      <c r="E218" s="299">
        <v>37</v>
      </c>
      <c r="F218" s="430" t="s">
        <v>3504</v>
      </c>
      <c r="G218" s="300" t="str">
        <f t="shared" si="10"/>
        <v>BordeauxBayern</v>
      </c>
    </row>
    <row r="219" spans="1:7" ht="12" customHeight="1">
      <c r="A219" s="298">
        <v>36198</v>
      </c>
      <c r="B219" s="299" t="s">
        <v>3496</v>
      </c>
      <c r="C219" s="299">
        <v>80</v>
      </c>
      <c r="D219" s="299">
        <f t="shared" si="9"/>
        <v>2</v>
      </c>
      <c r="E219" s="299">
        <v>37</v>
      </c>
      <c r="F219" s="430" t="s">
        <v>3504</v>
      </c>
      <c r="G219" s="300" t="str">
        <f t="shared" si="10"/>
        <v>BordeauxBayern</v>
      </c>
    </row>
    <row r="220" spans="1:7" ht="12" customHeight="1">
      <c r="A220" s="298">
        <v>36340</v>
      </c>
      <c r="B220" s="299" t="s">
        <v>3496</v>
      </c>
      <c r="C220" s="299">
        <v>90</v>
      </c>
      <c r="D220" s="299">
        <f t="shared" si="9"/>
        <v>6</v>
      </c>
      <c r="E220" s="299">
        <v>38</v>
      </c>
      <c r="F220" s="430" t="s">
        <v>3504</v>
      </c>
      <c r="G220" s="300" t="str">
        <f t="shared" si="10"/>
        <v>BordeauxBayern</v>
      </c>
    </row>
    <row r="221" spans="1:7" ht="12" customHeight="1">
      <c r="A221" s="298">
        <v>36436</v>
      </c>
      <c r="B221" s="299" t="s">
        <v>3496</v>
      </c>
      <c r="C221" s="299">
        <v>60</v>
      </c>
      <c r="D221" s="299">
        <f t="shared" si="9"/>
        <v>10</v>
      </c>
      <c r="E221" s="299">
        <v>37</v>
      </c>
      <c r="F221" s="430" t="s">
        <v>3504</v>
      </c>
      <c r="G221" s="300" t="str">
        <f t="shared" si="10"/>
        <v>BordeauxBayern</v>
      </c>
    </row>
    <row r="222" spans="1:7" ht="12" customHeight="1">
      <c r="A222" s="298">
        <v>36437</v>
      </c>
      <c r="B222" s="299" t="s">
        <v>3496</v>
      </c>
      <c r="C222" s="299">
        <v>40</v>
      </c>
      <c r="D222" s="299">
        <f t="shared" si="9"/>
        <v>10</v>
      </c>
      <c r="E222" s="299">
        <v>41</v>
      </c>
      <c r="F222" s="430" t="s">
        <v>3504</v>
      </c>
      <c r="G222" s="300" t="str">
        <f t="shared" si="10"/>
        <v>BordeauxBayern</v>
      </c>
    </row>
    <row r="223" spans="1:7" ht="12" customHeight="1">
      <c r="A223" s="298">
        <v>36498</v>
      </c>
      <c r="B223" s="299" t="s">
        <v>3496</v>
      </c>
      <c r="C223" s="299">
        <v>40</v>
      </c>
      <c r="D223" s="299">
        <f t="shared" si="9"/>
        <v>12</v>
      </c>
      <c r="E223" s="299">
        <v>38</v>
      </c>
      <c r="F223" s="430" t="s">
        <v>3504</v>
      </c>
      <c r="G223" s="300" t="str">
        <f t="shared" si="10"/>
        <v>BordeauxBayern</v>
      </c>
    </row>
    <row r="224" spans="1:7" ht="12" customHeight="1">
      <c r="A224" s="298">
        <v>36524</v>
      </c>
      <c r="B224" s="299" t="s">
        <v>3496</v>
      </c>
      <c r="C224" s="299">
        <v>240</v>
      </c>
      <c r="D224" s="299">
        <f t="shared" si="9"/>
        <v>12</v>
      </c>
      <c r="E224" s="299">
        <v>38</v>
      </c>
      <c r="F224" s="430" t="s">
        <v>3504</v>
      </c>
      <c r="G224" s="300" t="str">
        <f t="shared" si="10"/>
        <v>BordeauxBayern</v>
      </c>
    </row>
    <row r="225" spans="1:7" ht="12" customHeight="1">
      <c r="A225" s="298">
        <v>36211</v>
      </c>
      <c r="B225" s="299" t="s">
        <v>3496</v>
      </c>
      <c r="C225" s="299">
        <v>80</v>
      </c>
      <c r="D225" s="299">
        <f t="shared" si="9"/>
        <v>2</v>
      </c>
      <c r="E225" s="299">
        <v>39</v>
      </c>
      <c r="F225" s="430" t="s">
        <v>3502</v>
      </c>
      <c r="G225" s="300" t="str">
        <f t="shared" si="10"/>
        <v>BordeauxHessen</v>
      </c>
    </row>
    <row r="226" spans="1:7" ht="12" customHeight="1">
      <c r="A226" s="298">
        <v>36283</v>
      </c>
      <c r="B226" s="299" t="s">
        <v>3496</v>
      </c>
      <c r="C226" s="299">
        <v>240</v>
      </c>
      <c r="D226" s="299">
        <f t="shared" si="9"/>
        <v>5</v>
      </c>
      <c r="E226" s="299">
        <v>38</v>
      </c>
      <c r="F226" s="430" t="s">
        <v>3502</v>
      </c>
      <c r="G226" s="300" t="str">
        <f t="shared" si="10"/>
        <v>BordeauxHessen</v>
      </c>
    </row>
    <row r="227" spans="1:7" ht="12" customHeight="1">
      <c r="A227" s="298">
        <v>36356</v>
      </c>
      <c r="B227" s="299" t="s">
        <v>3496</v>
      </c>
      <c r="C227" s="299">
        <v>60</v>
      </c>
      <c r="D227" s="299">
        <f t="shared" si="9"/>
        <v>7</v>
      </c>
      <c r="E227" s="299">
        <v>38</v>
      </c>
      <c r="F227" s="430" t="s">
        <v>3502</v>
      </c>
      <c r="G227" s="300" t="str">
        <f t="shared" si="10"/>
        <v>BordeauxHessen</v>
      </c>
    </row>
    <row r="228" spans="1:7" ht="12" customHeight="1">
      <c r="A228" s="298">
        <v>36362</v>
      </c>
      <c r="B228" s="299" t="s">
        <v>3496</v>
      </c>
      <c r="C228" s="299">
        <v>50</v>
      </c>
      <c r="D228" s="299">
        <f t="shared" si="9"/>
        <v>7</v>
      </c>
      <c r="E228" s="299">
        <v>38</v>
      </c>
      <c r="F228" s="430" t="s">
        <v>3502</v>
      </c>
      <c r="G228" s="300" t="str">
        <f t="shared" si="10"/>
        <v>BordeauxHessen</v>
      </c>
    </row>
    <row r="229" spans="1:7" ht="12" customHeight="1">
      <c r="A229" s="298">
        <v>36365</v>
      </c>
      <c r="B229" s="299" t="s">
        <v>3496</v>
      </c>
      <c r="C229" s="299">
        <v>70</v>
      </c>
      <c r="D229" s="299">
        <f t="shared" si="9"/>
        <v>7</v>
      </c>
      <c r="E229" s="299">
        <v>38</v>
      </c>
      <c r="F229" s="430" t="s">
        <v>3502</v>
      </c>
      <c r="G229" s="300" t="str">
        <f t="shared" si="10"/>
        <v>BordeauxHessen</v>
      </c>
    </row>
    <row r="230" spans="1:7" ht="12" customHeight="1">
      <c r="A230" s="298">
        <v>36343</v>
      </c>
      <c r="B230" s="299" t="s">
        <v>3496</v>
      </c>
      <c r="C230" s="299">
        <v>210</v>
      </c>
      <c r="D230" s="299">
        <f t="shared" si="9"/>
        <v>7</v>
      </c>
      <c r="E230" s="299">
        <v>43</v>
      </c>
      <c r="F230" s="430" t="s">
        <v>3503</v>
      </c>
      <c r="G230" s="300" t="str">
        <f t="shared" si="10"/>
        <v>BordeauxHolstein</v>
      </c>
    </row>
    <row r="231" spans="1:7" ht="12" customHeight="1">
      <c r="A231" s="298">
        <v>36349</v>
      </c>
      <c r="B231" s="299" t="s">
        <v>3496</v>
      </c>
      <c r="C231" s="299">
        <v>180</v>
      </c>
      <c r="D231" s="299">
        <f t="shared" si="9"/>
        <v>7</v>
      </c>
      <c r="E231" s="299">
        <v>43</v>
      </c>
      <c r="F231" s="430" t="s">
        <v>3503</v>
      </c>
      <c r="G231" s="300" t="str">
        <f t="shared" si="10"/>
        <v>BordeauxHolstein</v>
      </c>
    </row>
    <row r="232" spans="1:7" ht="12" customHeight="1">
      <c r="A232" s="298">
        <v>36357</v>
      </c>
      <c r="B232" s="299" t="s">
        <v>3496</v>
      </c>
      <c r="C232" s="299">
        <v>150</v>
      </c>
      <c r="D232" s="299">
        <f t="shared" si="9"/>
        <v>7</v>
      </c>
      <c r="E232" s="299">
        <v>43</v>
      </c>
      <c r="F232" s="430" t="s">
        <v>3503</v>
      </c>
      <c r="G232" s="300" t="str">
        <f t="shared" si="10"/>
        <v>BordeauxHolstein</v>
      </c>
    </row>
    <row r="233" spans="1:7" ht="12" customHeight="1">
      <c r="A233" s="298">
        <v>36483</v>
      </c>
      <c r="B233" s="299" t="s">
        <v>3496</v>
      </c>
      <c r="C233" s="299">
        <v>120</v>
      </c>
      <c r="D233" s="299">
        <f t="shared" si="9"/>
        <v>11</v>
      </c>
      <c r="E233" s="299">
        <v>43</v>
      </c>
      <c r="F233" s="430" t="s">
        <v>3503</v>
      </c>
      <c r="G233" s="300" t="str">
        <f t="shared" si="10"/>
        <v>BordeauxHolstein</v>
      </c>
    </row>
    <row r="234" spans="1:7" ht="12" customHeight="1">
      <c r="A234" s="298">
        <v>36493</v>
      </c>
      <c r="B234" s="299" t="s">
        <v>3496</v>
      </c>
      <c r="C234" s="299">
        <v>30</v>
      </c>
      <c r="D234" s="299">
        <f t="shared" si="9"/>
        <v>11</v>
      </c>
      <c r="E234" s="299">
        <v>43</v>
      </c>
      <c r="F234" s="430" t="s">
        <v>3503</v>
      </c>
      <c r="G234" s="300" t="str">
        <f t="shared" si="10"/>
        <v>BordeauxHolstein</v>
      </c>
    </row>
    <row r="235" spans="1:7" ht="12" customHeight="1">
      <c r="A235" s="298">
        <v>36164</v>
      </c>
      <c r="B235" s="299" t="s">
        <v>3496</v>
      </c>
      <c r="C235" s="299">
        <v>60</v>
      </c>
      <c r="D235" s="299">
        <f t="shared" si="9"/>
        <v>1</v>
      </c>
      <c r="E235" s="299">
        <v>41</v>
      </c>
      <c r="F235" s="430" t="s">
        <v>3497</v>
      </c>
      <c r="G235" s="300" t="str">
        <f t="shared" si="10"/>
        <v>BordeauxNRW</v>
      </c>
    </row>
    <row r="236" spans="1:7" ht="12" customHeight="1">
      <c r="A236" s="298">
        <v>36166</v>
      </c>
      <c r="B236" s="299" t="s">
        <v>3496</v>
      </c>
      <c r="C236" s="299">
        <v>80</v>
      </c>
      <c r="D236" s="299">
        <f t="shared" si="9"/>
        <v>1</v>
      </c>
      <c r="E236" s="299">
        <v>41</v>
      </c>
      <c r="F236" s="430" t="s">
        <v>3497</v>
      </c>
      <c r="G236" s="300" t="str">
        <f t="shared" si="10"/>
        <v>BordeauxNRW</v>
      </c>
    </row>
    <row r="237" spans="1:7" ht="12" customHeight="1">
      <c r="A237" s="298">
        <v>36215</v>
      </c>
      <c r="B237" s="299" t="s">
        <v>3496</v>
      </c>
      <c r="C237" s="299">
        <v>50</v>
      </c>
      <c r="D237" s="299">
        <f t="shared" si="9"/>
        <v>2</v>
      </c>
      <c r="E237" s="299">
        <v>43</v>
      </c>
      <c r="F237" s="430" t="s">
        <v>3497</v>
      </c>
      <c r="G237" s="300" t="str">
        <f t="shared" si="10"/>
        <v>BordeauxNRW</v>
      </c>
    </row>
    <row r="238" spans="1:7" ht="12" customHeight="1">
      <c r="A238" s="298">
        <v>36216</v>
      </c>
      <c r="B238" s="299" t="s">
        <v>3496</v>
      </c>
      <c r="C238" s="299">
        <v>150</v>
      </c>
      <c r="D238" s="299">
        <f t="shared" si="9"/>
        <v>2</v>
      </c>
      <c r="E238" s="299">
        <v>43</v>
      </c>
      <c r="F238" s="430" t="s">
        <v>3497</v>
      </c>
      <c r="G238" s="300" t="str">
        <f t="shared" si="10"/>
        <v>BordeauxNRW</v>
      </c>
    </row>
    <row r="239" spans="1:7" ht="12" customHeight="1">
      <c r="A239" s="298">
        <v>36219</v>
      </c>
      <c r="B239" s="299" t="s">
        <v>3496</v>
      </c>
      <c r="C239" s="299">
        <v>150</v>
      </c>
      <c r="D239" s="299">
        <f t="shared" si="9"/>
        <v>2</v>
      </c>
      <c r="E239" s="299">
        <v>43</v>
      </c>
      <c r="F239" s="430" t="s">
        <v>3497</v>
      </c>
      <c r="G239" s="300" t="str">
        <f t="shared" si="10"/>
        <v>BordeauxNRW</v>
      </c>
    </row>
    <row r="240" spans="1:7" ht="12" customHeight="1">
      <c r="A240" s="298">
        <v>36221</v>
      </c>
      <c r="B240" s="299" t="s">
        <v>3496</v>
      </c>
      <c r="C240" s="299">
        <v>90</v>
      </c>
      <c r="D240" s="299">
        <f t="shared" si="9"/>
        <v>3</v>
      </c>
      <c r="E240" s="299">
        <v>38</v>
      </c>
      <c r="F240" s="430" t="s">
        <v>3497</v>
      </c>
      <c r="G240" s="300" t="str">
        <f t="shared" si="10"/>
        <v>BordeauxNRW</v>
      </c>
    </row>
    <row r="241" spans="1:7" ht="12" customHeight="1">
      <c r="A241" s="298">
        <v>36224</v>
      </c>
      <c r="B241" s="299" t="s">
        <v>3496</v>
      </c>
      <c r="C241" s="299">
        <v>210</v>
      </c>
      <c r="D241" s="299">
        <f t="shared" si="9"/>
        <v>3</v>
      </c>
      <c r="E241" s="299">
        <v>36</v>
      </c>
      <c r="F241" s="430" t="s">
        <v>3497</v>
      </c>
      <c r="G241" s="300" t="str">
        <f t="shared" si="10"/>
        <v>BordeauxNRW</v>
      </c>
    </row>
    <row r="242" spans="1:7" ht="12" customHeight="1">
      <c r="A242" s="298">
        <v>36278</v>
      </c>
      <c r="B242" s="299" t="s">
        <v>3496</v>
      </c>
      <c r="C242" s="299">
        <v>150</v>
      </c>
      <c r="D242" s="299">
        <f t="shared" si="9"/>
        <v>4</v>
      </c>
      <c r="E242" s="299">
        <v>42</v>
      </c>
      <c r="F242" s="430" t="s">
        <v>3497</v>
      </c>
      <c r="G242" s="300" t="str">
        <f t="shared" si="10"/>
        <v>BordeauxNRW</v>
      </c>
    </row>
    <row r="243" spans="1:7" ht="12" customHeight="1">
      <c r="A243" s="298">
        <v>36287</v>
      </c>
      <c r="B243" s="299" t="s">
        <v>3496</v>
      </c>
      <c r="C243" s="299">
        <v>90</v>
      </c>
      <c r="D243" s="299">
        <f t="shared" si="9"/>
        <v>5</v>
      </c>
      <c r="E243" s="299">
        <v>37</v>
      </c>
      <c r="F243" s="430" t="s">
        <v>3497</v>
      </c>
      <c r="G243" s="300" t="str">
        <f t="shared" si="10"/>
        <v>BordeauxNRW</v>
      </c>
    </row>
    <row r="244" spans="1:7" ht="12" customHeight="1">
      <c r="A244" s="298">
        <v>36295</v>
      </c>
      <c r="B244" s="299" t="s">
        <v>3496</v>
      </c>
      <c r="C244" s="299">
        <v>40</v>
      </c>
      <c r="D244" s="299">
        <f t="shared" si="9"/>
        <v>5</v>
      </c>
      <c r="E244" s="299">
        <v>37</v>
      </c>
      <c r="F244" s="430" t="s">
        <v>3497</v>
      </c>
      <c r="G244" s="300" t="str">
        <f t="shared" si="10"/>
        <v>BordeauxNRW</v>
      </c>
    </row>
    <row r="245" spans="1:7" ht="12" customHeight="1">
      <c r="A245" s="298">
        <v>36297</v>
      </c>
      <c r="B245" s="299" t="s">
        <v>3496</v>
      </c>
      <c r="C245" s="299">
        <v>90</v>
      </c>
      <c r="D245" s="299">
        <f t="shared" si="9"/>
        <v>5</v>
      </c>
      <c r="E245" s="299">
        <v>43</v>
      </c>
      <c r="F245" s="430" t="s">
        <v>3497</v>
      </c>
      <c r="G245" s="300" t="str">
        <f t="shared" si="10"/>
        <v>BordeauxNRW</v>
      </c>
    </row>
    <row r="246" spans="1:7" ht="12" customHeight="1">
      <c r="A246" s="298">
        <v>36303</v>
      </c>
      <c r="B246" s="299" t="s">
        <v>3496</v>
      </c>
      <c r="C246" s="299">
        <v>50</v>
      </c>
      <c r="D246" s="299">
        <f t="shared" si="9"/>
        <v>5</v>
      </c>
      <c r="E246" s="299">
        <v>36</v>
      </c>
      <c r="F246" s="430" t="s">
        <v>3497</v>
      </c>
      <c r="G246" s="300" t="str">
        <f t="shared" si="10"/>
        <v>BordeauxNRW</v>
      </c>
    </row>
    <row r="247" spans="1:7" ht="12" customHeight="1">
      <c r="A247" s="298">
        <v>36314</v>
      </c>
      <c r="B247" s="299" t="s">
        <v>3496</v>
      </c>
      <c r="C247" s="299">
        <v>80</v>
      </c>
      <c r="D247" s="299">
        <f t="shared" si="9"/>
        <v>6</v>
      </c>
      <c r="E247" s="299">
        <v>41</v>
      </c>
      <c r="F247" s="430" t="s">
        <v>3497</v>
      </c>
      <c r="G247" s="300" t="str">
        <f t="shared" si="10"/>
        <v>BordeauxNRW</v>
      </c>
    </row>
    <row r="248" spans="1:7" ht="12" customHeight="1">
      <c r="A248" s="298">
        <v>36319</v>
      </c>
      <c r="B248" s="299" t="s">
        <v>3496</v>
      </c>
      <c r="C248" s="299">
        <v>150</v>
      </c>
      <c r="D248" s="299">
        <f t="shared" si="9"/>
        <v>6</v>
      </c>
      <c r="E248" s="299">
        <v>42</v>
      </c>
      <c r="F248" s="430" t="s">
        <v>3497</v>
      </c>
      <c r="G248" s="300" t="str">
        <f t="shared" si="10"/>
        <v>BordeauxNRW</v>
      </c>
    </row>
    <row r="249" spans="1:7" ht="12" customHeight="1">
      <c r="A249" s="298">
        <v>36321</v>
      </c>
      <c r="B249" s="299" t="s">
        <v>3496</v>
      </c>
      <c r="C249" s="299">
        <v>210</v>
      </c>
      <c r="D249" s="299">
        <f t="shared" si="9"/>
        <v>6</v>
      </c>
      <c r="E249" s="299">
        <v>41</v>
      </c>
      <c r="F249" s="430" t="s">
        <v>3497</v>
      </c>
      <c r="G249" s="300" t="str">
        <f t="shared" si="10"/>
        <v>BordeauxNRW</v>
      </c>
    </row>
    <row r="250" spans="1:7" ht="12" customHeight="1">
      <c r="A250" s="298">
        <v>36331</v>
      </c>
      <c r="B250" s="299" t="s">
        <v>3496</v>
      </c>
      <c r="C250" s="299">
        <v>100</v>
      </c>
      <c r="D250" s="299">
        <f t="shared" si="9"/>
        <v>6</v>
      </c>
      <c r="E250" s="299">
        <v>41</v>
      </c>
      <c r="F250" s="430" t="s">
        <v>3497</v>
      </c>
      <c r="G250" s="300" t="str">
        <f t="shared" si="10"/>
        <v>BordeauxNRW</v>
      </c>
    </row>
    <row r="251" spans="1:7" ht="12" customHeight="1">
      <c r="A251" s="298">
        <v>36360</v>
      </c>
      <c r="B251" s="299" t="s">
        <v>3496</v>
      </c>
      <c r="C251" s="299">
        <v>30</v>
      </c>
      <c r="D251" s="299">
        <f t="shared" si="9"/>
        <v>7</v>
      </c>
      <c r="E251" s="299">
        <v>42</v>
      </c>
      <c r="F251" s="430" t="s">
        <v>3497</v>
      </c>
      <c r="G251" s="300" t="str">
        <f t="shared" si="10"/>
        <v>BordeauxNRW</v>
      </c>
    </row>
    <row r="252" spans="1:7" ht="12" customHeight="1">
      <c r="A252" s="298">
        <v>36386</v>
      </c>
      <c r="B252" s="299" t="s">
        <v>3496</v>
      </c>
      <c r="C252" s="299">
        <v>90</v>
      </c>
      <c r="D252" s="299">
        <f t="shared" si="9"/>
        <v>8</v>
      </c>
      <c r="E252" s="299">
        <v>36</v>
      </c>
      <c r="F252" s="430" t="s">
        <v>3497</v>
      </c>
      <c r="G252" s="300" t="str">
        <f t="shared" si="10"/>
        <v>BordeauxNRW</v>
      </c>
    </row>
    <row r="253" spans="1:7" ht="12" customHeight="1">
      <c r="A253" s="298">
        <v>36388</v>
      </c>
      <c r="B253" s="299" t="s">
        <v>3496</v>
      </c>
      <c r="C253" s="299">
        <v>80</v>
      </c>
      <c r="D253" s="299">
        <f t="shared" si="9"/>
        <v>8</v>
      </c>
      <c r="E253" s="299">
        <v>42</v>
      </c>
      <c r="F253" s="430" t="s">
        <v>3497</v>
      </c>
      <c r="G253" s="300" t="str">
        <f t="shared" si="10"/>
        <v>BordeauxNRW</v>
      </c>
    </row>
    <row r="254" spans="1:7" ht="12" customHeight="1">
      <c r="A254" s="298">
        <v>36392</v>
      </c>
      <c r="B254" s="299" t="s">
        <v>3496</v>
      </c>
      <c r="C254" s="299">
        <v>20</v>
      </c>
      <c r="D254" s="299">
        <f t="shared" si="9"/>
        <v>8</v>
      </c>
      <c r="E254" s="299">
        <v>41</v>
      </c>
      <c r="F254" s="430" t="s">
        <v>3497</v>
      </c>
      <c r="G254" s="300" t="str">
        <f t="shared" si="10"/>
        <v>BordeauxNRW</v>
      </c>
    </row>
    <row r="255" spans="1:7" ht="12" customHeight="1">
      <c r="A255" s="298">
        <v>36400</v>
      </c>
      <c r="B255" s="299" t="s">
        <v>3496</v>
      </c>
      <c r="C255" s="299">
        <v>100</v>
      </c>
      <c r="D255" s="299">
        <f t="shared" si="9"/>
        <v>8</v>
      </c>
      <c r="E255" s="299">
        <v>35</v>
      </c>
      <c r="F255" s="430" t="s">
        <v>3497</v>
      </c>
      <c r="G255" s="300" t="str">
        <f t="shared" si="10"/>
        <v>BordeauxNRW</v>
      </c>
    </row>
    <row r="256" spans="1:7" ht="12" customHeight="1">
      <c r="A256" s="298">
        <v>36441</v>
      </c>
      <c r="B256" s="299" t="s">
        <v>3496</v>
      </c>
      <c r="C256" s="299">
        <v>30</v>
      </c>
      <c r="D256" s="299">
        <f t="shared" si="9"/>
        <v>10</v>
      </c>
      <c r="E256" s="299">
        <v>41</v>
      </c>
      <c r="F256" s="430" t="s">
        <v>3497</v>
      </c>
      <c r="G256" s="300" t="str">
        <f t="shared" si="10"/>
        <v>BordeauxNRW</v>
      </c>
    </row>
    <row r="257" spans="1:7" ht="12" customHeight="1">
      <c r="A257" s="298">
        <v>36448</v>
      </c>
      <c r="B257" s="299" t="s">
        <v>3496</v>
      </c>
      <c r="C257" s="299">
        <v>60</v>
      </c>
      <c r="D257" s="299">
        <f t="shared" si="9"/>
        <v>10</v>
      </c>
      <c r="E257" s="299">
        <v>35</v>
      </c>
      <c r="F257" s="430" t="s">
        <v>3497</v>
      </c>
      <c r="G257" s="300" t="str">
        <f t="shared" si="10"/>
        <v>BordeauxNRW</v>
      </c>
    </row>
    <row r="258" spans="1:7" ht="12" customHeight="1">
      <c r="A258" s="298">
        <v>36459</v>
      </c>
      <c r="B258" s="299" t="s">
        <v>3496</v>
      </c>
      <c r="C258" s="299">
        <v>180</v>
      </c>
      <c r="D258" s="299">
        <f t="shared" si="9"/>
        <v>10</v>
      </c>
      <c r="E258" s="299">
        <v>41</v>
      </c>
      <c r="F258" s="430" t="s">
        <v>3497</v>
      </c>
      <c r="G258" s="300" t="str">
        <f t="shared" si="10"/>
        <v>BordeauxNRW</v>
      </c>
    </row>
    <row r="259" spans="1:7" ht="12" customHeight="1">
      <c r="A259" s="298">
        <v>36461</v>
      </c>
      <c r="B259" s="299" t="s">
        <v>3496</v>
      </c>
      <c r="C259" s="299">
        <v>180</v>
      </c>
      <c r="D259" s="299">
        <f t="shared" si="9"/>
        <v>10</v>
      </c>
      <c r="E259" s="299">
        <v>35</v>
      </c>
      <c r="F259" s="430" t="s">
        <v>3497</v>
      </c>
      <c r="G259" s="300" t="str">
        <f t="shared" si="10"/>
        <v>BordeauxNRW</v>
      </c>
    </row>
    <row r="260" spans="1:7" ht="12" customHeight="1">
      <c r="A260" s="298">
        <v>36467</v>
      </c>
      <c r="B260" s="299" t="s">
        <v>3496</v>
      </c>
      <c r="C260" s="299">
        <v>40</v>
      </c>
      <c r="D260" s="299">
        <f t="shared" si="9"/>
        <v>11</v>
      </c>
      <c r="E260" s="299">
        <v>37</v>
      </c>
      <c r="F260" s="430" t="s">
        <v>3497</v>
      </c>
      <c r="G260" s="300" t="str">
        <f t="shared" si="10"/>
        <v>BordeauxNRW</v>
      </c>
    </row>
    <row r="261" spans="1:7" ht="12" customHeight="1">
      <c r="A261" s="298">
        <v>36304</v>
      </c>
      <c r="B261" s="299" t="s">
        <v>3496</v>
      </c>
      <c r="C261" s="299">
        <v>150</v>
      </c>
      <c r="D261" s="299">
        <f t="shared" si="9"/>
        <v>5</v>
      </c>
      <c r="E261" s="299">
        <v>42</v>
      </c>
      <c r="F261" s="430" t="s">
        <v>3499</v>
      </c>
      <c r="G261" s="300" t="str">
        <f t="shared" si="10"/>
        <v>BordeauxPfalz</v>
      </c>
    </row>
    <row r="262" spans="1:7" ht="12" customHeight="1">
      <c r="A262" s="298">
        <v>36321</v>
      </c>
      <c r="B262" s="299" t="s">
        <v>3496</v>
      </c>
      <c r="C262" s="299">
        <v>180</v>
      </c>
      <c r="D262" s="299">
        <f t="shared" ref="D262:D325" si="11">MONTH(A262)</f>
        <v>6</v>
      </c>
      <c r="E262" s="299">
        <v>38</v>
      </c>
      <c r="F262" s="430" t="s">
        <v>3499</v>
      </c>
      <c r="G262" s="300" t="str">
        <f t="shared" ref="G262:G325" si="12">B262&amp;F262</f>
        <v>BordeauxPfalz</v>
      </c>
    </row>
    <row r="263" spans="1:7" ht="12" customHeight="1">
      <c r="A263" s="298">
        <v>36365</v>
      </c>
      <c r="B263" s="299" t="s">
        <v>3496</v>
      </c>
      <c r="C263" s="299">
        <v>180</v>
      </c>
      <c r="D263" s="299">
        <f t="shared" si="11"/>
        <v>7</v>
      </c>
      <c r="E263" s="299">
        <v>38</v>
      </c>
      <c r="F263" s="430" t="s">
        <v>3499</v>
      </c>
      <c r="G263" s="300" t="str">
        <f t="shared" si="12"/>
        <v>BordeauxPfalz</v>
      </c>
    </row>
    <row r="264" spans="1:7" ht="12" customHeight="1">
      <c r="A264" s="298">
        <v>36376</v>
      </c>
      <c r="B264" s="299" t="s">
        <v>3496</v>
      </c>
      <c r="C264" s="299">
        <v>210</v>
      </c>
      <c r="D264" s="299">
        <f t="shared" si="11"/>
        <v>8</v>
      </c>
      <c r="E264" s="299">
        <v>42</v>
      </c>
      <c r="F264" s="430" t="s">
        <v>3499</v>
      </c>
      <c r="G264" s="300" t="str">
        <f t="shared" si="12"/>
        <v>BordeauxPfalz</v>
      </c>
    </row>
    <row r="265" spans="1:7" ht="12" customHeight="1">
      <c r="A265" s="298">
        <v>36383</v>
      </c>
      <c r="B265" s="299" t="s">
        <v>3496</v>
      </c>
      <c r="C265" s="299">
        <v>210</v>
      </c>
      <c r="D265" s="299">
        <f t="shared" si="11"/>
        <v>8</v>
      </c>
      <c r="E265" s="299">
        <v>35</v>
      </c>
      <c r="F265" s="430" t="s">
        <v>3499</v>
      </c>
      <c r="G265" s="300" t="str">
        <f t="shared" si="12"/>
        <v>BordeauxPfalz</v>
      </c>
    </row>
    <row r="266" spans="1:7" ht="12" customHeight="1">
      <c r="A266" s="298">
        <v>36404</v>
      </c>
      <c r="B266" s="299" t="s">
        <v>3496</v>
      </c>
      <c r="C266" s="299">
        <v>90</v>
      </c>
      <c r="D266" s="299">
        <f t="shared" si="11"/>
        <v>9</v>
      </c>
      <c r="E266" s="299">
        <v>44</v>
      </c>
      <c r="F266" s="430" t="s">
        <v>3499</v>
      </c>
      <c r="G266" s="300" t="str">
        <f t="shared" si="12"/>
        <v>BordeauxPfalz</v>
      </c>
    </row>
    <row r="267" spans="1:7" ht="12" customHeight="1">
      <c r="A267" s="298">
        <v>36451</v>
      </c>
      <c r="B267" s="299" t="s">
        <v>3496</v>
      </c>
      <c r="C267" s="299">
        <v>30</v>
      </c>
      <c r="D267" s="299">
        <f t="shared" si="11"/>
        <v>10</v>
      </c>
      <c r="E267" s="299">
        <v>44</v>
      </c>
      <c r="F267" s="430" t="s">
        <v>3499</v>
      </c>
      <c r="G267" s="300" t="str">
        <f t="shared" si="12"/>
        <v>BordeauxPfalz</v>
      </c>
    </row>
    <row r="268" spans="1:7" ht="12" customHeight="1">
      <c r="A268" s="298">
        <v>36468</v>
      </c>
      <c r="B268" s="299" t="s">
        <v>3496</v>
      </c>
      <c r="C268" s="299">
        <v>20</v>
      </c>
      <c r="D268" s="299">
        <f t="shared" si="11"/>
        <v>11</v>
      </c>
      <c r="E268" s="299">
        <v>35</v>
      </c>
      <c r="F268" s="430" t="s">
        <v>3499</v>
      </c>
      <c r="G268" s="300" t="str">
        <f t="shared" si="12"/>
        <v>BordeauxPfalz</v>
      </c>
    </row>
    <row r="269" spans="1:7" ht="12" customHeight="1">
      <c r="A269" s="298">
        <v>36495</v>
      </c>
      <c r="B269" s="299" t="s">
        <v>3496</v>
      </c>
      <c r="C269" s="299">
        <v>50</v>
      </c>
      <c r="D269" s="299">
        <f t="shared" si="11"/>
        <v>12</v>
      </c>
      <c r="E269" s="299">
        <v>42</v>
      </c>
      <c r="F269" s="430" t="s">
        <v>3499</v>
      </c>
      <c r="G269" s="300" t="str">
        <f t="shared" si="12"/>
        <v>BordeauxPfalz</v>
      </c>
    </row>
    <row r="270" spans="1:7" ht="12" customHeight="1">
      <c r="A270" s="298">
        <v>36195</v>
      </c>
      <c r="B270" s="299" t="s">
        <v>3496</v>
      </c>
      <c r="C270" s="299">
        <v>30</v>
      </c>
      <c r="D270" s="299">
        <f t="shared" si="11"/>
        <v>2</v>
      </c>
      <c r="E270" s="299">
        <v>43</v>
      </c>
      <c r="F270" s="430" t="s">
        <v>3500</v>
      </c>
      <c r="G270" s="300" t="str">
        <f t="shared" si="12"/>
        <v>BordeauxSaarland</v>
      </c>
    </row>
    <row r="271" spans="1:7" ht="12" customHeight="1">
      <c r="A271" s="298">
        <v>36196</v>
      </c>
      <c r="B271" s="299" t="s">
        <v>3496</v>
      </c>
      <c r="C271" s="299">
        <v>20</v>
      </c>
      <c r="D271" s="299">
        <f t="shared" si="11"/>
        <v>2</v>
      </c>
      <c r="E271" s="299">
        <v>44</v>
      </c>
      <c r="F271" s="430" t="s">
        <v>3500</v>
      </c>
      <c r="G271" s="300" t="str">
        <f t="shared" si="12"/>
        <v>BordeauxSaarland</v>
      </c>
    </row>
    <row r="272" spans="1:7" ht="12" customHeight="1">
      <c r="A272" s="298">
        <v>36196</v>
      </c>
      <c r="B272" s="299" t="s">
        <v>3496</v>
      </c>
      <c r="C272" s="299">
        <v>10</v>
      </c>
      <c r="D272" s="299">
        <f t="shared" si="11"/>
        <v>2</v>
      </c>
      <c r="E272" s="299">
        <v>37</v>
      </c>
      <c r="F272" s="430" t="s">
        <v>3500</v>
      </c>
      <c r="G272" s="300" t="str">
        <f t="shared" si="12"/>
        <v>BordeauxSaarland</v>
      </c>
    </row>
    <row r="273" spans="1:7" ht="12" customHeight="1">
      <c r="A273" s="298">
        <v>36208</v>
      </c>
      <c r="B273" s="299" t="s">
        <v>3496</v>
      </c>
      <c r="C273" s="299">
        <v>10</v>
      </c>
      <c r="D273" s="299">
        <f t="shared" si="11"/>
        <v>2</v>
      </c>
      <c r="E273" s="299">
        <v>37</v>
      </c>
      <c r="F273" s="430" t="s">
        <v>3500</v>
      </c>
      <c r="G273" s="300" t="str">
        <f t="shared" si="12"/>
        <v>BordeauxSaarland</v>
      </c>
    </row>
    <row r="274" spans="1:7" ht="12" customHeight="1">
      <c r="A274" s="298">
        <v>36241</v>
      </c>
      <c r="B274" s="299" t="s">
        <v>3496</v>
      </c>
      <c r="C274" s="299">
        <v>70</v>
      </c>
      <c r="D274" s="299">
        <f t="shared" si="11"/>
        <v>3</v>
      </c>
      <c r="E274" s="299">
        <v>44</v>
      </c>
      <c r="F274" s="430" t="s">
        <v>3500</v>
      </c>
      <c r="G274" s="300" t="str">
        <f t="shared" si="12"/>
        <v>BordeauxSaarland</v>
      </c>
    </row>
    <row r="275" spans="1:7" ht="12" customHeight="1">
      <c r="A275" s="298">
        <v>36255</v>
      </c>
      <c r="B275" s="299" t="s">
        <v>3496</v>
      </c>
      <c r="C275" s="299">
        <v>50</v>
      </c>
      <c r="D275" s="299">
        <f t="shared" si="11"/>
        <v>4</v>
      </c>
      <c r="E275" s="299">
        <v>42</v>
      </c>
      <c r="F275" s="430" t="s">
        <v>3500</v>
      </c>
      <c r="G275" s="300" t="str">
        <f t="shared" si="12"/>
        <v>BordeauxSaarland</v>
      </c>
    </row>
    <row r="276" spans="1:7" ht="12" customHeight="1">
      <c r="A276" s="298">
        <v>36283</v>
      </c>
      <c r="B276" s="299" t="s">
        <v>3496</v>
      </c>
      <c r="C276" s="299">
        <v>30</v>
      </c>
      <c r="D276" s="299">
        <f t="shared" si="11"/>
        <v>5</v>
      </c>
      <c r="E276" s="299">
        <v>43</v>
      </c>
      <c r="F276" s="430" t="s">
        <v>3500</v>
      </c>
      <c r="G276" s="300" t="str">
        <f t="shared" si="12"/>
        <v>BordeauxSaarland</v>
      </c>
    </row>
    <row r="277" spans="1:7" ht="12" customHeight="1">
      <c r="A277" s="298">
        <v>36288</v>
      </c>
      <c r="B277" s="299" t="s">
        <v>3496</v>
      </c>
      <c r="C277" s="299">
        <v>210</v>
      </c>
      <c r="D277" s="299">
        <f t="shared" si="11"/>
        <v>5</v>
      </c>
      <c r="E277" s="299">
        <v>43</v>
      </c>
      <c r="F277" s="430" t="s">
        <v>3500</v>
      </c>
      <c r="G277" s="300" t="str">
        <f t="shared" si="12"/>
        <v>BordeauxSaarland</v>
      </c>
    </row>
    <row r="278" spans="1:7" ht="12" customHeight="1">
      <c r="A278" s="298">
        <v>36288</v>
      </c>
      <c r="B278" s="299" t="s">
        <v>3496</v>
      </c>
      <c r="C278" s="299">
        <v>60</v>
      </c>
      <c r="D278" s="299">
        <f t="shared" si="11"/>
        <v>5</v>
      </c>
      <c r="E278" s="299">
        <v>44</v>
      </c>
      <c r="F278" s="430" t="s">
        <v>3500</v>
      </c>
      <c r="G278" s="300" t="str">
        <f t="shared" si="12"/>
        <v>BordeauxSaarland</v>
      </c>
    </row>
    <row r="279" spans="1:7" ht="12" customHeight="1">
      <c r="A279" s="298">
        <v>36291</v>
      </c>
      <c r="B279" s="299" t="s">
        <v>3496</v>
      </c>
      <c r="C279" s="299">
        <v>120</v>
      </c>
      <c r="D279" s="299">
        <f t="shared" si="11"/>
        <v>5</v>
      </c>
      <c r="E279" s="299">
        <v>44</v>
      </c>
      <c r="F279" s="430" t="s">
        <v>3500</v>
      </c>
      <c r="G279" s="300" t="str">
        <f t="shared" si="12"/>
        <v>BordeauxSaarland</v>
      </c>
    </row>
    <row r="280" spans="1:7" ht="12" customHeight="1">
      <c r="A280" s="298">
        <v>36294</v>
      </c>
      <c r="B280" s="299" t="s">
        <v>3496</v>
      </c>
      <c r="C280" s="299">
        <v>120</v>
      </c>
      <c r="D280" s="299">
        <f t="shared" si="11"/>
        <v>5</v>
      </c>
      <c r="E280" s="299">
        <v>43</v>
      </c>
      <c r="F280" s="430" t="s">
        <v>3500</v>
      </c>
      <c r="G280" s="300" t="str">
        <f t="shared" si="12"/>
        <v>BordeauxSaarland</v>
      </c>
    </row>
    <row r="281" spans="1:7" ht="12" customHeight="1">
      <c r="A281" s="298">
        <v>36303</v>
      </c>
      <c r="B281" s="299" t="s">
        <v>3496</v>
      </c>
      <c r="C281" s="299">
        <v>50</v>
      </c>
      <c r="D281" s="299">
        <f t="shared" si="11"/>
        <v>5</v>
      </c>
      <c r="E281" s="299">
        <v>38</v>
      </c>
      <c r="F281" s="430" t="s">
        <v>3500</v>
      </c>
      <c r="G281" s="300" t="str">
        <f t="shared" si="12"/>
        <v>BordeauxSaarland</v>
      </c>
    </row>
    <row r="282" spans="1:7" ht="12" customHeight="1">
      <c r="A282" s="298">
        <v>36308</v>
      </c>
      <c r="B282" s="299" t="s">
        <v>3496</v>
      </c>
      <c r="C282" s="299">
        <v>20</v>
      </c>
      <c r="D282" s="299">
        <f t="shared" si="11"/>
        <v>5</v>
      </c>
      <c r="E282" s="299">
        <v>42</v>
      </c>
      <c r="F282" s="430" t="s">
        <v>3500</v>
      </c>
      <c r="G282" s="300" t="str">
        <f t="shared" si="12"/>
        <v>BordeauxSaarland</v>
      </c>
    </row>
    <row r="283" spans="1:7" ht="12" customHeight="1">
      <c r="A283" s="298">
        <v>36317</v>
      </c>
      <c r="B283" s="299" t="s">
        <v>3496</v>
      </c>
      <c r="C283" s="299">
        <v>120</v>
      </c>
      <c r="D283" s="299">
        <f t="shared" si="11"/>
        <v>6</v>
      </c>
      <c r="E283" s="299">
        <v>37</v>
      </c>
      <c r="F283" s="430" t="s">
        <v>3500</v>
      </c>
      <c r="G283" s="300" t="str">
        <f t="shared" si="12"/>
        <v>BordeauxSaarland</v>
      </c>
    </row>
    <row r="284" spans="1:7" ht="12" customHeight="1">
      <c r="A284" s="298">
        <v>36329</v>
      </c>
      <c r="B284" s="299" t="s">
        <v>3496</v>
      </c>
      <c r="C284" s="299">
        <v>100</v>
      </c>
      <c r="D284" s="299">
        <f t="shared" si="11"/>
        <v>6</v>
      </c>
      <c r="E284" s="299">
        <v>42</v>
      </c>
      <c r="F284" s="430" t="s">
        <v>3500</v>
      </c>
      <c r="G284" s="300" t="str">
        <f t="shared" si="12"/>
        <v>BordeauxSaarland</v>
      </c>
    </row>
    <row r="285" spans="1:7" ht="12" customHeight="1">
      <c r="A285" s="298">
        <v>36330</v>
      </c>
      <c r="B285" s="299" t="s">
        <v>3496</v>
      </c>
      <c r="C285" s="299">
        <v>210</v>
      </c>
      <c r="D285" s="299">
        <f t="shared" si="11"/>
        <v>6</v>
      </c>
      <c r="E285" s="299">
        <v>37</v>
      </c>
      <c r="F285" s="430" t="s">
        <v>3500</v>
      </c>
      <c r="G285" s="300" t="str">
        <f t="shared" si="12"/>
        <v>BordeauxSaarland</v>
      </c>
    </row>
    <row r="286" spans="1:7" ht="12" customHeight="1">
      <c r="A286" s="298">
        <v>36335</v>
      </c>
      <c r="B286" s="299" t="s">
        <v>3496</v>
      </c>
      <c r="C286" s="299">
        <v>90</v>
      </c>
      <c r="D286" s="299">
        <f t="shared" si="11"/>
        <v>6</v>
      </c>
      <c r="E286" s="299">
        <v>44</v>
      </c>
      <c r="F286" s="430" t="s">
        <v>3500</v>
      </c>
      <c r="G286" s="300" t="str">
        <f t="shared" si="12"/>
        <v>BordeauxSaarland</v>
      </c>
    </row>
    <row r="287" spans="1:7" ht="12" customHeight="1">
      <c r="A287" s="298">
        <v>36345</v>
      </c>
      <c r="B287" s="299" t="s">
        <v>3496</v>
      </c>
      <c r="C287" s="299">
        <v>30</v>
      </c>
      <c r="D287" s="299">
        <f t="shared" si="11"/>
        <v>7</v>
      </c>
      <c r="E287" s="299">
        <v>42</v>
      </c>
      <c r="F287" s="430" t="s">
        <v>3500</v>
      </c>
      <c r="G287" s="300" t="str">
        <f t="shared" si="12"/>
        <v>BordeauxSaarland</v>
      </c>
    </row>
    <row r="288" spans="1:7" ht="12" customHeight="1">
      <c r="A288" s="298">
        <v>36350</v>
      </c>
      <c r="B288" s="299" t="s">
        <v>3496</v>
      </c>
      <c r="C288" s="299">
        <v>60</v>
      </c>
      <c r="D288" s="299">
        <f t="shared" si="11"/>
        <v>7</v>
      </c>
      <c r="E288" s="299">
        <v>43</v>
      </c>
      <c r="F288" s="430" t="s">
        <v>3500</v>
      </c>
      <c r="G288" s="300" t="str">
        <f t="shared" si="12"/>
        <v>BordeauxSaarland</v>
      </c>
    </row>
    <row r="289" spans="1:7" ht="12" customHeight="1">
      <c r="A289" s="298">
        <v>36356</v>
      </c>
      <c r="B289" s="299" t="s">
        <v>3496</v>
      </c>
      <c r="C289" s="299">
        <v>40</v>
      </c>
      <c r="D289" s="299">
        <f t="shared" si="11"/>
        <v>7</v>
      </c>
      <c r="E289" s="299">
        <v>35</v>
      </c>
      <c r="F289" s="430" t="s">
        <v>3500</v>
      </c>
      <c r="G289" s="300" t="str">
        <f t="shared" si="12"/>
        <v>BordeauxSaarland</v>
      </c>
    </row>
    <row r="290" spans="1:7" ht="12" customHeight="1">
      <c r="A290" s="298">
        <v>36370</v>
      </c>
      <c r="B290" s="299" t="s">
        <v>3496</v>
      </c>
      <c r="C290" s="299">
        <v>50</v>
      </c>
      <c r="D290" s="299">
        <f t="shared" si="11"/>
        <v>7</v>
      </c>
      <c r="E290" s="299">
        <v>35</v>
      </c>
      <c r="F290" s="430" t="s">
        <v>3500</v>
      </c>
      <c r="G290" s="300" t="str">
        <f t="shared" si="12"/>
        <v>BordeauxSaarland</v>
      </c>
    </row>
    <row r="291" spans="1:7" ht="12" customHeight="1">
      <c r="A291" s="298">
        <v>36371</v>
      </c>
      <c r="B291" s="299" t="s">
        <v>3496</v>
      </c>
      <c r="C291" s="299">
        <v>40</v>
      </c>
      <c r="D291" s="299">
        <f t="shared" si="11"/>
        <v>7</v>
      </c>
      <c r="E291" s="299">
        <v>35</v>
      </c>
      <c r="F291" s="430" t="s">
        <v>3500</v>
      </c>
      <c r="G291" s="300" t="str">
        <f t="shared" si="12"/>
        <v>BordeauxSaarland</v>
      </c>
    </row>
    <row r="292" spans="1:7" ht="12" customHeight="1">
      <c r="A292" s="298">
        <v>36374</v>
      </c>
      <c r="B292" s="299" t="s">
        <v>3496</v>
      </c>
      <c r="C292" s="299">
        <v>10</v>
      </c>
      <c r="D292" s="299">
        <f t="shared" si="11"/>
        <v>8</v>
      </c>
      <c r="E292" s="299">
        <v>42</v>
      </c>
      <c r="F292" s="430" t="s">
        <v>3500</v>
      </c>
      <c r="G292" s="300" t="str">
        <f t="shared" si="12"/>
        <v>BordeauxSaarland</v>
      </c>
    </row>
    <row r="293" spans="1:7" ht="12" customHeight="1">
      <c r="A293" s="298">
        <v>36388</v>
      </c>
      <c r="B293" s="299" t="s">
        <v>3496</v>
      </c>
      <c r="C293" s="299">
        <v>150</v>
      </c>
      <c r="D293" s="299">
        <f t="shared" si="11"/>
        <v>8</v>
      </c>
      <c r="E293" s="299">
        <v>44</v>
      </c>
      <c r="F293" s="430" t="s">
        <v>3500</v>
      </c>
      <c r="G293" s="300" t="str">
        <f t="shared" si="12"/>
        <v>BordeauxSaarland</v>
      </c>
    </row>
    <row r="294" spans="1:7" ht="12" customHeight="1">
      <c r="A294" s="298">
        <v>36398</v>
      </c>
      <c r="B294" s="299" t="s">
        <v>3496</v>
      </c>
      <c r="C294" s="299">
        <v>40</v>
      </c>
      <c r="D294" s="299">
        <f t="shared" si="11"/>
        <v>8</v>
      </c>
      <c r="E294" s="299">
        <v>44</v>
      </c>
      <c r="F294" s="430" t="s">
        <v>3500</v>
      </c>
      <c r="G294" s="300" t="str">
        <f t="shared" si="12"/>
        <v>BordeauxSaarland</v>
      </c>
    </row>
    <row r="295" spans="1:7" ht="12" customHeight="1">
      <c r="A295" s="298">
        <v>36399</v>
      </c>
      <c r="B295" s="299" t="s">
        <v>3496</v>
      </c>
      <c r="C295" s="299">
        <v>180</v>
      </c>
      <c r="D295" s="299">
        <f t="shared" si="11"/>
        <v>8</v>
      </c>
      <c r="E295" s="299">
        <v>44</v>
      </c>
      <c r="F295" s="430" t="s">
        <v>3500</v>
      </c>
      <c r="G295" s="300" t="str">
        <f t="shared" si="12"/>
        <v>BordeauxSaarland</v>
      </c>
    </row>
    <row r="296" spans="1:7" ht="12" customHeight="1">
      <c r="A296" s="298">
        <v>36416</v>
      </c>
      <c r="B296" s="299" t="s">
        <v>3496</v>
      </c>
      <c r="C296" s="299">
        <v>30</v>
      </c>
      <c r="D296" s="299">
        <f t="shared" si="11"/>
        <v>9</v>
      </c>
      <c r="E296" s="299">
        <v>44</v>
      </c>
      <c r="F296" s="430" t="s">
        <v>3500</v>
      </c>
      <c r="G296" s="300" t="str">
        <f t="shared" si="12"/>
        <v>BordeauxSaarland</v>
      </c>
    </row>
    <row r="297" spans="1:7" ht="12" customHeight="1">
      <c r="A297" s="298">
        <v>36417</v>
      </c>
      <c r="B297" s="299" t="s">
        <v>3496</v>
      </c>
      <c r="C297" s="299">
        <v>120</v>
      </c>
      <c r="D297" s="299">
        <f t="shared" si="11"/>
        <v>9</v>
      </c>
      <c r="E297" s="299">
        <v>42</v>
      </c>
      <c r="F297" s="430" t="s">
        <v>3500</v>
      </c>
      <c r="G297" s="300" t="str">
        <f t="shared" si="12"/>
        <v>BordeauxSaarland</v>
      </c>
    </row>
    <row r="298" spans="1:7" ht="12" customHeight="1">
      <c r="A298" s="298">
        <v>36420</v>
      </c>
      <c r="B298" s="299" t="s">
        <v>3496</v>
      </c>
      <c r="C298" s="299">
        <v>80</v>
      </c>
      <c r="D298" s="299">
        <f t="shared" si="11"/>
        <v>9</v>
      </c>
      <c r="E298" s="299">
        <v>44</v>
      </c>
      <c r="F298" s="430" t="s">
        <v>3500</v>
      </c>
      <c r="G298" s="300" t="str">
        <f t="shared" si="12"/>
        <v>BordeauxSaarland</v>
      </c>
    </row>
    <row r="299" spans="1:7" ht="12" customHeight="1">
      <c r="A299" s="298">
        <v>36420</v>
      </c>
      <c r="B299" s="299" t="s">
        <v>3496</v>
      </c>
      <c r="C299" s="299">
        <v>180</v>
      </c>
      <c r="D299" s="299">
        <f t="shared" si="11"/>
        <v>9</v>
      </c>
      <c r="E299" s="299">
        <v>37</v>
      </c>
      <c r="F299" s="430" t="s">
        <v>3500</v>
      </c>
      <c r="G299" s="300" t="str">
        <f t="shared" si="12"/>
        <v>BordeauxSaarland</v>
      </c>
    </row>
    <row r="300" spans="1:7" ht="12" customHeight="1">
      <c r="A300" s="298">
        <v>36442</v>
      </c>
      <c r="B300" s="299" t="s">
        <v>3496</v>
      </c>
      <c r="C300" s="299">
        <v>180</v>
      </c>
      <c r="D300" s="299">
        <f t="shared" si="11"/>
        <v>10</v>
      </c>
      <c r="E300" s="299">
        <v>44</v>
      </c>
      <c r="F300" s="430" t="s">
        <v>3500</v>
      </c>
      <c r="G300" s="300" t="str">
        <f t="shared" si="12"/>
        <v>BordeauxSaarland</v>
      </c>
    </row>
    <row r="301" spans="1:7" ht="12" customHeight="1">
      <c r="A301" s="298">
        <v>36453</v>
      </c>
      <c r="B301" s="299" t="s">
        <v>3496</v>
      </c>
      <c r="C301" s="299">
        <v>50</v>
      </c>
      <c r="D301" s="299">
        <f t="shared" si="11"/>
        <v>10</v>
      </c>
      <c r="E301" s="299">
        <v>35</v>
      </c>
      <c r="F301" s="430" t="s">
        <v>3500</v>
      </c>
      <c r="G301" s="300" t="str">
        <f t="shared" si="12"/>
        <v>BordeauxSaarland</v>
      </c>
    </row>
    <row r="302" spans="1:7" ht="12" customHeight="1">
      <c r="A302" s="298">
        <v>36453</v>
      </c>
      <c r="B302" s="299" t="s">
        <v>3496</v>
      </c>
      <c r="C302" s="299">
        <v>120</v>
      </c>
      <c r="D302" s="299">
        <f t="shared" si="11"/>
        <v>10</v>
      </c>
      <c r="E302" s="299">
        <v>35</v>
      </c>
      <c r="F302" s="430" t="s">
        <v>3500</v>
      </c>
      <c r="G302" s="300" t="str">
        <f t="shared" si="12"/>
        <v>BordeauxSaarland</v>
      </c>
    </row>
    <row r="303" spans="1:7" ht="12" customHeight="1">
      <c r="A303" s="298">
        <v>36458</v>
      </c>
      <c r="B303" s="299" t="s">
        <v>3496</v>
      </c>
      <c r="C303" s="299">
        <v>180</v>
      </c>
      <c r="D303" s="299">
        <f t="shared" si="11"/>
        <v>10</v>
      </c>
      <c r="E303" s="299">
        <v>38</v>
      </c>
      <c r="F303" s="430" t="s">
        <v>3500</v>
      </c>
      <c r="G303" s="300" t="str">
        <f t="shared" si="12"/>
        <v>BordeauxSaarland</v>
      </c>
    </row>
    <row r="304" spans="1:7" ht="12" customHeight="1">
      <c r="A304" s="298">
        <v>36460</v>
      </c>
      <c r="B304" s="299" t="s">
        <v>3496</v>
      </c>
      <c r="C304" s="299">
        <v>50</v>
      </c>
      <c r="D304" s="299">
        <f t="shared" si="11"/>
        <v>10</v>
      </c>
      <c r="E304" s="299">
        <v>38</v>
      </c>
      <c r="F304" s="430" t="s">
        <v>3500</v>
      </c>
      <c r="G304" s="300" t="str">
        <f t="shared" si="12"/>
        <v>BordeauxSaarland</v>
      </c>
    </row>
    <row r="305" spans="1:7" ht="12" customHeight="1">
      <c r="A305" s="298">
        <v>36467</v>
      </c>
      <c r="B305" s="299" t="s">
        <v>3496</v>
      </c>
      <c r="C305" s="299">
        <v>90</v>
      </c>
      <c r="D305" s="299">
        <f t="shared" si="11"/>
        <v>11</v>
      </c>
      <c r="E305" s="299">
        <v>43</v>
      </c>
      <c r="F305" s="430" t="s">
        <v>3500</v>
      </c>
      <c r="G305" s="300" t="str">
        <f t="shared" si="12"/>
        <v>BordeauxSaarland</v>
      </c>
    </row>
    <row r="306" spans="1:7" ht="12" customHeight="1">
      <c r="A306" s="298">
        <v>36473</v>
      </c>
      <c r="B306" s="299" t="s">
        <v>3496</v>
      </c>
      <c r="C306" s="299">
        <v>180</v>
      </c>
      <c r="D306" s="299">
        <f t="shared" si="11"/>
        <v>11</v>
      </c>
      <c r="E306" s="299">
        <v>37</v>
      </c>
      <c r="F306" s="430" t="s">
        <v>3500</v>
      </c>
      <c r="G306" s="300" t="str">
        <f t="shared" si="12"/>
        <v>BordeauxSaarland</v>
      </c>
    </row>
    <row r="307" spans="1:7" ht="12" customHeight="1">
      <c r="A307" s="298">
        <v>36483</v>
      </c>
      <c r="B307" s="299" t="s">
        <v>3496</v>
      </c>
      <c r="C307" s="299">
        <v>210</v>
      </c>
      <c r="D307" s="299">
        <f t="shared" si="11"/>
        <v>11</v>
      </c>
      <c r="E307" s="299">
        <v>43</v>
      </c>
      <c r="F307" s="430" t="s">
        <v>3500</v>
      </c>
      <c r="G307" s="300" t="str">
        <f t="shared" si="12"/>
        <v>BordeauxSaarland</v>
      </c>
    </row>
    <row r="308" spans="1:7" ht="12" customHeight="1">
      <c r="A308" s="298">
        <v>36486</v>
      </c>
      <c r="B308" s="299" t="s">
        <v>3496</v>
      </c>
      <c r="C308" s="299">
        <v>70</v>
      </c>
      <c r="D308" s="299">
        <f t="shared" si="11"/>
        <v>11</v>
      </c>
      <c r="E308" s="299">
        <v>42</v>
      </c>
      <c r="F308" s="430" t="s">
        <v>3500</v>
      </c>
      <c r="G308" s="300" t="str">
        <f t="shared" si="12"/>
        <v>BordeauxSaarland</v>
      </c>
    </row>
    <row r="309" spans="1:7" ht="12" customHeight="1">
      <c r="A309" s="298">
        <v>36491</v>
      </c>
      <c r="B309" s="299" t="s">
        <v>3496</v>
      </c>
      <c r="C309" s="299">
        <v>10</v>
      </c>
      <c r="D309" s="299">
        <f t="shared" si="11"/>
        <v>11</v>
      </c>
      <c r="E309" s="299">
        <v>43</v>
      </c>
      <c r="F309" s="430" t="s">
        <v>3500</v>
      </c>
      <c r="G309" s="300" t="str">
        <f t="shared" si="12"/>
        <v>BordeauxSaarland</v>
      </c>
    </row>
    <row r="310" spans="1:7" ht="12" customHeight="1">
      <c r="A310" s="298">
        <v>36499</v>
      </c>
      <c r="B310" s="299" t="s">
        <v>3496</v>
      </c>
      <c r="C310" s="299">
        <v>100</v>
      </c>
      <c r="D310" s="299">
        <f t="shared" si="11"/>
        <v>12</v>
      </c>
      <c r="E310" s="299">
        <v>38</v>
      </c>
      <c r="F310" s="430" t="s">
        <v>3500</v>
      </c>
      <c r="G310" s="300" t="str">
        <f t="shared" si="12"/>
        <v>BordeauxSaarland</v>
      </c>
    </row>
    <row r="311" spans="1:7" ht="12" customHeight="1">
      <c r="A311" s="298">
        <v>36506</v>
      </c>
      <c r="B311" s="299" t="s">
        <v>3496</v>
      </c>
      <c r="C311" s="299">
        <v>120</v>
      </c>
      <c r="D311" s="299">
        <f t="shared" si="11"/>
        <v>12</v>
      </c>
      <c r="E311" s="299">
        <v>44</v>
      </c>
      <c r="F311" s="430" t="s">
        <v>3500</v>
      </c>
      <c r="G311" s="300" t="str">
        <f t="shared" si="12"/>
        <v>BordeauxSaarland</v>
      </c>
    </row>
    <row r="312" spans="1:7" ht="12" customHeight="1">
      <c r="A312" s="298">
        <v>36510</v>
      </c>
      <c r="B312" s="299" t="s">
        <v>3496</v>
      </c>
      <c r="C312" s="299">
        <v>180</v>
      </c>
      <c r="D312" s="299">
        <f t="shared" si="11"/>
        <v>12</v>
      </c>
      <c r="E312" s="299">
        <v>43</v>
      </c>
      <c r="F312" s="430" t="s">
        <v>3500</v>
      </c>
      <c r="G312" s="300" t="str">
        <f t="shared" si="12"/>
        <v>BordeauxSaarland</v>
      </c>
    </row>
    <row r="313" spans="1:7" ht="12" customHeight="1">
      <c r="A313" s="298">
        <v>36515</v>
      </c>
      <c r="B313" s="299" t="s">
        <v>3496</v>
      </c>
      <c r="C313" s="299">
        <v>40</v>
      </c>
      <c r="D313" s="299">
        <f t="shared" si="11"/>
        <v>12</v>
      </c>
      <c r="E313" s="299">
        <v>37</v>
      </c>
      <c r="F313" s="430" t="s">
        <v>3500</v>
      </c>
      <c r="G313" s="300" t="str">
        <f t="shared" si="12"/>
        <v>BordeauxSaarland</v>
      </c>
    </row>
    <row r="314" spans="1:7" ht="12" customHeight="1">
      <c r="A314" s="298">
        <v>36203</v>
      </c>
      <c r="B314" s="299" t="s">
        <v>3506</v>
      </c>
      <c r="C314" s="299">
        <v>180</v>
      </c>
      <c r="D314" s="299">
        <f t="shared" si="11"/>
        <v>2</v>
      </c>
      <c r="E314" s="299">
        <v>37</v>
      </c>
      <c r="F314" s="430" t="s">
        <v>3504</v>
      </c>
      <c r="G314" s="300" t="str">
        <f t="shared" si="12"/>
        <v>ChardonnayBayern</v>
      </c>
    </row>
    <row r="315" spans="1:7" ht="12" customHeight="1">
      <c r="A315" s="298">
        <v>36327</v>
      </c>
      <c r="B315" s="299" t="s">
        <v>3506</v>
      </c>
      <c r="C315" s="299">
        <v>30</v>
      </c>
      <c r="D315" s="299">
        <f t="shared" si="11"/>
        <v>6</v>
      </c>
      <c r="E315" s="299">
        <v>37</v>
      </c>
      <c r="F315" s="430" t="s">
        <v>3504</v>
      </c>
      <c r="G315" s="300" t="str">
        <f t="shared" si="12"/>
        <v>ChardonnayBayern</v>
      </c>
    </row>
    <row r="316" spans="1:7" ht="12" customHeight="1">
      <c r="A316" s="298">
        <v>36327</v>
      </c>
      <c r="B316" s="299" t="s">
        <v>3506</v>
      </c>
      <c r="C316" s="299">
        <v>180</v>
      </c>
      <c r="D316" s="299">
        <f t="shared" si="11"/>
        <v>6</v>
      </c>
      <c r="E316" s="299">
        <v>37</v>
      </c>
      <c r="F316" s="430" t="s">
        <v>3504</v>
      </c>
      <c r="G316" s="300" t="str">
        <f t="shared" si="12"/>
        <v>ChardonnayBayern</v>
      </c>
    </row>
    <row r="317" spans="1:7" ht="12" customHeight="1">
      <c r="A317" s="298">
        <v>36355</v>
      </c>
      <c r="B317" s="299" t="s">
        <v>3506</v>
      </c>
      <c r="C317" s="299">
        <v>60</v>
      </c>
      <c r="D317" s="299">
        <f t="shared" si="11"/>
        <v>7</v>
      </c>
      <c r="E317" s="299">
        <v>38</v>
      </c>
      <c r="F317" s="430" t="s">
        <v>3504</v>
      </c>
      <c r="G317" s="300" t="str">
        <f t="shared" si="12"/>
        <v>ChardonnayBayern</v>
      </c>
    </row>
    <row r="318" spans="1:7" ht="12" customHeight="1">
      <c r="A318" s="298">
        <v>36321</v>
      </c>
      <c r="B318" s="299" t="s">
        <v>3506</v>
      </c>
      <c r="C318" s="299">
        <v>30</v>
      </c>
      <c r="D318" s="299">
        <f t="shared" si="11"/>
        <v>6</v>
      </c>
      <c r="E318" s="299">
        <v>41</v>
      </c>
      <c r="F318" s="430" t="s">
        <v>3501</v>
      </c>
      <c r="G318" s="300" t="str">
        <f t="shared" si="12"/>
        <v>ChardonnayBW</v>
      </c>
    </row>
    <row r="319" spans="1:7" ht="12" customHeight="1">
      <c r="A319" s="298">
        <v>36368</v>
      </c>
      <c r="B319" s="299" t="s">
        <v>3506</v>
      </c>
      <c r="C319" s="299">
        <v>180</v>
      </c>
      <c r="D319" s="299">
        <f t="shared" si="11"/>
        <v>7</v>
      </c>
      <c r="E319" s="299">
        <v>42</v>
      </c>
      <c r="F319" s="430" t="s">
        <v>3501</v>
      </c>
      <c r="G319" s="300" t="str">
        <f t="shared" si="12"/>
        <v>ChardonnayBW</v>
      </c>
    </row>
    <row r="320" spans="1:7" ht="12" customHeight="1">
      <c r="A320" s="298">
        <v>36373</v>
      </c>
      <c r="B320" s="299" t="s">
        <v>3506</v>
      </c>
      <c r="C320" s="299">
        <v>50</v>
      </c>
      <c r="D320" s="299">
        <f t="shared" si="11"/>
        <v>8</v>
      </c>
      <c r="E320" s="299">
        <v>39</v>
      </c>
      <c r="F320" s="430" t="s">
        <v>3501</v>
      </c>
      <c r="G320" s="300" t="str">
        <f t="shared" si="12"/>
        <v>ChardonnayBW</v>
      </c>
    </row>
    <row r="321" spans="1:7" ht="12" customHeight="1">
      <c r="A321" s="298">
        <v>36374</v>
      </c>
      <c r="B321" s="299" t="s">
        <v>3506</v>
      </c>
      <c r="C321" s="299">
        <v>210</v>
      </c>
      <c r="D321" s="299">
        <f t="shared" si="11"/>
        <v>8</v>
      </c>
      <c r="E321" s="299">
        <v>41</v>
      </c>
      <c r="F321" s="430" t="s">
        <v>3501</v>
      </c>
      <c r="G321" s="300" t="str">
        <f t="shared" si="12"/>
        <v>ChardonnayBW</v>
      </c>
    </row>
    <row r="322" spans="1:7" ht="12" customHeight="1">
      <c r="A322" s="298">
        <v>36385</v>
      </c>
      <c r="B322" s="299" t="s">
        <v>3506</v>
      </c>
      <c r="C322" s="299">
        <v>80</v>
      </c>
      <c r="D322" s="299">
        <f t="shared" si="11"/>
        <v>8</v>
      </c>
      <c r="E322" s="299">
        <v>39</v>
      </c>
      <c r="F322" s="430" t="s">
        <v>3501</v>
      </c>
      <c r="G322" s="300" t="str">
        <f t="shared" si="12"/>
        <v>ChardonnayBW</v>
      </c>
    </row>
    <row r="323" spans="1:7" ht="12" customHeight="1">
      <c r="A323" s="298">
        <v>36395</v>
      </c>
      <c r="B323" s="299" t="s">
        <v>3506</v>
      </c>
      <c r="C323" s="299">
        <v>240</v>
      </c>
      <c r="D323" s="299">
        <f t="shared" si="11"/>
        <v>8</v>
      </c>
      <c r="E323" s="299">
        <v>39</v>
      </c>
      <c r="F323" s="430" t="s">
        <v>3501</v>
      </c>
      <c r="G323" s="300" t="str">
        <f t="shared" si="12"/>
        <v>ChardonnayBW</v>
      </c>
    </row>
    <row r="324" spans="1:7" ht="12" customHeight="1">
      <c r="A324" s="298">
        <v>36446</v>
      </c>
      <c r="B324" s="299" t="s">
        <v>3506</v>
      </c>
      <c r="C324" s="299">
        <v>90</v>
      </c>
      <c r="D324" s="299">
        <f t="shared" si="11"/>
        <v>10</v>
      </c>
      <c r="E324" s="299">
        <v>42</v>
      </c>
      <c r="F324" s="430" t="s">
        <v>3501</v>
      </c>
      <c r="G324" s="300" t="str">
        <f t="shared" si="12"/>
        <v>ChardonnayBW</v>
      </c>
    </row>
    <row r="325" spans="1:7" ht="12" customHeight="1">
      <c r="A325" s="298">
        <v>36501</v>
      </c>
      <c r="B325" s="299" t="s">
        <v>3506</v>
      </c>
      <c r="C325" s="299">
        <v>210</v>
      </c>
      <c r="D325" s="299">
        <f t="shared" si="11"/>
        <v>12</v>
      </c>
      <c r="E325" s="299">
        <v>42</v>
      </c>
      <c r="F325" s="430" t="s">
        <v>3501</v>
      </c>
      <c r="G325" s="300" t="str">
        <f t="shared" si="12"/>
        <v>ChardonnayBW</v>
      </c>
    </row>
    <row r="326" spans="1:7" ht="12" customHeight="1">
      <c r="A326" s="298">
        <v>36188</v>
      </c>
      <c r="B326" s="299" t="s">
        <v>3506</v>
      </c>
      <c r="C326" s="299">
        <v>150</v>
      </c>
      <c r="D326" s="299">
        <f t="shared" ref="D326:D389" si="13">MONTH(A326)</f>
        <v>1</v>
      </c>
      <c r="E326" s="299">
        <v>42</v>
      </c>
      <c r="F326" s="430" t="s">
        <v>3502</v>
      </c>
      <c r="G326" s="300" t="str">
        <f t="shared" ref="G326:G389" si="14">B326&amp;F326</f>
        <v>ChardonnayHessen</v>
      </c>
    </row>
    <row r="327" spans="1:7" ht="12" customHeight="1">
      <c r="A327" s="298">
        <v>36192</v>
      </c>
      <c r="B327" s="299" t="s">
        <v>3506</v>
      </c>
      <c r="C327" s="299">
        <v>150</v>
      </c>
      <c r="D327" s="299">
        <f t="shared" si="13"/>
        <v>2</v>
      </c>
      <c r="E327" s="299">
        <v>36</v>
      </c>
      <c r="F327" s="430" t="s">
        <v>3502</v>
      </c>
      <c r="G327" s="300" t="str">
        <f t="shared" si="14"/>
        <v>ChardonnayHessen</v>
      </c>
    </row>
    <row r="328" spans="1:7" ht="12" customHeight="1">
      <c r="A328" s="298">
        <v>36347</v>
      </c>
      <c r="B328" s="299" t="s">
        <v>3506</v>
      </c>
      <c r="C328" s="299">
        <v>210</v>
      </c>
      <c r="D328" s="299">
        <f t="shared" si="13"/>
        <v>7</v>
      </c>
      <c r="E328" s="299">
        <v>42</v>
      </c>
      <c r="F328" s="430" t="s">
        <v>3502</v>
      </c>
      <c r="G328" s="300" t="str">
        <f t="shared" si="14"/>
        <v>ChardonnayHessen</v>
      </c>
    </row>
    <row r="329" spans="1:7" ht="12" customHeight="1">
      <c r="A329" s="298">
        <v>36354</v>
      </c>
      <c r="B329" s="299" t="s">
        <v>3506</v>
      </c>
      <c r="C329" s="299">
        <v>10</v>
      </c>
      <c r="D329" s="299">
        <f t="shared" si="13"/>
        <v>7</v>
      </c>
      <c r="E329" s="299">
        <v>42</v>
      </c>
      <c r="F329" s="430" t="s">
        <v>3502</v>
      </c>
      <c r="G329" s="300" t="str">
        <f t="shared" si="14"/>
        <v>ChardonnayHessen</v>
      </c>
    </row>
    <row r="330" spans="1:7" ht="12" customHeight="1">
      <c r="A330" s="298">
        <v>36370</v>
      </c>
      <c r="B330" s="299" t="s">
        <v>3506</v>
      </c>
      <c r="C330" s="299">
        <v>10</v>
      </c>
      <c r="D330" s="299">
        <f t="shared" si="13"/>
        <v>7</v>
      </c>
      <c r="E330" s="299">
        <v>42</v>
      </c>
      <c r="F330" s="430" t="s">
        <v>3502</v>
      </c>
      <c r="G330" s="300" t="str">
        <f t="shared" si="14"/>
        <v>ChardonnayHessen</v>
      </c>
    </row>
    <row r="331" spans="1:7" ht="12" customHeight="1">
      <c r="A331" s="298">
        <v>36382</v>
      </c>
      <c r="B331" s="299" t="s">
        <v>3506</v>
      </c>
      <c r="C331" s="299">
        <v>40</v>
      </c>
      <c r="D331" s="299">
        <f t="shared" si="13"/>
        <v>8</v>
      </c>
      <c r="E331" s="299">
        <v>35</v>
      </c>
      <c r="F331" s="430" t="s">
        <v>3502</v>
      </c>
      <c r="G331" s="300" t="str">
        <f t="shared" si="14"/>
        <v>ChardonnayHessen</v>
      </c>
    </row>
    <row r="332" spans="1:7" ht="12" customHeight="1">
      <c r="A332" s="298">
        <v>36391</v>
      </c>
      <c r="B332" s="299" t="s">
        <v>3506</v>
      </c>
      <c r="C332" s="299">
        <v>150</v>
      </c>
      <c r="D332" s="299">
        <f t="shared" si="13"/>
        <v>8</v>
      </c>
      <c r="E332" s="299">
        <v>35</v>
      </c>
      <c r="F332" s="430" t="s">
        <v>3502</v>
      </c>
      <c r="G332" s="300" t="str">
        <f t="shared" si="14"/>
        <v>ChardonnayHessen</v>
      </c>
    </row>
    <row r="333" spans="1:7" ht="12" customHeight="1">
      <c r="A333" s="298">
        <v>36399</v>
      </c>
      <c r="B333" s="299" t="s">
        <v>3506</v>
      </c>
      <c r="C333" s="299">
        <v>20</v>
      </c>
      <c r="D333" s="299">
        <f t="shared" si="13"/>
        <v>8</v>
      </c>
      <c r="E333" s="299">
        <v>35</v>
      </c>
      <c r="F333" s="430" t="s">
        <v>3502</v>
      </c>
      <c r="G333" s="300" t="str">
        <f t="shared" si="14"/>
        <v>ChardonnayHessen</v>
      </c>
    </row>
    <row r="334" spans="1:7" ht="12" customHeight="1">
      <c r="A334" s="298">
        <v>36175</v>
      </c>
      <c r="B334" s="299" t="s">
        <v>3506</v>
      </c>
      <c r="C334" s="299">
        <v>90</v>
      </c>
      <c r="D334" s="299">
        <f t="shared" si="13"/>
        <v>1</v>
      </c>
      <c r="E334" s="299">
        <v>41</v>
      </c>
      <c r="F334" s="430" t="s">
        <v>3503</v>
      </c>
      <c r="G334" s="300" t="str">
        <f t="shared" si="14"/>
        <v>ChardonnayHolstein</v>
      </c>
    </row>
    <row r="335" spans="1:7" ht="12" customHeight="1">
      <c r="A335" s="298">
        <v>36498</v>
      </c>
      <c r="B335" s="299" t="s">
        <v>3506</v>
      </c>
      <c r="C335" s="299">
        <v>90</v>
      </c>
      <c r="D335" s="299">
        <f t="shared" si="13"/>
        <v>12</v>
      </c>
      <c r="E335" s="299">
        <v>43</v>
      </c>
      <c r="F335" s="430" t="s">
        <v>3503</v>
      </c>
      <c r="G335" s="300" t="str">
        <f t="shared" si="14"/>
        <v>ChardonnayHolstein</v>
      </c>
    </row>
    <row r="336" spans="1:7" ht="12" customHeight="1">
      <c r="A336" s="298">
        <v>36503</v>
      </c>
      <c r="B336" s="299" t="s">
        <v>3506</v>
      </c>
      <c r="C336" s="299">
        <v>150</v>
      </c>
      <c r="D336" s="299">
        <f t="shared" si="13"/>
        <v>12</v>
      </c>
      <c r="E336" s="299">
        <v>43</v>
      </c>
      <c r="F336" s="430" t="s">
        <v>3503</v>
      </c>
      <c r="G336" s="300" t="str">
        <f t="shared" si="14"/>
        <v>ChardonnayHolstein</v>
      </c>
    </row>
    <row r="337" spans="1:7" ht="12" customHeight="1">
      <c r="A337" s="298">
        <v>36222</v>
      </c>
      <c r="B337" s="299" t="s">
        <v>3506</v>
      </c>
      <c r="C337" s="299">
        <v>90</v>
      </c>
      <c r="D337" s="299">
        <f t="shared" si="13"/>
        <v>3</v>
      </c>
      <c r="E337" s="299">
        <v>36</v>
      </c>
      <c r="F337" s="430" t="s">
        <v>3497</v>
      </c>
      <c r="G337" s="300" t="str">
        <f t="shared" si="14"/>
        <v>ChardonnayNRW</v>
      </c>
    </row>
    <row r="338" spans="1:7" ht="12" customHeight="1">
      <c r="A338" s="298">
        <v>36229</v>
      </c>
      <c r="B338" s="299" t="s">
        <v>3506</v>
      </c>
      <c r="C338" s="299">
        <v>120</v>
      </c>
      <c r="D338" s="299">
        <f t="shared" si="13"/>
        <v>3</v>
      </c>
      <c r="E338" s="299">
        <v>36</v>
      </c>
      <c r="F338" s="430" t="s">
        <v>3497</v>
      </c>
      <c r="G338" s="300" t="str">
        <f t="shared" si="14"/>
        <v>ChardonnayNRW</v>
      </c>
    </row>
    <row r="339" spans="1:7" ht="12" customHeight="1">
      <c r="A339" s="298">
        <v>36242</v>
      </c>
      <c r="B339" s="299" t="s">
        <v>3506</v>
      </c>
      <c r="C339" s="299">
        <v>30</v>
      </c>
      <c r="D339" s="299">
        <f t="shared" si="13"/>
        <v>3</v>
      </c>
      <c r="E339" s="299">
        <v>36</v>
      </c>
      <c r="F339" s="430" t="s">
        <v>3497</v>
      </c>
      <c r="G339" s="300" t="str">
        <f t="shared" si="14"/>
        <v>ChardonnayNRW</v>
      </c>
    </row>
    <row r="340" spans="1:7" ht="12" customHeight="1">
      <c r="A340" s="298">
        <v>36246</v>
      </c>
      <c r="B340" s="299" t="s">
        <v>3506</v>
      </c>
      <c r="C340" s="299">
        <v>90</v>
      </c>
      <c r="D340" s="299">
        <f t="shared" si="13"/>
        <v>3</v>
      </c>
      <c r="E340" s="299">
        <v>41</v>
      </c>
      <c r="F340" s="430" t="s">
        <v>3497</v>
      </c>
      <c r="G340" s="300" t="str">
        <f t="shared" si="14"/>
        <v>ChardonnayNRW</v>
      </c>
    </row>
    <row r="341" spans="1:7" ht="12" customHeight="1">
      <c r="A341" s="298">
        <v>36247</v>
      </c>
      <c r="B341" s="299" t="s">
        <v>3506</v>
      </c>
      <c r="C341" s="299">
        <v>50</v>
      </c>
      <c r="D341" s="299">
        <f t="shared" si="13"/>
        <v>3</v>
      </c>
      <c r="E341" s="299">
        <v>36</v>
      </c>
      <c r="F341" s="430" t="s">
        <v>3497</v>
      </c>
      <c r="G341" s="300" t="str">
        <f t="shared" si="14"/>
        <v>ChardonnayNRW</v>
      </c>
    </row>
    <row r="342" spans="1:7" ht="12" customHeight="1">
      <c r="A342" s="298">
        <v>36248</v>
      </c>
      <c r="B342" s="299" t="s">
        <v>3506</v>
      </c>
      <c r="C342" s="299">
        <v>110</v>
      </c>
      <c r="D342" s="299">
        <f t="shared" si="13"/>
        <v>3</v>
      </c>
      <c r="E342" s="299">
        <v>43</v>
      </c>
      <c r="F342" s="430" t="s">
        <v>3497</v>
      </c>
      <c r="G342" s="300" t="str">
        <f t="shared" si="14"/>
        <v>ChardonnayNRW</v>
      </c>
    </row>
    <row r="343" spans="1:7" ht="12" customHeight="1">
      <c r="A343" s="298">
        <v>36253</v>
      </c>
      <c r="B343" s="299" t="s">
        <v>3506</v>
      </c>
      <c r="C343" s="299">
        <v>120</v>
      </c>
      <c r="D343" s="299">
        <f t="shared" si="13"/>
        <v>4</v>
      </c>
      <c r="E343" s="299">
        <v>36</v>
      </c>
      <c r="F343" s="430" t="s">
        <v>3497</v>
      </c>
      <c r="G343" s="300" t="str">
        <f t="shared" si="14"/>
        <v>ChardonnayNRW</v>
      </c>
    </row>
    <row r="344" spans="1:7" ht="12" customHeight="1">
      <c r="A344" s="298">
        <v>36263</v>
      </c>
      <c r="B344" s="299" t="s">
        <v>3506</v>
      </c>
      <c r="C344" s="299">
        <v>70</v>
      </c>
      <c r="D344" s="299">
        <f t="shared" si="13"/>
        <v>4</v>
      </c>
      <c r="E344" s="299">
        <v>42</v>
      </c>
      <c r="F344" s="430" t="s">
        <v>3497</v>
      </c>
      <c r="G344" s="300" t="str">
        <f t="shared" si="14"/>
        <v>ChardonnayNRW</v>
      </c>
    </row>
    <row r="345" spans="1:7" ht="12" customHeight="1">
      <c r="A345" s="298">
        <v>36286</v>
      </c>
      <c r="B345" s="299" t="s">
        <v>3506</v>
      </c>
      <c r="C345" s="299">
        <v>30</v>
      </c>
      <c r="D345" s="299">
        <f t="shared" si="13"/>
        <v>5</v>
      </c>
      <c r="E345" s="299">
        <v>36</v>
      </c>
      <c r="F345" s="430" t="s">
        <v>3497</v>
      </c>
      <c r="G345" s="300" t="str">
        <f t="shared" si="14"/>
        <v>ChardonnayNRW</v>
      </c>
    </row>
    <row r="346" spans="1:7" ht="12" customHeight="1">
      <c r="A346" s="298">
        <v>36298</v>
      </c>
      <c r="B346" s="299" t="s">
        <v>3506</v>
      </c>
      <c r="C346" s="299">
        <v>210</v>
      </c>
      <c r="D346" s="299">
        <f t="shared" si="13"/>
        <v>5</v>
      </c>
      <c r="E346" s="299">
        <v>43</v>
      </c>
      <c r="F346" s="430" t="s">
        <v>3497</v>
      </c>
      <c r="G346" s="300" t="str">
        <f t="shared" si="14"/>
        <v>ChardonnayNRW</v>
      </c>
    </row>
    <row r="347" spans="1:7" ht="12" customHeight="1">
      <c r="A347" s="298">
        <v>36306</v>
      </c>
      <c r="B347" s="299" t="s">
        <v>3506</v>
      </c>
      <c r="C347" s="299">
        <v>30</v>
      </c>
      <c r="D347" s="299">
        <f t="shared" si="13"/>
        <v>5</v>
      </c>
      <c r="E347" s="299">
        <v>36</v>
      </c>
      <c r="F347" s="430" t="s">
        <v>3497</v>
      </c>
      <c r="G347" s="300" t="str">
        <f t="shared" si="14"/>
        <v>ChardonnayNRW</v>
      </c>
    </row>
    <row r="348" spans="1:7" ht="12" customHeight="1">
      <c r="A348" s="298">
        <v>36362</v>
      </c>
      <c r="B348" s="299" t="s">
        <v>3506</v>
      </c>
      <c r="C348" s="299">
        <v>150</v>
      </c>
      <c r="D348" s="299">
        <f t="shared" si="13"/>
        <v>7</v>
      </c>
      <c r="E348" s="299">
        <v>38</v>
      </c>
      <c r="F348" s="430" t="s">
        <v>3497</v>
      </c>
      <c r="G348" s="300" t="str">
        <f t="shared" si="14"/>
        <v>ChardonnayNRW</v>
      </c>
    </row>
    <row r="349" spans="1:7" ht="12" customHeight="1">
      <c r="A349" s="298">
        <v>36364</v>
      </c>
      <c r="B349" s="299" t="s">
        <v>3506</v>
      </c>
      <c r="C349" s="299">
        <v>70</v>
      </c>
      <c r="D349" s="299">
        <f t="shared" si="13"/>
        <v>7</v>
      </c>
      <c r="E349" s="299">
        <v>42</v>
      </c>
      <c r="F349" s="430" t="s">
        <v>3497</v>
      </c>
      <c r="G349" s="300" t="str">
        <f t="shared" si="14"/>
        <v>ChardonnayNRW</v>
      </c>
    </row>
    <row r="350" spans="1:7" ht="12" customHeight="1">
      <c r="A350" s="298">
        <v>36365</v>
      </c>
      <c r="B350" s="299" t="s">
        <v>3506</v>
      </c>
      <c r="C350" s="299">
        <v>80</v>
      </c>
      <c r="D350" s="299">
        <f t="shared" si="13"/>
        <v>7</v>
      </c>
      <c r="E350" s="299">
        <v>39</v>
      </c>
      <c r="F350" s="430" t="s">
        <v>3497</v>
      </c>
      <c r="G350" s="300" t="str">
        <f t="shared" si="14"/>
        <v>ChardonnayNRW</v>
      </c>
    </row>
    <row r="351" spans="1:7" ht="12" customHeight="1">
      <c r="A351" s="298">
        <v>36376</v>
      </c>
      <c r="B351" s="299" t="s">
        <v>3506</v>
      </c>
      <c r="C351" s="299">
        <v>110</v>
      </c>
      <c r="D351" s="299">
        <f t="shared" si="13"/>
        <v>8</v>
      </c>
      <c r="E351" s="299">
        <v>36</v>
      </c>
      <c r="F351" s="430" t="s">
        <v>3497</v>
      </c>
      <c r="G351" s="300" t="str">
        <f t="shared" si="14"/>
        <v>ChardonnayNRW</v>
      </c>
    </row>
    <row r="352" spans="1:7" ht="12" customHeight="1">
      <c r="A352" s="298">
        <v>36401</v>
      </c>
      <c r="B352" s="299" t="s">
        <v>3506</v>
      </c>
      <c r="C352" s="299">
        <v>120</v>
      </c>
      <c r="D352" s="299">
        <f t="shared" si="13"/>
        <v>8</v>
      </c>
      <c r="E352" s="299">
        <v>42</v>
      </c>
      <c r="F352" s="430" t="s">
        <v>3497</v>
      </c>
      <c r="G352" s="300" t="str">
        <f t="shared" si="14"/>
        <v>ChardonnayNRW</v>
      </c>
    </row>
    <row r="353" spans="1:7" ht="12" customHeight="1">
      <c r="A353" s="298">
        <v>36414</v>
      </c>
      <c r="B353" s="299" t="s">
        <v>3506</v>
      </c>
      <c r="C353" s="299">
        <v>90</v>
      </c>
      <c r="D353" s="299">
        <f t="shared" si="13"/>
        <v>9</v>
      </c>
      <c r="E353" s="299">
        <v>43</v>
      </c>
      <c r="F353" s="430" t="s">
        <v>3497</v>
      </c>
      <c r="G353" s="300" t="str">
        <f t="shared" si="14"/>
        <v>ChardonnayNRW</v>
      </c>
    </row>
    <row r="354" spans="1:7" ht="12" customHeight="1">
      <c r="A354" s="298">
        <v>36435</v>
      </c>
      <c r="B354" s="299" t="s">
        <v>3506</v>
      </c>
      <c r="C354" s="299">
        <v>150</v>
      </c>
      <c r="D354" s="299">
        <f t="shared" si="13"/>
        <v>10</v>
      </c>
      <c r="E354" s="299">
        <v>38</v>
      </c>
      <c r="F354" s="430" t="s">
        <v>3497</v>
      </c>
      <c r="G354" s="300" t="str">
        <f t="shared" si="14"/>
        <v>ChardonnayNRW</v>
      </c>
    </row>
    <row r="355" spans="1:7" ht="12" customHeight="1">
      <c r="A355" s="298">
        <v>36435</v>
      </c>
      <c r="B355" s="299" t="s">
        <v>3506</v>
      </c>
      <c r="C355" s="299">
        <v>150</v>
      </c>
      <c r="D355" s="299">
        <f t="shared" si="13"/>
        <v>10</v>
      </c>
      <c r="E355" s="299">
        <v>39</v>
      </c>
      <c r="F355" s="430" t="s">
        <v>3497</v>
      </c>
      <c r="G355" s="300" t="str">
        <f t="shared" si="14"/>
        <v>ChardonnayNRW</v>
      </c>
    </row>
    <row r="356" spans="1:7" ht="12" customHeight="1">
      <c r="A356" s="298">
        <v>36453</v>
      </c>
      <c r="B356" s="299" t="s">
        <v>3506</v>
      </c>
      <c r="C356" s="299">
        <v>10</v>
      </c>
      <c r="D356" s="299">
        <f t="shared" si="13"/>
        <v>10</v>
      </c>
      <c r="E356" s="299">
        <v>36</v>
      </c>
      <c r="F356" s="430" t="s">
        <v>3497</v>
      </c>
      <c r="G356" s="300" t="str">
        <f t="shared" si="14"/>
        <v>ChardonnayNRW</v>
      </c>
    </row>
    <row r="357" spans="1:7" ht="12" customHeight="1">
      <c r="A357" s="298">
        <v>36457</v>
      </c>
      <c r="B357" s="299" t="s">
        <v>3506</v>
      </c>
      <c r="C357" s="299">
        <v>120</v>
      </c>
      <c r="D357" s="299">
        <f t="shared" si="13"/>
        <v>10</v>
      </c>
      <c r="E357" s="299">
        <v>36</v>
      </c>
      <c r="F357" s="430" t="s">
        <v>3497</v>
      </c>
      <c r="G357" s="300" t="str">
        <f t="shared" si="14"/>
        <v>ChardonnayNRW</v>
      </c>
    </row>
    <row r="358" spans="1:7" ht="12" customHeight="1">
      <c r="A358" s="298">
        <v>36495</v>
      </c>
      <c r="B358" s="299" t="s">
        <v>3506</v>
      </c>
      <c r="C358" s="299">
        <v>50</v>
      </c>
      <c r="D358" s="299">
        <f t="shared" si="13"/>
        <v>12</v>
      </c>
      <c r="E358" s="299">
        <v>36</v>
      </c>
      <c r="F358" s="430" t="s">
        <v>3497</v>
      </c>
      <c r="G358" s="300" t="str">
        <f t="shared" si="14"/>
        <v>ChardonnayNRW</v>
      </c>
    </row>
    <row r="359" spans="1:7" ht="12" customHeight="1">
      <c r="A359" s="298">
        <v>36496</v>
      </c>
      <c r="B359" s="299" t="s">
        <v>3506</v>
      </c>
      <c r="C359" s="299">
        <v>30</v>
      </c>
      <c r="D359" s="299">
        <f t="shared" si="13"/>
        <v>12</v>
      </c>
      <c r="E359" s="299">
        <v>36</v>
      </c>
      <c r="F359" s="430" t="s">
        <v>3497</v>
      </c>
      <c r="G359" s="300" t="str">
        <f t="shared" si="14"/>
        <v>ChardonnayNRW</v>
      </c>
    </row>
    <row r="360" spans="1:7" ht="12" customHeight="1">
      <c r="A360" s="298">
        <v>36507</v>
      </c>
      <c r="B360" s="299" t="s">
        <v>3506</v>
      </c>
      <c r="C360" s="299">
        <v>150</v>
      </c>
      <c r="D360" s="299">
        <f t="shared" si="13"/>
        <v>12</v>
      </c>
      <c r="E360" s="299">
        <v>36</v>
      </c>
      <c r="F360" s="430" t="s">
        <v>3497</v>
      </c>
      <c r="G360" s="300" t="str">
        <f t="shared" si="14"/>
        <v>ChardonnayNRW</v>
      </c>
    </row>
    <row r="361" spans="1:7" ht="12" customHeight="1">
      <c r="A361" s="298">
        <v>36509</v>
      </c>
      <c r="B361" s="299" t="s">
        <v>3506</v>
      </c>
      <c r="C361" s="299">
        <v>110</v>
      </c>
      <c r="D361" s="299">
        <f t="shared" si="13"/>
        <v>12</v>
      </c>
      <c r="E361" s="299">
        <v>36</v>
      </c>
      <c r="F361" s="430" t="s">
        <v>3497</v>
      </c>
      <c r="G361" s="300" t="str">
        <f t="shared" si="14"/>
        <v>ChardonnayNRW</v>
      </c>
    </row>
    <row r="362" spans="1:7" ht="12" customHeight="1">
      <c r="A362" s="298">
        <v>36523</v>
      </c>
      <c r="B362" s="299" t="s">
        <v>3506</v>
      </c>
      <c r="C362" s="299">
        <v>240</v>
      </c>
      <c r="D362" s="299">
        <f t="shared" si="13"/>
        <v>12</v>
      </c>
      <c r="E362" s="299">
        <v>36</v>
      </c>
      <c r="F362" s="430" t="s">
        <v>3497</v>
      </c>
      <c r="G362" s="300" t="str">
        <f t="shared" si="14"/>
        <v>ChardonnayNRW</v>
      </c>
    </row>
    <row r="363" spans="1:7" ht="12" customHeight="1">
      <c r="A363" s="298">
        <v>36201</v>
      </c>
      <c r="B363" s="299" t="s">
        <v>3506</v>
      </c>
      <c r="C363" s="299">
        <v>100</v>
      </c>
      <c r="D363" s="299">
        <f t="shared" si="13"/>
        <v>2</v>
      </c>
      <c r="E363" s="299">
        <v>44</v>
      </c>
      <c r="F363" s="430" t="s">
        <v>3499</v>
      </c>
      <c r="G363" s="300" t="str">
        <f t="shared" si="14"/>
        <v>ChardonnayPfalz</v>
      </c>
    </row>
    <row r="364" spans="1:7" ht="12" customHeight="1">
      <c r="A364" s="298">
        <v>36219</v>
      </c>
      <c r="B364" s="299" t="s">
        <v>3506</v>
      </c>
      <c r="C364" s="299">
        <v>240</v>
      </c>
      <c r="D364" s="299">
        <f t="shared" si="13"/>
        <v>2</v>
      </c>
      <c r="E364" s="299">
        <v>38</v>
      </c>
      <c r="F364" s="430" t="s">
        <v>3499</v>
      </c>
      <c r="G364" s="300" t="str">
        <f t="shared" si="14"/>
        <v>ChardonnayPfalz</v>
      </c>
    </row>
    <row r="365" spans="1:7" ht="12" customHeight="1">
      <c r="A365" s="298">
        <v>36222</v>
      </c>
      <c r="B365" s="299" t="s">
        <v>3506</v>
      </c>
      <c r="C365" s="299">
        <v>80</v>
      </c>
      <c r="D365" s="299">
        <f t="shared" si="13"/>
        <v>3</v>
      </c>
      <c r="E365" s="299">
        <v>42</v>
      </c>
      <c r="F365" s="430" t="s">
        <v>3499</v>
      </c>
      <c r="G365" s="300" t="str">
        <f t="shared" si="14"/>
        <v>ChardonnayPfalz</v>
      </c>
    </row>
    <row r="366" spans="1:7" ht="12" customHeight="1">
      <c r="A366" s="298">
        <v>36226</v>
      </c>
      <c r="B366" s="299" t="s">
        <v>3506</v>
      </c>
      <c r="C366" s="299">
        <v>30</v>
      </c>
      <c r="D366" s="299">
        <f t="shared" si="13"/>
        <v>3</v>
      </c>
      <c r="E366" s="299">
        <v>35</v>
      </c>
      <c r="F366" s="430" t="s">
        <v>3499</v>
      </c>
      <c r="G366" s="300" t="str">
        <f t="shared" si="14"/>
        <v>ChardonnayPfalz</v>
      </c>
    </row>
    <row r="367" spans="1:7" ht="12" customHeight="1">
      <c r="A367" s="298">
        <v>36227</v>
      </c>
      <c r="B367" s="299" t="s">
        <v>3506</v>
      </c>
      <c r="C367" s="299">
        <v>60</v>
      </c>
      <c r="D367" s="299">
        <f t="shared" si="13"/>
        <v>3</v>
      </c>
      <c r="E367" s="299">
        <v>44</v>
      </c>
      <c r="F367" s="430" t="s">
        <v>3499</v>
      </c>
      <c r="G367" s="300" t="str">
        <f t="shared" si="14"/>
        <v>ChardonnayPfalz</v>
      </c>
    </row>
    <row r="368" spans="1:7" ht="12" customHeight="1">
      <c r="A368" s="298">
        <v>36232</v>
      </c>
      <c r="B368" s="299" t="s">
        <v>3506</v>
      </c>
      <c r="C368" s="299">
        <v>180</v>
      </c>
      <c r="D368" s="299">
        <f t="shared" si="13"/>
        <v>3</v>
      </c>
      <c r="E368" s="299">
        <v>42</v>
      </c>
      <c r="F368" s="430" t="s">
        <v>3499</v>
      </c>
      <c r="G368" s="300" t="str">
        <f t="shared" si="14"/>
        <v>ChardonnayPfalz</v>
      </c>
    </row>
    <row r="369" spans="1:7" ht="12" customHeight="1">
      <c r="A369" s="298">
        <v>36240</v>
      </c>
      <c r="B369" s="299" t="s">
        <v>3506</v>
      </c>
      <c r="C369" s="299">
        <v>10</v>
      </c>
      <c r="D369" s="299">
        <f t="shared" si="13"/>
        <v>3</v>
      </c>
      <c r="E369" s="299">
        <v>35</v>
      </c>
      <c r="F369" s="430" t="s">
        <v>3499</v>
      </c>
      <c r="G369" s="300" t="str">
        <f t="shared" si="14"/>
        <v>ChardonnayPfalz</v>
      </c>
    </row>
    <row r="370" spans="1:7" ht="12" customHeight="1">
      <c r="A370" s="298">
        <v>36272</v>
      </c>
      <c r="B370" s="299" t="s">
        <v>3506</v>
      </c>
      <c r="C370" s="299">
        <v>90</v>
      </c>
      <c r="D370" s="299">
        <f t="shared" si="13"/>
        <v>4</v>
      </c>
      <c r="E370" s="299">
        <v>38</v>
      </c>
      <c r="F370" s="430" t="s">
        <v>3499</v>
      </c>
      <c r="G370" s="300" t="str">
        <f t="shared" si="14"/>
        <v>ChardonnayPfalz</v>
      </c>
    </row>
    <row r="371" spans="1:7" ht="12" customHeight="1">
      <c r="A371" s="298">
        <v>36279</v>
      </c>
      <c r="B371" s="299" t="s">
        <v>3506</v>
      </c>
      <c r="C371" s="299">
        <v>210</v>
      </c>
      <c r="D371" s="299">
        <f t="shared" si="13"/>
        <v>4</v>
      </c>
      <c r="E371" s="299">
        <v>44</v>
      </c>
      <c r="F371" s="430" t="s">
        <v>3499</v>
      </c>
      <c r="G371" s="300" t="str">
        <f t="shared" si="14"/>
        <v>ChardonnayPfalz</v>
      </c>
    </row>
    <row r="372" spans="1:7" ht="12" customHeight="1">
      <c r="A372" s="298">
        <v>36304</v>
      </c>
      <c r="B372" s="299" t="s">
        <v>3506</v>
      </c>
      <c r="C372" s="299">
        <v>120</v>
      </c>
      <c r="D372" s="299">
        <f t="shared" si="13"/>
        <v>5</v>
      </c>
      <c r="E372" s="299">
        <v>42</v>
      </c>
      <c r="F372" s="430" t="s">
        <v>3499</v>
      </c>
      <c r="G372" s="300" t="str">
        <f t="shared" si="14"/>
        <v>ChardonnayPfalz</v>
      </c>
    </row>
    <row r="373" spans="1:7" ht="12" customHeight="1">
      <c r="A373" s="298">
        <v>36316</v>
      </c>
      <c r="B373" s="299" t="s">
        <v>3506</v>
      </c>
      <c r="C373" s="299">
        <v>120</v>
      </c>
      <c r="D373" s="299">
        <f t="shared" si="13"/>
        <v>6</v>
      </c>
      <c r="E373" s="299">
        <v>44</v>
      </c>
      <c r="F373" s="430" t="s">
        <v>3499</v>
      </c>
      <c r="G373" s="300" t="str">
        <f t="shared" si="14"/>
        <v>ChardonnayPfalz</v>
      </c>
    </row>
    <row r="374" spans="1:7" ht="12" customHeight="1">
      <c r="A374" s="298">
        <v>36319</v>
      </c>
      <c r="B374" s="299" t="s">
        <v>3506</v>
      </c>
      <c r="C374" s="299">
        <v>50</v>
      </c>
      <c r="D374" s="299">
        <f t="shared" si="13"/>
        <v>6</v>
      </c>
      <c r="E374" s="299">
        <v>38</v>
      </c>
      <c r="F374" s="430" t="s">
        <v>3499</v>
      </c>
      <c r="G374" s="300" t="str">
        <f t="shared" si="14"/>
        <v>ChardonnayPfalz</v>
      </c>
    </row>
    <row r="375" spans="1:7" ht="12" customHeight="1">
      <c r="A375" s="298">
        <v>36321</v>
      </c>
      <c r="B375" s="299" t="s">
        <v>3506</v>
      </c>
      <c r="C375" s="299">
        <v>80</v>
      </c>
      <c r="D375" s="299">
        <f t="shared" si="13"/>
        <v>6</v>
      </c>
      <c r="E375" s="299">
        <v>44</v>
      </c>
      <c r="F375" s="430" t="s">
        <v>3499</v>
      </c>
      <c r="G375" s="300" t="str">
        <f t="shared" si="14"/>
        <v>ChardonnayPfalz</v>
      </c>
    </row>
    <row r="376" spans="1:7" ht="12" customHeight="1">
      <c r="A376" s="298">
        <v>36335</v>
      </c>
      <c r="B376" s="299" t="s">
        <v>3506</v>
      </c>
      <c r="C376" s="299">
        <v>30</v>
      </c>
      <c r="D376" s="299">
        <f t="shared" si="13"/>
        <v>6</v>
      </c>
      <c r="E376" s="299">
        <v>35</v>
      </c>
      <c r="F376" s="430" t="s">
        <v>3499</v>
      </c>
      <c r="G376" s="300" t="str">
        <f t="shared" si="14"/>
        <v>ChardonnayPfalz</v>
      </c>
    </row>
    <row r="377" spans="1:7" ht="12" customHeight="1">
      <c r="A377" s="298">
        <v>36398</v>
      </c>
      <c r="B377" s="299" t="s">
        <v>3506</v>
      </c>
      <c r="C377" s="299">
        <v>10</v>
      </c>
      <c r="D377" s="299">
        <f t="shared" si="13"/>
        <v>8</v>
      </c>
      <c r="E377" s="299">
        <v>35</v>
      </c>
      <c r="F377" s="430" t="s">
        <v>3499</v>
      </c>
      <c r="G377" s="300" t="str">
        <f t="shared" si="14"/>
        <v>ChardonnayPfalz</v>
      </c>
    </row>
    <row r="378" spans="1:7" ht="12" customHeight="1">
      <c r="A378" s="298">
        <v>36401</v>
      </c>
      <c r="B378" s="299" t="s">
        <v>3506</v>
      </c>
      <c r="C378" s="299">
        <v>120</v>
      </c>
      <c r="D378" s="299">
        <f t="shared" si="13"/>
        <v>8</v>
      </c>
      <c r="E378" s="299">
        <v>35</v>
      </c>
      <c r="F378" s="430" t="s">
        <v>3499</v>
      </c>
      <c r="G378" s="300" t="str">
        <f t="shared" si="14"/>
        <v>ChardonnayPfalz</v>
      </c>
    </row>
    <row r="379" spans="1:7" ht="12" customHeight="1">
      <c r="A379" s="298">
        <v>36420</v>
      </c>
      <c r="B379" s="299" t="s">
        <v>3506</v>
      </c>
      <c r="C379" s="299">
        <v>120</v>
      </c>
      <c r="D379" s="299">
        <f t="shared" si="13"/>
        <v>9</v>
      </c>
      <c r="E379" s="299">
        <v>42</v>
      </c>
      <c r="F379" s="430" t="s">
        <v>3499</v>
      </c>
      <c r="G379" s="300" t="str">
        <f t="shared" si="14"/>
        <v>ChardonnayPfalz</v>
      </c>
    </row>
    <row r="380" spans="1:7" ht="12" customHeight="1">
      <c r="A380" s="298">
        <v>36436</v>
      </c>
      <c r="B380" s="299" t="s">
        <v>3506</v>
      </c>
      <c r="C380" s="299">
        <v>70</v>
      </c>
      <c r="D380" s="299">
        <f t="shared" si="13"/>
        <v>10</v>
      </c>
      <c r="E380" s="299">
        <v>38</v>
      </c>
      <c r="F380" s="430" t="s">
        <v>3499</v>
      </c>
      <c r="G380" s="300" t="str">
        <f t="shared" si="14"/>
        <v>ChardonnayPfalz</v>
      </c>
    </row>
    <row r="381" spans="1:7" ht="12" customHeight="1">
      <c r="A381" s="298">
        <v>36441</v>
      </c>
      <c r="B381" s="299" t="s">
        <v>3506</v>
      </c>
      <c r="C381" s="299">
        <v>90</v>
      </c>
      <c r="D381" s="299">
        <f t="shared" si="13"/>
        <v>10</v>
      </c>
      <c r="E381" s="299">
        <v>38</v>
      </c>
      <c r="F381" s="430" t="s">
        <v>3499</v>
      </c>
      <c r="G381" s="300" t="str">
        <f t="shared" si="14"/>
        <v>ChardonnayPfalz</v>
      </c>
    </row>
    <row r="382" spans="1:7" ht="12" customHeight="1">
      <c r="A382" s="298">
        <v>36449</v>
      </c>
      <c r="B382" s="299" t="s">
        <v>3506</v>
      </c>
      <c r="C382" s="299">
        <v>50</v>
      </c>
      <c r="D382" s="299">
        <f t="shared" si="13"/>
        <v>10</v>
      </c>
      <c r="E382" s="299">
        <v>38</v>
      </c>
      <c r="F382" s="430" t="s">
        <v>3499</v>
      </c>
      <c r="G382" s="300" t="str">
        <f t="shared" si="14"/>
        <v>ChardonnayPfalz</v>
      </c>
    </row>
    <row r="383" spans="1:7" ht="12" customHeight="1">
      <c r="A383" s="298">
        <v>36453</v>
      </c>
      <c r="B383" s="299" t="s">
        <v>3506</v>
      </c>
      <c r="C383" s="299">
        <v>210</v>
      </c>
      <c r="D383" s="299">
        <f t="shared" si="13"/>
        <v>10</v>
      </c>
      <c r="E383" s="299">
        <v>42</v>
      </c>
      <c r="F383" s="430" t="s">
        <v>3499</v>
      </c>
      <c r="G383" s="300" t="str">
        <f t="shared" si="14"/>
        <v>ChardonnayPfalz</v>
      </c>
    </row>
    <row r="384" spans="1:7" ht="12" customHeight="1">
      <c r="A384" s="298">
        <v>36454</v>
      </c>
      <c r="B384" s="299" t="s">
        <v>3506</v>
      </c>
      <c r="C384" s="299">
        <v>210</v>
      </c>
      <c r="D384" s="299">
        <f t="shared" si="13"/>
        <v>10</v>
      </c>
      <c r="E384" s="299">
        <v>38</v>
      </c>
      <c r="F384" s="430" t="s">
        <v>3499</v>
      </c>
      <c r="G384" s="300" t="str">
        <f t="shared" si="14"/>
        <v>ChardonnayPfalz</v>
      </c>
    </row>
    <row r="385" spans="1:7" ht="12" customHeight="1">
      <c r="A385" s="298">
        <v>36455</v>
      </c>
      <c r="B385" s="299" t="s">
        <v>3506</v>
      </c>
      <c r="C385" s="299">
        <v>210</v>
      </c>
      <c r="D385" s="299">
        <f t="shared" si="13"/>
        <v>10</v>
      </c>
      <c r="E385" s="299">
        <v>42</v>
      </c>
      <c r="F385" s="430" t="s">
        <v>3499</v>
      </c>
      <c r="G385" s="300" t="str">
        <f t="shared" si="14"/>
        <v>ChardonnayPfalz</v>
      </c>
    </row>
    <row r="386" spans="1:7" ht="12" customHeight="1">
      <c r="A386" s="298">
        <v>36467</v>
      </c>
      <c r="B386" s="299" t="s">
        <v>3506</v>
      </c>
      <c r="C386" s="299">
        <v>120</v>
      </c>
      <c r="D386" s="299">
        <f t="shared" si="13"/>
        <v>11</v>
      </c>
      <c r="E386" s="299">
        <v>35</v>
      </c>
      <c r="F386" s="430" t="s">
        <v>3499</v>
      </c>
      <c r="G386" s="300" t="str">
        <f t="shared" si="14"/>
        <v>ChardonnayPfalz</v>
      </c>
    </row>
    <row r="387" spans="1:7" ht="12" customHeight="1">
      <c r="A387" s="298">
        <v>36471</v>
      </c>
      <c r="B387" s="299" t="s">
        <v>3506</v>
      </c>
      <c r="C387" s="299">
        <v>90</v>
      </c>
      <c r="D387" s="299">
        <f t="shared" si="13"/>
        <v>11</v>
      </c>
      <c r="E387" s="299">
        <v>38</v>
      </c>
      <c r="F387" s="430" t="s">
        <v>3499</v>
      </c>
      <c r="G387" s="300" t="str">
        <f t="shared" si="14"/>
        <v>ChardonnayPfalz</v>
      </c>
    </row>
    <row r="388" spans="1:7" ht="12" customHeight="1">
      <c r="A388" s="298">
        <v>36482</v>
      </c>
      <c r="B388" s="299" t="s">
        <v>3506</v>
      </c>
      <c r="C388" s="299">
        <v>120</v>
      </c>
      <c r="D388" s="299">
        <f t="shared" si="13"/>
        <v>11</v>
      </c>
      <c r="E388" s="299">
        <v>42</v>
      </c>
      <c r="F388" s="430" t="s">
        <v>3499</v>
      </c>
      <c r="G388" s="300" t="str">
        <f t="shared" si="14"/>
        <v>ChardonnayPfalz</v>
      </c>
    </row>
    <row r="389" spans="1:7" ht="12" customHeight="1">
      <c r="A389" s="298">
        <v>36486</v>
      </c>
      <c r="B389" s="299" t="s">
        <v>3506</v>
      </c>
      <c r="C389" s="299">
        <v>210</v>
      </c>
      <c r="D389" s="299">
        <f t="shared" si="13"/>
        <v>11</v>
      </c>
      <c r="E389" s="299">
        <v>38</v>
      </c>
      <c r="F389" s="430" t="s">
        <v>3499</v>
      </c>
      <c r="G389" s="300" t="str">
        <f t="shared" si="14"/>
        <v>ChardonnayPfalz</v>
      </c>
    </row>
    <row r="390" spans="1:7" ht="12" customHeight="1">
      <c r="A390" s="298">
        <v>36505</v>
      </c>
      <c r="B390" s="299" t="s">
        <v>3506</v>
      </c>
      <c r="C390" s="299">
        <v>30</v>
      </c>
      <c r="D390" s="299">
        <f t="shared" ref="D390:D453" si="15">MONTH(A390)</f>
        <v>12</v>
      </c>
      <c r="E390" s="299">
        <v>38</v>
      </c>
      <c r="F390" s="430" t="s">
        <v>3499</v>
      </c>
      <c r="G390" s="300" t="str">
        <f t="shared" ref="G390:G453" si="16">B390&amp;F390</f>
        <v>ChardonnayPfalz</v>
      </c>
    </row>
    <row r="391" spans="1:7" ht="12" customHeight="1">
      <c r="A391" s="298">
        <v>36165</v>
      </c>
      <c r="B391" s="299" t="s">
        <v>3506</v>
      </c>
      <c r="C391" s="299">
        <v>90</v>
      </c>
      <c r="D391" s="299">
        <f t="shared" si="15"/>
        <v>1</v>
      </c>
      <c r="E391" s="299">
        <v>38</v>
      </c>
      <c r="F391" s="430" t="s">
        <v>3500</v>
      </c>
      <c r="G391" s="300" t="str">
        <f t="shared" si="16"/>
        <v>ChardonnaySaarland</v>
      </c>
    </row>
    <row r="392" spans="1:7" ht="12" customHeight="1">
      <c r="A392" s="298">
        <v>36195</v>
      </c>
      <c r="B392" s="299" t="s">
        <v>3506</v>
      </c>
      <c r="C392" s="299">
        <v>110</v>
      </c>
      <c r="D392" s="299">
        <f t="shared" si="15"/>
        <v>2</v>
      </c>
      <c r="E392" s="299">
        <v>37</v>
      </c>
      <c r="F392" s="430" t="s">
        <v>3500</v>
      </c>
      <c r="G392" s="300" t="str">
        <f t="shared" si="16"/>
        <v>ChardonnaySaarland</v>
      </c>
    </row>
    <row r="393" spans="1:7" ht="12" customHeight="1">
      <c r="A393" s="298">
        <v>36208</v>
      </c>
      <c r="B393" s="299" t="s">
        <v>3506</v>
      </c>
      <c r="C393" s="299">
        <v>40</v>
      </c>
      <c r="D393" s="299">
        <f t="shared" si="15"/>
        <v>2</v>
      </c>
      <c r="E393" s="299">
        <v>37</v>
      </c>
      <c r="F393" s="430" t="s">
        <v>3500</v>
      </c>
      <c r="G393" s="300" t="str">
        <f t="shared" si="16"/>
        <v>ChardonnaySaarland</v>
      </c>
    </row>
    <row r="394" spans="1:7" ht="12" customHeight="1">
      <c r="A394" s="298">
        <v>36208</v>
      </c>
      <c r="B394" s="299" t="s">
        <v>3506</v>
      </c>
      <c r="C394" s="299">
        <v>210</v>
      </c>
      <c r="D394" s="299">
        <f t="shared" si="15"/>
        <v>2</v>
      </c>
      <c r="E394" s="299">
        <v>35</v>
      </c>
      <c r="F394" s="430" t="s">
        <v>3500</v>
      </c>
      <c r="G394" s="300" t="str">
        <f t="shared" si="16"/>
        <v>ChardonnaySaarland</v>
      </c>
    </row>
    <row r="395" spans="1:7" ht="12" customHeight="1">
      <c r="A395" s="298">
        <v>36211</v>
      </c>
      <c r="B395" s="299" t="s">
        <v>3506</v>
      </c>
      <c r="C395" s="299">
        <v>120</v>
      </c>
      <c r="D395" s="299">
        <f t="shared" si="15"/>
        <v>2</v>
      </c>
      <c r="E395" s="299">
        <v>44</v>
      </c>
      <c r="F395" s="430" t="s">
        <v>3500</v>
      </c>
      <c r="G395" s="300" t="str">
        <f t="shared" si="16"/>
        <v>ChardonnaySaarland</v>
      </c>
    </row>
    <row r="396" spans="1:7" ht="12" customHeight="1">
      <c r="A396" s="298">
        <v>36214</v>
      </c>
      <c r="B396" s="299" t="s">
        <v>3506</v>
      </c>
      <c r="C396" s="299">
        <v>180</v>
      </c>
      <c r="D396" s="299">
        <f t="shared" si="15"/>
        <v>2</v>
      </c>
      <c r="E396" s="299">
        <v>38</v>
      </c>
      <c r="F396" s="430" t="s">
        <v>3500</v>
      </c>
      <c r="G396" s="300" t="str">
        <f t="shared" si="16"/>
        <v>ChardonnaySaarland</v>
      </c>
    </row>
    <row r="397" spans="1:7" ht="12" customHeight="1">
      <c r="A397" s="298">
        <v>36215</v>
      </c>
      <c r="B397" s="299" t="s">
        <v>3506</v>
      </c>
      <c r="C397" s="299">
        <v>10</v>
      </c>
      <c r="D397" s="299">
        <f t="shared" si="15"/>
        <v>2</v>
      </c>
      <c r="E397" s="299">
        <v>44</v>
      </c>
      <c r="F397" s="430" t="s">
        <v>3500</v>
      </c>
      <c r="G397" s="300" t="str">
        <f t="shared" si="16"/>
        <v>ChardonnaySaarland</v>
      </c>
    </row>
    <row r="398" spans="1:7" ht="12" customHeight="1">
      <c r="A398" s="298">
        <v>36216</v>
      </c>
      <c r="B398" s="299" t="s">
        <v>3506</v>
      </c>
      <c r="C398" s="299">
        <v>10</v>
      </c>
      <c r="D398" s="299">
        <f t="shared" si="15"/>
        <v>2</v>
      </c>
      <c r="E398" s="299">
        <v>44</v>
      </c>
      <c r="F398" s="430" t="s">
        <v>3500</v>
      </c>
      <c r="G398" s="300" t="str">
        <f t="shared" si="16"/>
        <v>ChardonnaySaarland</v>
      </c>
    </row>
    <row r="399" spans="1:7" ht="12" customHeight="1">
      <c r="A399" s="298">
        <v>36218</v>
      </c>
      <c r="B399" s="299" t="s">
        <v>3506</v>
      </c>
      <c r="C399" s="299">
        <v>100</v>
      </c>
      <c r="D399" s="299">
        <f t="shared" si="15"/>
        <v>2</v>
      </c>
      <c r="E399" s="299">
        <v>44</v>
      </c>
      <c r="F399" s="430" t="s">
        <v>3500</v>
      </c>
      <c r="G399" s="300" t="str">
        <f t="shared" si="16"/>
        <v>ChardonnaySaarland</v>
      </c>
    </row>
    <row r="400" spans="1:7" ht="12" customHeight="1">
      <c r="A400" s="298">
        <v>36220</v>
      </c>
      <c r="B400" s="299" t="s">
        <v>3506</v>
      </c>
      <c r="C400" s="299">
        <v>70</v>
      </c>
      <c r="D400" s="299">
        <f t="shared" si="15"/>
        <v>3</v>
      </c>
      <c r="E400" s="299">
        <v>42</v>
      </c>
      <c r="F400" s="430" t="s">
        <v>3500</v>
      </c>
      <c r="G400" s="300" t="str">
        <f t="shared" si="16"/>
        <v>ChardonnaySaarland</v>
      </c>
    </row>
    <row r="401" spans="1:7" ht="12" customHeight="1">
      <c r="A401" s="298">
        <v>36223</v>
      </c>
      <c r="B401" s="299" t="s">
        <v>3506</v>
      </c>
      <c r="C401" s="299">
        <v>120</v>
      </c>
      <c r="D401" s="299">
        <f t="shared" si="15"/>
        <v>3</v>
      </c>
      <c r="E401" s="299">
        <v>44</v>
      </c>
      <c r="F401" s="430" t="s">
        <v>3500</v>
      </c>
      <c r="G401" s="300" t="str">
        <f t="shared" si="16"/>
        <v>ChardonnaySaarland</v>
      </c>
    </row>
    <row r="402" spans="1:7" ht="12" customHeight="1">
      <c r="A402" s="298">
        <v>36227</v>
      </c>
      <c r="B402" s="299" t="s">
        <v>3506</v>
      </c>
      <c r="C402" s="299">
        <v>30</v>
      </c>
      <c r="D402" s="299">
        <f t="shared" si="15"/>
        <v>3</v>
      </c>
      <c r="E402" s="299">
        <v>43</v>
      </c>
      <c r="F402" s="430" t="s">
        <v>3500</v>
      </c>
      <c r="G402" s="300" t="str">
        <f t="shared" si="16"/>
        <v>ChardonnaySaarland</v>
      </c>
    </row>
    <row r="403" spans="1:7" ht="12" customHeight="1">
      <c r="A403" s="298">
        <v>36232</v>
      </c>
      <c r="B403" s="299" t="s">
        <v>3506</v>
      </c>
      <c r="C403" s="299">
        <v>180</v>
      </c>
      <c r="D403" s="299">
        <f t="shared" si="15"/>
        <v>3</v>
      </c>
      <c r="E403" s="299">
        <v>43</v>
      </c>
      <c r="F403" s="430" t="s">
        <v>3500</v>
      </c>
      <c r="G403" s="300" t="str">
        <f t="shared" si="16"/>
        <v>ChardonnaySaarland</v>
      </c>
    </row>
    <row r="404" spans="1:7" ht="12" customHeight="1">
      <c r="A404" s="298">
        <v>36249</v>
      </c>
      <c r="B404" s="299" t="s">
        <v>3506</v>
      </c>
      <c r="C404" s="299">
        <v>210</v>
      </c>
      <c r="D404" s="299">
        <f t="shared" si="15"/>
        <v>3</v>
      </c>
      <c r="E404" s="299">
        <v>42</v>
      </c>
      <c r="F404" s="430" t="s">
        <v>3500</v>
      </c>
      <c r="G404" s="300" t="str">
        <f t="shared" si="16"/>
        <v>ChardonnaySaarland</v>
      </c>
    </row>
    <row r="405" spans="1:7" ht="12" customHeight="1">
      <c r="A405" s="298">
        <v>36252</v>
      </c>
      <c r="B405" s="299" t="s">
        <v>3506</v>
      </c>
      <c r="C405" s="299">
        <v>50</v>
      </c>
      <c r="D405" s="299">
        <f t="shared" si="15"/>
        <v>4</v>
      </c>
      <c r="E405" s="299">
        <v>35</v>
      </c>
      <c r="F405" s="430" t="s">
        <v>3500</v>
      </c>
      <c r="G405" s="300" t="str">
        <f t="shared" si="16"/>
        <v>ChardonnaySaarland</v>
      </c>
    </row>
    <row r="406" spans="1:7" ht="12" customHeight="1">
      <c r="A406" s="298">
        <v>36257</v>
      </c>
      <c r="B406" s="299" t="s">
        <v>3506</v>
      </c>
      <c r="C406" s="299">
        <v>50</v>
      </c>
      <c r="D406" s="299">
        <f t="shared" si="15"/>
        <v>4</v>
      </c>
      <c r="E406" s="299">
        <v>37</v>
      </c>
      <c r="F406" s="430" t="s">
        <v>3500</v>
      </c>
      <c r="G406" s="300" t="str">
        <f t="shared" si="16"/>
        <v>ChardonnaySaarland</v>
      </c>
    </row>
    <row r="407" spans="1:7" ht="12" customHeight="1">
      <c r="A407" s="298">
        <v>36260</v>
      </c>
      <c r="B407" s="299" t="s">
        <v>3506</v>
      </c>
      <c r="C407" s="299">
        <v>90</v>
      </c>
      <c r="D407" s="299">
        <f t="shared" si="15"/>
        <v>4</v>
      </c>
      <c r="E407" s="299">
        <v>42</v>
      </c>
      <c r="F407" s="430" t="s">
        <v>3500</v>
      </c>
      <c r="G407" s="300" t="str">
        <f t="shared" si="16"/>
        <v>ChardonnaySaarland</v>
      </c>
    </row>
    <row r="408" spans="1:7" ht="12" customHeight="1">
      <c r="A408" s="298">
        <v>36274</v>
      </c>
      <c r="B408" s="299" t="s">
        <v>3506</v>
      </c>
      <c r="C408" s="299">
        <v>80</v>
      </c>
      <c r="D408" s="299">
        <f t="shared" si="15"/>
        <v>4</v>
      </c>
      <c r="E408" s="299">
        <v>42</v>
      </c>
      <c r="F408" s="430" t="s">
        <v>3500</v>
      </c>
      <c r="G408" s="300" t="str">
        <f t="shared" si="16"/>
        <v>ChardonnaySaarland</v>
      </c>
    </row>
    <row r="409" spans="1:7" ht="12" customHeight="1">
      <c r="A409" s="298">
        <v>36275</v>
      </c>
      <c r="B409" s="299" t="s">
        <v>3506</v>
      </c>
      <c r="C409" s="299">
        <v>30</v>
      </c>
      <c r="D409" s="299">
        <f t="shared" si="15"/>
        <v>4</v>
      </c>
      <c r="E409" s="299">
        <v>37</v>
      </c>
      <c r="F409" s="430" t="s">
        <v>3500</v>
      </c>
      <c r="G409" s="300" t="str">
        <f t="shared" si="16"/>
        <v>ChardonnaySaarland</v>
      </c>
    </row>
    <row r="410" spans="1:7" ht="12" customHeight="1">
      <c r="A410" s="298">
        <v>36278</v>
      </c>
      <c r="B410" s="299" t="s">
        <v>3506</v>
      </c>
      <c r="C410" s="299">
        <v>80</v>
      </c>
      <c r="D410" s="299">
        <f t="shared" si="15"/>
        <v>4</v>
      </c>
      <c r="E410" s="299">
        <v>37</v>
      </c>
      <c r="F410" s="430" t="s">
        <v>3500</v>
      </c>
      <c r="G410" s="300" t="str">
        <f t="shared" si="16"/>
        <v>ChardonnaySaarland</v>
      </c>
    </row>
    <row r="411" spans="1:7" ht="12" customHeight="1">
      <c r="A411" s="298">
        <v>36283</v>
      </c>
      <c r="B411" s="299" t="s">
        <v>3506</v>
      </c>
      <c r="C411" s="299">
        <v>210</v>
      </c>
      <c r="D411" s="299">
        <f t="shared" si="15"/>
        <v>5</v>
      </c>
      <c r="E411" s="299">
        <v>43</v>
      </c>
      <c r="F411" s="430" t="s">
        <v>3500</v>
      </c>
      <c r="G411" s="300" t="str">
        <f t="shared" si="16"/>
        <v>ChardonnaySaarland</v>
      </c>
    </row>
    <row r="412" spans="1:7" ht="12" customHeight="1">
      <c r="A412" s="298">
        <v>36293</v>
      </c>
      <c r="B412" s="299" t="s">
        <v>3506</v>
      </c>
      <c r="C412" s="299">
        <v>120</v>
      </c>
      <c r="D412" s="299">
        <f t="shared" si="15"/>
        <v>5</v>
      </c>
      <c r="E412" s="299">
        <v>38</v>
      </c>
      <c r="F412" s="430" t="s">
        <v>3500</v>
      </c>
      <c r="G412" s="300" t="str">
        <f t="shared" si="16"/>
        <v>ChardonnaySaarland</v>
      </c>
    </row>
    <row r="413" spans="1:7" ht="12" customHeight="1">
      <c r="A413" s="298">
        <v>36294</v>
      </c>
      <c r="B413" s="299" t="s">
        <v>3506</v>
      </c>
      <c r="C413" s="299">
        <v>40</v>
      </c>
      <c r="D413" s="299">
        <f t="shared" si="15"/>
        <v>5</v>
      </c>
      <c r="E413" s="299">
        <v>42</v>
      </c>
      <c r="F413" s="430" t="s">
        <v>3500</v>
      </c>
      <c r="G413" s="300" t="str">
        <f t="shared" si="16"/>
        <v>ChardonnaySaarland</v>
      </c>
    </row>
    <row r="414" spans="1:7" ht="12" customHeight="1">
      <c r="A414" s="298">
        <v>36296</v>
      </c>
      <c r="B414" s="299" t="s">
        <v>3506</v>
      </c>
      <c r="C414" s="299">
        <v>60</v>
      </c>
      <c r="D414" s="299">
        <f t="shared" si="15"/>
        <v>5</v>
      </c>
      <c r="E414" s="299">
        <v>38</v>
      </c>
      <c r="F414" s="430" t="s">
        <v>3500</v>
      </c>
      <c r="G414" s="300" t="str">
        <f t="shared" si="16"/>
        <v>ChardonnaySaarland</v>
      </c>
    </row>
    <row r="415" spans="1:7" ht="12" customHeight="1">
      <c r="A415" s="298">
        <v>36298</v>
      </c>
      <c r="B415" s="299" t="s">
        <v>3506</v>
      </c>
      <c r="C415" s="299">
        <v>150</v>
      </c>
      <c r="D415" s="299">
        <f t="shared" si="15"/>
        <v>5</v>
      </c>
      <c r="E415" s="299">
        <v>37</v>
      </c>
      <c r="F415" s="430" t="s">
        <v>3500</v>
      </c>
      <c r="G415" s="300" t="str">
        <f t="shared" si="16"/>
        <v>ChardonnaySaarland</v>
      </c>
    </row>
    <row r="416" spans="1:7" ht="12" customHeight="1">
      <c r="A416" s="298">
        <v>36298</v>
      </c>
      <c r="B416" s="299" t="s">
        <v>3506</v>
      </c>
      <c r="C416" s="299">
        <v>90</v>
      </c>
      <c r="D416" s="299">
        <f t="shared" si="15"/>
        <v>5</v>
      </c>
      <c r="E416" s="299">
        <v>37</v>
      </c>
      <c r="F416" s="430" t="s">
        <v>3500</v>
      </c>
      <c r="G416" s="300" t="str">
        <f t="shared" si="16"/>
        <v>ChardonnaySaarland</v>
      </c>
    </row>
    <row r="417" spans="1:7" ht="12" customHeight="1">
      <c r="A417" s="298">
        <v>36310</v>
      </c>
      <c r="B417" s="299" t="s">
        <v>3506</v>
      </c>
      <c r="C417" s="299">
        <v>240</v>
      </c>
      <c r="D417" s="299">
        <f t="shared" si="15"/>
        <v>5</v>
      </c>
      <c r="E417" s="299">
        <v>38</v>
      </c>
      <c r="F417" s="430" t="s">
        <v>3500</v>
      </c>
      <c r="G417" s="300" t="str">
        <f t="shared" si="16"/>
        <v>ChardonnaySaarland</v>
      </c>
    </row>
    <row r="418" spans="1:7" ht="12" customHeight="1">
      <c r="A418" s="298">
        <v>36317</v>
      </c>
      <c r="B418" s="299" t="s">
        <v>3506</v>
      </c>
      <c r="C418" s="299">
        <v>30</v>
      </c>
      <c r="D418" s="299">
        <f t="shared" si="15"/>
        <v>6</v>
      </c>
      <c r="E418" s="299">
        <v>35</v>
      </c>
      <c r="F418" s="430" t="s">
        <v>3500</v>
      </c>
      <c r="G418" s="300" t="str">
        <f t="shared" si="16"/>
        <v>ChardonnaySaarland</v>
      </c>
    </row>
    <row r="419" spans="1:7" ht="12" customHeight="1">
      <c r="A419" s="298">
        <v>36322</v>
      </c>
      <c r="B419" s="299" t="s">
        <v>3506</v>
      </c>
      <c r="C419" s="299">
        <v>150</v>
      </c>
      <c r="D419" s="299">
        <f t="shared" si="15"/>
        <v>6</v>
      </c>
      <c r="E419" s="299">
        <v>38</v>
      </c>
      <c r="F419" s="430" t="s">
        <v>3500</v>
      </c>
      <c r="G419" s="300" t="str">
        <f t="shared" si="16"/>
        <v>ChardonnaySaarland</v>
      </c>
    </row>
    <row r="420" spans="1:7" ht="12" customHeight="1">
      <c r="A420" s="298">
        <v>36323</v>
      </c>
      <c r="B420" s="299" t="s">
        <v>3506</v>
      </c>
      <c r="C420" s="299">
        <v>120</v>
      </c>
      <c r="D420" s="299">
        <f t="shared" si="15"/>
        <v>6</v>
      </c>
      <c r="E420" s="299">
        <v>38</v>
      </c>
      <c r="F420" s="430" t="s">
        <v>3500</v>
      </c>
      <c r="G420" s="300" t="str">
        <f t="shared" si="16"/>
        <v>ChardonnaySaarland</v>
      </c>
    </row>
    <row r="421" spans="1:7" ht="12" customHeight="1">
      <c r="A421" s="298">
        <v>36325</v>
      </c>
      <c r="B421" s="299" t="s">
        <v>3506</v>
      </c>
      <c r="C421" s="299">
        <v>90</v>
      </c>
      <c r="D421" s="299">
        <f t="shared" si="15"/>
        <v>6</v>
      </c>
      <c r="E421" s="299">
        <v>42</v>
      </c>
      <c r="F421" s="430" t="s">
        <v>3500</v>
      </c>
      <c r="G421" s="300" t="str">
        <f t="shared" si="16"/>
        <v>ChardonnaySaarland</v>
      </c>
    </row>
    <row r="422" spans="1:7" ht="12" customHeight="1">
      <c r="A422" s="298">
        <v>36327</v>
      </c>
      <c r="B422" s="299" t="s">
        <v>3506</v>
      </c>
      <c r="C422" s="299">
        <v>120</v>
      </c>
      <c r="D422" s="299">
        <f t="shared" si="15"/>
        <v>6</v>
      </c>
      <c r="E422" s="299">
        <v>42</v>
      </c>
      <c r="F422" s="430" t="s">
        <v>3500</v>
      </c>
      <c r="G422" s="300" t="str">
        <f t="shared" si="16"/>
        <v>ChardonnaySaarland</v>
      </c>
    </row>
    <row r="423" spans="1:7" ht="12" customHeight="1">
      <c r="A423" s="298">
        <v>36330</v>
      </c>
      <c r="B423" s="299" t="s">
        <v>3506</v>
      </c>
      <c r="C423" s="299">
        <v>100</v>
      </c>
      <c r="D423" s="299">
        <f t="shared" si="15"/>
        <v>6</v>
      </c>
      <c r="E423" s="299">
        <v>38</v>
      </c>
      <c r="F423" s="430" t="s">
        <v>3500</v>
      </c>
      <c r="G423" s="300" t="str">
        <f t="shared" si="16"/>
        <v>ChardonnaySaarland</v>
      </c>
    </row>
    <row r="424" spans="1:7" ht="12" customHeight="1">
      <c r="A424" s="298">
        <v>36331</v>
      </c>
      <c r="B424" s="299" t="s">
        <v>3506</v>
      </c>
      <c r="C424" s="299">
        <v>120</v>
      </c>
      <c r="D424" s="299">
        <f t="shared" si="15"/>
        <v>6</v>
      </c>
      <c r="E424" s="299">
        <v>44</v>
      </c>
      <c r="F424" s="430" t="s">
        <v>3500</v>
      </c>
      <c r="G424" s="300" t="str">
        <f t="shared" si="16"/>
        <v>ChardonnaySaarland</v>
      </c>
    </row>
    <row r="425" spans="1:7" ht="12" customHeight="1">
      <c r="A425" s="298">
        <v>36334</v>
      </c>
      <c r="B425" s="299" t="s">
        <v>3506</v>
      </c>
      <c r="C425" s="299">
        <v>120</v>
      </c>
      <c r="D425" s="299">
        <f t="shared" si="15"/>
        <v>6</v>
      </c>
      <c r="E425" s="299">
        <v>42</v>
      </c>
      <c r="F425" s="430" t="s">
        <v>3500</v>
      </c>
      <c r="G425" s="300" t="str">
        <f t="shared" si="16"/>
        <v>ChardonnaySaarland</v>
      </c>
    </row>
    <row r="426" spans="1:7" ht="12" customHeight="1">
      <c r="A426" s="298">
        <v>36339</v>
      </c>
      <c r="B426" s="299" t="s">
        <v>3506</v>
      </c>
      <c r="C426" s="299">
        <v>240</v>
      </c>
      <c r="D426" s="299">
        <f t="shared" si="15"/>
        <v>6</v>
      </c>
      <c r="E426" s="299">
        <v>38</v>
      </c>
      <c r="F426" s="430" t="s">
        <v>3500</v>
      </c>
      <c r="G426" s="300" t="str">
        <f t="shared" si="16"/>
        <v>ChardonnaySaarland</v>
      </c>
    </row>
    <row r="427" spans="1:7" ht="12" customHeight="1">
      <c r="A427" s="298">
        <v>36339</v>
      </c>
      <c r="B427" s="299" t="s">
        <v>3506</v>
      </c>
      <c r="C427" s="299">
        <v>80</v>
      </c>
      <c r="D427" s="299">
        <f t="shared" si="15"/>
        <v>6</v>
      </c>
      <c r="E427" s="299">
        <v>38</v>
      </c>
      <c r="F427" s="430" t="s">
        <v>3500</v>
      </c>
      <c r="G427" s="300" t="str">
        <f t="shared" si="16"/>
        <v>ChardonnaySaarland</v>
      </c>
    </row>
    <row r="428" spans="1:7" ht="12" customHeight="1">
      <c r="A428" s="298">
        <v>36351</v>
      </c>
      <c r="B428" s="299" t="s">
        <v>3506</v>
      </c>
      <c r="C428" s="299">
        <v>80</v>
      </c>
      <c r="D428" s="299">
        <f t="shared" si="15"/>
        <v>7</v>
      </c>
      <c r="E428" s="299">
        <v>42</v>
      </c>
      <c r="F428" s="430" t="s">
        <v>3500</v>
      </c>
      <c r="G428" s="300" t="str">
        <f t="shared" si="16"/>
        <v>ChardonnaySaarland</v>
      </c>
    </row>
    <row r="429" spans="1:7" ht="12" customHeight="1">
      <c r="A429" s="298">
        <v>36376</v>
      </c>
      <c r="B429" s="299" t="s">
        <v>3506</v>
      </c>
      <c r="C429" s="299">
        <v>210</v>
      </c>
      <c r="D429" s="299">
        <f t="shared" si="15"/>
        <v>8</v>
      </c>
      <c r="E429" s="299">
        <v>43</v>
      </c>
      <c r="F429" s="430" t="s">
        <v>3500</v>
      </c>
      <c r="G429" s="300" t="str">
        <f t="shared" si="16"/>
        <v>ChardonnaySaarland</v>
      </c>
    </row>
    <row r="430" spans="1:7" ht="12" customHeight="1">
      <c r="A430" s="298">
        <v>36379</v>
      </c>
      <c r="B430" s="299" t="s">
        <v>3506</v>
      </c>
      <c r="C430" s="299">
        <v>50</v>
      </c>
      <c r="D430" s="299">
        <f t="shared" si="15"/>
        <v>8</v>
      </c>
      <c r="E430" s="299">
        <v>37</v>
      </c>
      <c r="F430" s="430" t="s">
        <v>3500</v>
      </c>
      <c r="G430" s="300" t="str">
        <f t="shared" si="16"/>
        <v>ChardonnaySaarland</v>
      </c>
    </row>
    <row r="431" spans="1:7" ht="12" customHeight="1">
      <c r="A431" s="298">
        <v>36381</v>
      </c>
      <c r="B431" s="299" t="s">
        <v>3506</v>
      </c>
      <c r="C431" s="299">
        <v>90</v>
      </c>
      <c r="D431" s="299">
        <f t="shared" si="15"/>
        <v>8</v>
      </c>
      <c r="E431" s="299">
        <v>37</v>
      </c>
      <c r="F431" s="430" t="s">
        <v>3500</v>
      </c>
      <c r="G431" s="300" t="str">
        <f t="shared" si="16"/>
        <v>ChardonnaySaarland</v>
      </c>
    </row>
    <row r="432" spans="1:7" ht="12" customHeight="1">
      <c r="A432" s="298">
        <v>36381</v>
      </c>
      <c r="B432" s="299" t="s">
        <v>3506</v>
      </c>
      <c r="C432" s="299">
        <v>120</v>
      </c>
      <c r="D432" s="299">
        <f t="shared" si="15"/>
        <v>8</v>
      </c>
      <c r="E432" s="299">
        <v>44</v>
      </c>
      <c r="F432" s="430" t="s">
        <v>3500</v>
      </c>
      <c r="G432" s="300" t="str">
        <f t="shared" si="16"/>
        <v>ChardonnaySaarland</v>
      </c>
    </row>
    <row r="433" spans="1:7" ht="12" customHeight="1">
      <c r="A433" s="298">
        <v>36384</v>
      </c>
      <c r="B433" s="299" t="s">
        <v>3506</v>
      </c>
      <c r="C433" s="299">
        <v>50</v>
      </c>
      <c r="D433" s="299">
        <f t="shared" si="15"/>
        <v>8</v>
      </c>
      <c r="E433" s="299">
        <v>42</v>
      </c>
      <c r="F433" s="430" t="s">
        <v>3500</v>
      </c>
      <c r="G433" s="300" t="str">
        <f t="shared" si="16"/>
        <v>ChardonnaySaarland</v>
      </c>
    </row>
    <row r="434" spans="1:7" ht="12" customHeight="1">
      <c r="A434" s="298">
        <v>36400</v>
      </c>
      <c r="B434" s="299" t="s">
        <v>3506</v>
      </c>
      <c r="C434" s="299">
        <v>120</v>
      </c>
      <c r="D434" s="299">
        <f t="shared" si="15"/>
        <v>8</v>
      </c>
      <c r="E434" s="299">
        <v>44</v>
      </c>
      <c r="F434" s="430" t="s">
        <v>3500</v>
      </c>
      <c r="G434" s="300" t="str">
        <f t="shared" si="16"/>
        <v>ChardonnaySaarland</v>
      </c>
    </row>
    <row r="435" spans="1:7" ht="12" customHeight="1">
      <c r="A435" s="298">
        <v>36401</v>
      </c>
      <c r="B435" s="299" t="s">
        <v>3506</v>
      </c>
      <c r="C435" s="299">
        <v>210</v>
      </c>
      <c r="D435" s="299">
        <f t="shared" si="15"/>
        <v>8</v>
      </c>
      <c r="E435" s="299">
        <v>37</v>
      </c>
      <c r="F435" s="430" t="s">
        <v>3500</v>
      </c>
      <c r="G435" s="300" t="str">
        <f t="shared" si="16"/>
        <v>ChardonnaySaarland</v>
      </c>
    </row>
    <row r="436" spans="1:7" ht="12" customHeight="1">
      <c r="A436" s="298">
        <v>36439</v>
      </c>
      <c r="B436" s="299" t="s">
        <v>3506</v>
      </c>
      <c r="C436" s="299">
        <v>120</v>
      </c>
      <c r="D436" s="299">
        <f t="shared" si="15"/>
        <v>10</v>
      </c>
      <c r="E436" s="299">
        <v>42</v>
      </c>
      <c r="F436" s="430" t="s">
        <v>3500</v>
      </c>
      <c r="G436" s="300" t="str">
        <f t="shared" si="16"/>
        <v>ChardonnaySaarland</v>
      </c>
    </row>
    <row r="437" spans="1:7" ht="12" customHeight="1">
      <c r="A437" s="298">
        <v>36440</v>
      </c>
      <c r="B437" s="299" t="s">
        <v>3506</v>
      </c>
      <c r="C437" s="299">
        <v>180</v>
      </c>
      <c r="D437" s="299">
        <f t="shared" si="15"/>
        <v>10</v>
      </c>
      <c r="E437" s="299">
        <v>38</v>
      </c>
      <c r="F437" s="430" t="s">
        <v>3500</v>
      </c>
      <c r="G437" s="300" t="str">
        <f t="shared" si="16"/>
        <v>ChardonnaySaarland</v>
      </c>
    </row>
    <row r="438" spans="1:7" ht="12" customHeight="1">
      <c r="A438" s="298">
        <v>36441</v>
      </c>
      <c r="B438" s="299" t="s">
        <v>3506</v>
      </c>
      <c r="C438" s="299">
        <v>90</v>
      </c>
      <c r="D438" s="299">
        <f t="shared" si="15"/>
        <v>10</v>
      </c>
      <c r="E438" s="299">
        <v>38</v>
      </c>
      <c r="F438" s="430" t="s">
        <v>3500</v>
      </c>
      <c r="G438" s="300" t="str">
        <f t="shared" si="16"/>
        <v>ChardonnaySaarland</v>
      </c>
    </row>
    <row r="439" spans="1:7" ht="12" customHeight="1">
      <c r="A439" s="298">
        <v>36444</v>
      </c>
      <c r="B439" s="299" t="s">
        <v>3506</v>
      </c>
      <c r="C439" s="299">
        <v>120</v>
      </c>
      <c r="D439" s="299">
        <f t="shared" si="15"/>
        <v>10</v>
      </c>
      <c r="E439" s="299">
        <v>42</v>
      </c>
      <c r="F439" s="430" t="s">
        <v>3500</v>
      </c>
      <c r="G439" s="300" t="str">
        <f t="shared" si="16"/>
        <v>ChardonnaySaarland</v>
      </c>
    </row>
    <row r="440" spans="1:7" ht="12" customHeight="1">
      <c r="A440" s="298">
        <v>36450</v>
      </c>
      <c r="B440" s="299" t="s">
        <v>3506</v>
      </c>
      <c r="C440" s="299">
        <v>180</v>
      </c>
      <c r="D440" s="299">
        <f t="shared" si="15"/>
        <v>10</v>
      </c>
      <c r="E440" s="299">
        <v>43</v>
      </c>
      <c r="F440" s="430" t="s">
        <v>3500</v>
      </c>
      <c r="G440" s="300" t="str">
        <f t="shared" si="16"/>
        <v>ChardonnaySaarland</v>
      </c>
    </row>
    <row r="441" spans="1:7" ht="12" customHeight="1">
      <c r="A441" s="298">
        <v>36452</v>
      </c>
      <c r="B441" s="299" t="s">
        <v>3506</v>
      </c>
      <c r="C441" s="299">
        <v>10</v>
      </c>
      <c r="D441" s="299">
        <f t="shared" si="15"/>
        <v>10</v>
      </c>
      <c r="E441" s="299">
        <v>44</v>
      </c>
      <c r="F441" s="430" t="s">
        <v>3500</v>
      </c>
      <c r="G441" s="300" t="str">
        <f t="shared" si="16"/>
        <v>ChardonnaySaarland</v>
      </c>
    </row>
    <row r="442" spans="1:7" ht="12" customHeight="1">
      <c r="A442" s="298">
        <v>36463</v>
      </c>
      <c r="B442" s="299" t="s">
        <v>3506</v>
      </c>
      <c r="C442" s="299">
        <v>90</v>
      </c>
      <c r="D442" s="299">
        <f t="shared" si="15"/>
        <v>10</v>
      </c>
      <c r="E442" s="299">
        <v>42</v>
      </c>
      <c r="F442" s="430" t="s">
        <v>3500</v>
      </c>
      <c r="G442" s="300" t="str">
        <f t="shared" si="16"/>
        <v>ChardonnaySaarland</v>
      </c>
    </row>
    <row r="443" spans="1:7" ht="12" customHeight="1">
      <c r="A443" s="298">
        <v>36474</v>
      </c>
      <c r="B443" s="299" t="s">
        <v>3506</v>
      </c>
      <c r="C443" s="299">
        <v>120</v>
      </c>
      <c r="D443" s="299">
        <f t="shared" si="15"/>
        <v>11</v>
      </c>
      <c r="E443" s="299">
        <v>44</v>
      </c>
      <c r="F443" s="430" t="s">
        <v>3500</v>
      </c>
      <c r="G443" s="300" t="str">
        <f t="shared" si="16"/>
        <v>ChardonnaySaarland</v>
      </c>
    </row>
    <row r="444" spans="1:7" ht="12" customHeight="1">
      <c r="A444" s="298">
        <v>36477</v>
      </c>
      <c r="B444" s="299" t="s">
        <v>3506</v>
      </c>
      <c r="C444" s="299">
        <v>210</v>
      </c>
      <c r="D444" s="299">
        <f t="shared" si="15"/>
        <v>11</v>
      </c>
      <c r="E444" s="299">
        <v>38</v>
      </c>
      <c r="F444" s="430" t="s">
        <v>3500</v>
      </c>
      <c r="G444" s="300" t="str">
        <f t="shared" si="16"/>
        <v>ChardonnaySaarland</v>
      </c>
    </row>
    <row r="445" spans="1:7" ht="12" customHeight="1">
      <c r="A445" s="298">
        <v>36481</v>
      </c>
      <c r="B445" s="299" t="s">
        <v>3506</v>
      </c>
      <c r="C445" s="299">
        <v>110</v>
      </c>
      <c r="D445" s="299">
        <f t="shared" si="15"/>
        <v>11</v>
      </c>
      <c r="E445" s="299">
        <v>35</v>
      </c>
      <c r="F445" s="430" t="s">
        <v>3500</v>
      </c>
      <c r="G445" s="300" t="str">
        <f t="shared" si="16"/>
        <v>ChardonnaySaarland</v>
      </c>
    </row>
    <row r="446" spans="1:7" ht="12" customHeight="1">
      <c r="A446" s="298">
        <v>36494</v>
      </c>
      <c r="B446" s="299" t="s">
        <v>3506</v>
      </c>
      <c r="C446" s="299">
        <v>100</v>
      </c>
      <c r="D446" s="299">
        <f t="shared" si="15"/>
        <v>11</v>
      </c>
      <c r="E446" s="299">
        <v>43</v>
      </c>
      <c r="F446" s="430" t="s">
        <v>3500</v>
      </c>
      <c r="G446" s="300" t="str">
        <f t="shared" si="16"/>
        <v>ChardonnaySaarland</v>
      </c>
    </row>
    <row r="447" spans="1:7" ht="12" customHeight="1">
      <c r="A447" s="298">
        <v>36509</v>
      </c>
      <c r="B447" s="299" t="s">
        <v>3506</v>
      </c>
      <c r="C447" s="299">
        <v>120</v>
      </c>
      <c r="D447" s="299">
        <f t="shared" si="15"/>
        <v>12</v>
      </c>
      <c r="E447" s="299">
        <v>38</v>
      </c>
      <c r="F447" s="430" t="s">
        <v>3500</v>
      </c>
      <c r="G447" s="300" t="str">
        <f t="shared" si="16"/>
        <v>ChardonnaySaarland</v>
      </c>
    </row>
    <row r="448" spans="1:7" ht="12" customHeight="1">
      <c r="A448" s="298">
        <v>36172</v>
      </c>
      <c r="B448" s="299" t="s">
        <v>3507</v>
      </c>
      <c r="C448" s="299">
        <v>50</v>
      </c>
      <c r="D448" s="299">
        <f t="shared" si="15"/>
        <v>1</v>
      </c>
      <c r="E448" s="299">
        <v>40</v>
      </c>
      <c r="F448" s="430" t="s">
        <v>3504</v>
      </c>
      <c r="G448" s="300" t="str">
        <f t="shared" si="16"/>
        <v>ChiantiBayern</v>
      </c>
    </row>
    <row r="449" spans="1:7" ht="12" customHeight="1">
      <c r="A449" s="298">
        <v>36233</v>
      </c>
      <c r="B449" s="299" t="s">
        <v>3507</v>
      </c>
      <c r="C449" s="299">
        <v>40</v>
      </c>
      <c r="D449" s="299">
        <f t="shared" si="15"/>
        <v>3</v>
      </c>
      <c r="E449" s="299">
        <v>37</v>
      </c>
      <c r="F449" s="430" t="s">
        <v>3504</v>
      </c>
      <c r="G449" s="300" t="str">
        <f t="shared" si="16"/>
        <v>ChiantiBayern</v>
      </c>
    </row>
    <row r="450" spans="1:7" ht="12" customHeight="1">
      <c r="A450" s="298">
        <v>36235</v>
      </c>
      <c r="B450" s="299" t="s">
        <v>3507</v>
      </c>
      <c r="C450" s="299">
        <v>100</v>
      </c>
      <c r="D450" s="299">
        <f t="shared" si="15"/>
        <v>3</v>
      </c>
      <c r="E450" s="299">
        <v>37</v>
      </c>
      <c r="F450" s="430" t="s">
        <v>3504</v>
      </c>
      <c r="G450" s="300" t="str">
        <f t="shared" si="16"/>
        <v>ChiantiBayern</v>
      </c>
    </row>
    <row r="451" spans="1:7" ht="12" customHeight="1">
      <c r="A451" s="298">
        <v>36267</v>
      </c>
      <c r="B451" s="299" t="s">
        <v>3507</v>
      </c>
      <c r="C451" s="299">
        <v>60</v>
      </c>
      <c r="D451" s="299">
        <f t="shared" si="15"/>
        <v>4</v>
      </c>
      <c r="E451" s="299">
        <v>37</v>
      </c>
      <c r="F451" s="430" t="s">
        <v>3504</v>
      </c>
      <c r="G451" s="300" t="str">
        <f t="shared" si="16"/>
        <v>ChiantiBayern</v>
      </c>
    </row>
    <row r="452" spans="1:7" ht="12" customHeight="1">
      <c r="A452" s="298">
        <v>36275</v>
      </c>
      <c r="B452" s="299" t="s">
        <v>3507</v>
      </c>
      <c r="C452" s="299">
        <v>30</v>
      </c>
      <c r="D452" s="299">
        <f t="shared" si="15"/>
        <v>4</v>
      </c>
      <c r="E452" s="299">
        <v>41</v>
      </c>
      <c r="F452" s="430" t="s">
        <v>3504</v>
      </c>
      <c r="G452" s="300" t="str">
        <f t="shared" si="16"/>
        <v>ChiantiBayern</v>
      </c>
    </row>
    <row r="453" spans="1:7" ht="12" customHeight="1">
      <c r="A453" s="298">
        <v>36284</v>
      </c>
      <c r="B453" s="299" t="s">
        <v>3507</v>
      </c>
      <c r="C453" s="299">
        <v>60</v>
      </c>
      <c r="D453" s="299">
        <f t="shared" si="15"/>
        <v>5</v>
      </c>
      <c r="E453" s="299">
        <v>41</v>
      </c>
      <c r="F453" s="430" t="s">
        <v>3504</v>
      </c>
      <c r="G453" s="300" t="str">
        <f t="shared" si="16"/>
        <v>ChiantiBayern</v>
      </c>
    </row>
    <row r="454" spans="1:7" ht="12" customHeight="1">
      <c r="A454" s="298">
        <v>36286</v>
      </c>
      <c r="B454" s="299" t="s">
        <v>3507</v>
      </c>
      <c r="C454" s="299">
        <v>10</v>
      </c>
      <c r="D454" s="299">
        <f t="shared" ref="D454:D517" si="17">MONTH(A454)</f>
        <v>5</v>
      </c>
      <c r="E454" s="299">
        <v>40</v>
      </c>
      <c r="F454" s="430" t="s">
        <v>3504</v>
      </c>
      <c r="G454" s="300" t="str">
        <f t="shared" ref="G454:G517" si="18">B454&amp;F454</f>
        <v>ChiantiBayern</v>
      </c>
    </row>
    <row r="455" spans="1:7" ht="12" customHeight="1">
      <c r="A455" s="298">
        <v>36325</v>
      </c>
      <c r="B455" s="299" t="s">
        <v>3507</v>
      </c>
      <c r="C455" s="299">
        <v>90</v>
      </c>
      <c r="D455" s="299">
        <f t="shared" si="17"/>
        <v>6</v>
      </c>
      <c r="E455" s="299">
        <v>40</v>
      </c>
      <c r="F455" s="430" t="s">
        <v>3504</v>
      </c>
      <c r="G455" s="300" t="str">
        <f t="shared" si="18"/>
        <v>ChiantiBayern</v>
      </c>
    </row>
    <row r="456" spans="1:7" ht="12" customHeight="1">
      <c r="A456" s="298">
        <v>36342</v>
      </c>
      <c r="B456" s="299" t="s">
        <v>3507</v>
      </c>
      <c r="C456" s="299">
        <v>120</v>
      </c>
      <c r="D456" s="299">
        <f t="shared" si="17"/>
        <v>7</v>
      </c>
      <c r="E456" s="299">
        <v>37</v>
      </c>
      <c r="F456" s="430" t="s">
        <v>3504</v>
      </c>
      <c r="G456" s="300" t="str">
        <f t="shared" si="18"/>
        <v>ChiantiBayern</v>
      </c>
    </row>
    <row r="457" spans="1:7" ht="12" customHeight="1">
      <c r="A457" s="298">
        <v>36345</v>
      </c>
      <c r="B457" s="299" t="s">
        <v>3507</v>
      </c>
      <c r="C457" s="299">
        <v>60</v>
      </c>
      <c r="D457" s="299">
        <f t="shared" si="17"/>
        <v>7</v>
      </c>
      <c r="E457" s="299">
        <v>37</v>
      </c>
      <c r="F457" s="430" t="s">
        <v>3504</v>
      </c>
      <c r="G457" s="300" t="str">
        <f t="shared" si="18"/>
        <v>ChiantiBayern</v>
      </c>
    </row>
    <row r="458" spans="1:7" ht="12" customHeight="1">
      <c r="A458" s="298">
        <v>36352</v>
      </c>
      <c r="B458" s="299" t="s">
        <v>3507</v>
      </c>
      <c r="C458" s="299">
        <v>20</v>
      </c>
      <c r="D458" s="299">
        <f t="shared" si="17"/>
        <v>7</v>
      </c>
      <c r="E458" s="299">
        <v>40</v>
      </c>
      <c r="F458" s="430" t="s">
        <v>3504</v>
      </c>
      <c r="G458" s="300" t="str">
        <f t="shared" si="18"/>
        <v>ChiantiBayern</v>
      </c>
    </row>
    <row r="459" spans="1:7" ht="12" customHeight="1">
      <c r="A459" s="298">
        <v>36353</v>
      </c>
      <c r="B459" s="299" t="s">
        <v>3507</v>
      </c>
      <c r="C459" s="299">
        <v>180</v>
      </c>
      <c r="D459" s="299">
        <f t="shared" si="17"/>
        <v>7</v>
      </c>
      <c r="E459" s="299">
        <v>37</v>
      </c>
      <c r="F459" s="430" t="s">
        <v>3504</v>
      </c>
      <c r="G459" s="300" t="str">
        <f t="shared" si="18"/>
        <v>ChiantiBayern</v>
      </c>
    </row>
    <row r="460" spans="1:7" ht="12" customHeight="1">
      <c r="A460" s="298">
        <v>36364</v>
      </c>
      <c r="B460" s="299" t="s">
        <v>3507</v>
      </c>
      <c r="C460" s="299">
        <v>80</v>
      </c>
      <c r="D460" s="299">
        <f t="shared" si="17"/>
        <v>7</v>
      </c>
      <c r="E460" s="299">
        <v>41</v>
      </c>
      <c r="F460" s="430" t="s">
        <v>3504</v>
      </c>
      <c r="G460" s="300" t="str">
        <f t="shared" si="18"/>
        <v>ChiantiBayern</v>
      </c>
    </row>
    <row r="461" spans="1:7" ht="12" customHeight="1">
      <c r="A461" s="298">
        <v>36366</v>
      </c>
      <c r="B461" s="299" t="s">
        <v>3507</v>
      </c>
      <c r="C461" s="299">
        <v>50</v>
      </c>
      <c r="D461" s="299">
        <f t="shared" si="17"/>
        <v>7</v>
      </c>
      <c r="E461" s="299">
        <v>37</v>
      </c>
      <c r="F461" s="430" t="s">
        <v>3504</v>
      </c>
      <c r="G461" s="300" t="str">
        <f t="shared" si="18"/>
        <v>ChiantiBayern</v>
      </c>
    </row>
    <row r="462" spans="1:7" ht="12" customHeight="1">
      <c r="A462" s="298">
        <v>36367</v>
      </c>
      <c r="B462" s="299" t="s">
        <v>3507</v>
      </c>
      <c r="C462" s="299">
        <v>50</v>
      </c>
      <c r="D462" s="299">
        <f t="shared" si="17"/>
        <v>7</v>
      </c>
      <c r="E462" s="299">
        <v>41</v>
      </c>
      <c r="F462" s="430" t="s">
        <v>3504</v>
      </c>
      <c r="G462" s="300" t="str">
        <f t="shared" si="18"/>
        <v>ChiantiBayern</v>
      </c>
    </row>
    <row r="463" spans="1:7" ht="12" customHeight="1">
      <c r="A463" s="298">
        <v>36369</v>
      </c>
      <c r="B463" s="299" t="s">
        <v>3507</v>
      </c>
      <c r="C463" s="299">
        <v>60</v>
      </c>
      <c r="D463" s="299">
        <f t="shared" si="17"/>
        <v>7</v>
      </c>
      <c r="E463" s="299">
        <v>41</v>
      </c>
      <c r="F463" s="430" t="s">
        <v>3504</v>
      </c>
      <c r="G463" s="300" t="str">
        <f t="shared" si="18"/>
        <v>ChiantiBayern</v>
      </c>
    </row>
    <row r="464" spans="1:7" ht="12" customHeight="1">
      <c r="A464" s="298">
        <v>36439</v>
      </c>
      <c r="B464" s="299" t="s">
        <v>3507</v>
      </c>
      <c r="C464" s="299">
        <v>80</v>
      </c>
      <c r="D464" s="299">
        <f t="shared" si="17"/>
        <v>10</v>
      </c>
      <c r="E464" s="299">
        <v>38</v>
      </c>
      <c r="F464" s="430" t="s">
        <v>3504</v>
      </c>
      <c r="G464" s="300" t="str">
        <f t="shared" si="18"/>
        <v>ChiantiBayern</v>
      </c>
    </row>
    <row r="465" spans="1:7" ht="12" customHeight="1">
      <c r="A465" s="298">
        <v>36465</v>
      </c>
      <c r="B465" s="299" t="s">
        <v>3507</v>
      </c>
      <c r="C465" s="299">
        <v>110</v>
      </c>
      <c r="D465" s="299">
        <f t="shared" si="17"/>
        <v>11</v>
      </c>
      <c r="E465" s="299">
        <v>41</v>
      </c>
      <c r="F465" s="430" t="s">
        <v>3504</v>
      </c>
      <c r="G465" s="300" t="str">
        <f t="shared" si="18"/>
        <v>ChiantiBayern</v>
      </c>
    </row>
    <row r="466" spans="1:7" ht="12" customHeight="1">
      <c r="A466" s="298">
        <v>36474</v>
      </c>
      <c r="B466" s="299" t="s">
        <v>3507</v>
      </c>
      <c r="C466" s="299">
        <v>100</v>
      </c>
      <c r="D466" s="299">
        <f t="shared" si="17"/>
        <v>11</v>
      </c>
      <c r="E466" s="299">
        <v>41</v>
      </c>
      <c r="F466" s="430" t="s">
        <v>3504</v>
      </c>
      <c r="G466" s="300" t="str">
        <f t="shared" si="18"/>
        <v>ChiantiBayern</v>
      </c>
    </row>
    <row r="467" spans="1:7" ht="12" customHeight="1">
      <c r="A467" s="298">
        <v>36516</v>
      </c>
      <c r="B467" s="299" t="s">
        <v>3507</v>
      </c>
      <c r="C467" s="299">
        <v>60</v>
      </c>
      <c r="D467" s="299">
        <f t="shared" si="17"/>
        <v>12</v>
      </c>
      <c r="E467" s="299">
        <v>38</v>
      </c>
      <c r="F467" s="430" t="s">
        <v>3504</v>
      </c>
      <c r="G467" s="300" t="str">
        <f t="shared" si="18"/>
        <v>ChiantiBayern</v>
      </c>
    </row>
    <row r="468" spans="1:7" ht="12" customHeight="1">
      <c r="A468" s="298">
        <v>36175</v>
      </c>
      <c r="B468" s="299" t="s">
        <v>3507</v>
      </c>
      <c r="C468" s="299">
        <v>90</v>
      </c>
      <c r="D468" s="299">
        <f t="shared" si="17"/>
        <v>1</v>
      </c>
      <c r="E468" s="299">
        <v>44</v>
      </c>
      <c r="F468" s="430" t="s">
        <v>3501</v>
      </c>
      <c r="G468" s="300" t="str">
        <f t="shared" si="18"/>
        <v>ChiantiBW</v>
      </c>
    </row>
    <row r="469" spans="1:7" ht="12" customHeight="1">
      <c r="A469" s="298">
        <v>36222</v>
      </c>
      <c r="B469" s="299" t="s">
        <v>3507</v>
      </c>
      <c r="C469" s="299">
        <v>110</v>
      </c>
      <c r="D469" s="299">
        <f t="shared" si="17"/>
        <v>3</v>
      </c>
      <c r="E469" s="299">
        <v>41</v>
      </c>
      <c r="F469" s="430" t="s">
        <v>3501</v>
      </c>
      <c r="G469" s="300" t="str">
        <f t="shared" si="18"/>
        <v>ChiantiBW</v>
      </c>
    </row>
    <row r="470" spans="1:7" ht="12" customHeight="1">
      <c r="A470" s="298">
        <v>36241</v>
      </c>
      <c r="B470" s="299" t="s">
        <v>3507</v>
      </c>
      <c r="C470" s="299">
        <v>100</v>
      </c>
      <c r="D470" s="299">
        <f t="shared" si="17"/>
        <v>3</v>
      </c>
      <c r="E470" s="299">
        <v>44</v>
      </c>
      <c r="F470" s="430" t="s">
        <v>3501</v>
      </c>
      <c r="G470" s="300" t="str">
        <f t="shared" si="18"/>
        <v>ChiantiBW</v>
      </c>
    </row>
    <row r="471" spans="1:7" ht="12" customHeight="1">
      <c r="A471" s="298">
        <v>36247</v>
      </c>
      <c r="B471" s="299" t="s">
        <v>3507</v>
      </c>
      <c r="C471" s="299">
        <v>10</v>
      </c>
      <c r="D471" s="299">
        <f t="shared" si="17"/>
        <v>3</v>
      </c>
      <c r="E471" s="299">
        <v>41</v>
      </c>
      <c r="F471" s="430" t="s">
        <v>3501</v>
      </c>
      <c r="G471" s="300" t="str">
        <f t="shared" si="18"/>
        <v>ChiantiBW</v>
      </c>
    </row>
    <row r="472" spans="1:7" ht="12" customHeight="1">
      <c r="A472" s="298">
        <v>36295</v>
      </c>
      <c r="B472" s="299" t="s">
        <v>3507</v>
      </c>
      <c r="C472" s="299">
        <v>50</v>
      </c>
      <c r="D472" s="299">
        <f t="shared" si="17"/>
        <v>5</v>
      </c>
      <c r="E472" s="299">
        <v>43</v>
      </c>
      <c r="F472" s="430" t="s">
        <v>3501</v>
      </c>
      <c r="G472" s="300" t="str">
        <f t="shared" si="18"/>
        <v>ChiantiBW</v>
      </c>
    </row>
    <row r="473" spans="1:7" ht="12" customHeight="1">
      <c r="A473" s="298">
        <v>36318</v>
      </c>
      <c r="B473" s="299" t="s">
        <v>3507</v>
      </c>
      <c r="C473" s="299">
        <v>70</v>
      </c>
      <c r="D473" s="299">
        <f t="shared" si="17"/>
        <v>6</v>
      </c>
      <c r="E473" s="299">
        <v>39</v>
      </c>
      <c r="F473" s="430" t="s">
        <v>3501</v>
      </c>
      <c r="G473" s="300" t="str">
        <f t="shared" si="18"/>
        <v>ChiantiBW</v>
      </c>
    </row>
    <row r="474" spans="1:7" ht="12" customHeight="1">
      <c r="A474" s="298">
        <v>36328</v>
      </c>
      <c r="B474" s="299" t="s">
        <v>3507</v>
      </c>
      <c r="C474" s="299">
        <v>180</v>
      </c>
      <c r="D474" s="299">
        <f t="shared" si="17"/>
        <v>6</v>
      </c>
      <c r="E474" s="299">
        <v>39</v>
      </c>
      <c r="F474" s="430" t="s">
        <v>3501</v>
      </c>
      <c r="G474" s="300" t="str">
        <f t="shared" si="18"/>
        <v>ChiantiBW</v>
      </c>
    </row>
    <row r="475" spans="1:7" ht="12" customHeight="1">
      <c r="A475" s="298">
        <v>36329</v>
      </c>
      <c r="B475" s="299" t="s">
        <v>3507</v>
      </c>
      <c r="C475" s="299">
        <v>100</v>
      </c>
      <c r="D475" s="299">
        <f t="shared" si="17"/>
        <v>6</v>
      </c>
      <c r="E475" s="299">
        <v>41</v>
      </c>
      <c r="F475" s="430" t="s">
        <v>3501</v>
      </c>
      <c r="G475" s="300" t="str">
        <f t="shared" si="18"/>
        <v>ChiantiBW</v>
      </c>
    </row>
    <row r="476" spans="1:7" ht="12" customHeight="1">
      <c r="A476" s="298">
        <v>36337</v>
      </c>
      <c r="B476" s="299" t="s">
        <v>3507</v>
      </c>
      <c r="C476" s="299">
        <v>90</v>
      </c>
      <c r="D476" s="299">
        <f t="shared" si="17"/>
        <v>6</v>
      </c>
      <c r="E476" s="299">
        <v>37</v>
      </c>
      <c r="F476" s="430" t="s">
        <v>3501</v>
      </c>
      <c r="G476" s="300" t="str">
        <f t="shared" si="18"/>
        <v>ChiantiBW</v>
      </c>
    </row>
    <row r="477" spans="1:7" ht="12" customHeight="1">
      <c r="A477" s="298">
        <v>36375</v>
      </c>
      <c r="B477" s="299" t="s">
        <v>3507</v>
      </c>
      <c r="C477" s="299">
        <v>180</v>
      </c>
      <c r="D477" s="299">
        <f t="shared" si="17"/>
        <v>8</v>
      </c>
      <c r="E477" s="299">
        <v>39</v>
      </c>
      <c r="F477" s="430" t="s">
        <v>3501</v>
      </c>
      <c r="G477" s="300" t="str">
        <f t="shared" si="18"/>
        <v>ChiantiBW</v>
      </c>
    </row>
    <row r="478" spans="1:7" ht="12" customHeight="1">
      <c r="A478" s="298">
        <v>36378</v>
      </c>
      <c r="B478" s="299" t="s">
        <v>3507</v>
      </c>
      <c r="C478" s="299">
        <v>80</v>
      </c>
      <c r="D478" s="299">
        <f t="shared" si="17"/>
        <v>8</v>
      </c>
      <c r="E478" s="299">
        <v>36</v>
      </c>
      <c r="F478" s="430" t="s">
        <v>3501</v>
      </c>
      <c r="G478" s="300" t="str">
        <f t="shared" si="18"/>
        <v>ChiantiBW</v>
      </c>
    </row>
    <row r="479" spans="1:7" ht="12" customHeight="1">
      <c r="A479" s="298">
        <v>36390</v>
      </c>
      <c r="B479" s="299" t="s">
        <v>3507</v>
      </c>
      <c r="C479" s="299">
        <v>90</v>
      </c>
      <c r="D479" s="299">
        <f t="shared" si="17"/>
        <v>8</v>
      </c>
      <c r="E479" s="299">
        <v>42</v>
      </c>
      <c r="F479" s="430" t="s">
        <v>3501</v>
      </c>
      <c r="G479" s="300" t="str">
        <f t="shared" si="18"/>
        <v>ChiantiBW</v>
      </c>
    </row>
    <row r="480" spans="1:7" ht="12" customHeight="1">
      <c r="A480" s="298">
        <v>36402</v>
      </c>
      <c r="B480" s="299" t="s">
        <v>3507</v>
      </c>
      <c r="C480" s="299">
        <v>80</v>
      </c>
      <c r="D480" s="299">
        <f t="shared" si="17"/>
        <v>8</v>
      </c>
      <c r="E480" s="299">
        <v>37</v>
      </c>
      <c r="F480" s="430" t="s">
        <v>3501</v>
      </c>
      <c r="G480" s="300" t="str">
        <f t="shared" si="18"/>
        <v>ChiantiBW</v>
      </c>
    </row>
    <row r="481" spans="1:7" ht="12" customHeight="1">
      <c r="A481" s="298">
        <v>36405</v>
      </c>
      <c r="B481" s="299" t="s">
        <v>3507</v>
      </c>
      <c r="C481" s="299">
        <v>120</v>
      </c>
      <c r="D481" s="299">
        <f t="shared" si="17"/>
        <v>9</v>
      </c>
      <c r="E481" s="299">
        <v>36</v>
      </c>
      <c r="F481" s="430" t="s">
        <v>3501</v>
      </c>
      <c r="G481" s="300" t="str">
        <f t="shared" si="18"/>
        <v>ChiantiBW</v>
      </c>
    </row>
    <row r="482" spans="1:7" ht="12" customHeight="1">
      <c r="A482" s="298">
        <v>36407</v>
      </c>
      <c r="B482" s="299" t="s">
        <v>3507</v>
      </c>
      <c r="C482" s="299">
        <v>30</v>
      </c>
      <c r="D482" s="299">
        <f t="shared" si="17"/>
        <v>9</v>
      </c>
      <c r="E482" s="299">
        <v>37</v>
      </c>
      <c r="F482" s="430" t="s">
        <v>3501</v>
      </c>
      <c r="G482" s="300" t="str">
        <f t="shared" si="18"/>
        <v>ChiantiBW</v>
      </c>
    </row>
    <row r="483" spans="1:7" ht="12" customHeight="1">
      <c r="A483" s="298">
        <v>36408</v>
      </c>
      <c r="B483" s="299" t="s">
        <v>3507</v>
      </c>
      <c r="C483" s="299">
        <v>60</v>
      </c>
      <c r="D483" s="299">
        <f t="shared" si="17"/>
        <v>9</v>
      </c>
      <c r="E483" s="299">
        <v>44</v>
      </c>
      <c r="F483" s="430" t="s">
        <v>3501</v>
      </c>
      <c r="G483" s="300" t="str">
        <f t="shared" si="18"/>
        <v>ChiantiBW</v>
      </c>
    </row>
    <row r="484" spans="1:7" ht="12" customHeight="1">
      <c r="A484" s="298">
        <v>36417</v>
      </c>
      <c r="B484" s="299" t="s">
        <v>3507</v>
      </c>
      <c r="C484" s="299">
        <v>10</v>
      </c>
      <c r="D484" s="299">
        <f t="shared" si="17"/>
        <v>9</v>
      </c>
      <c r="E484" s="299">
        <v>39</v>
      </c>
      <c r="F484" s="430" t="s">
        <v>3501</v>
      </c>
      <c r="G484" s="300" t="str">
        <f t="shared" si="18"/>
        <v>ChiantiBW</v>
      </c>
    </row>
    <row r="485" spans="1:7" ht="12" customHeight="1">
      <c r="A485" s="298">
        <v>36418</v>
      </c>
      <c r="B485" s="299" t="s">
        <v>3507</v>
      </c>
      <c r="C485" s="299">
        <v>60</v>
      </c>
      <c r="D485" s="299">
        <f t="shared" si="17"/>
        <v>9</v>
      </c>
      <c r="E485" s="299">
        <v>36</v>
      </c>
      <c r="F485" s="430" t="s">
        <v>3501</v>
      </c>
      <c r="G485" s="300" t="str">
        <f t="shared" si="18"/>
        <v>ChiantiBW</v>
      </c>
    </row>
    <row r="486" spans="1:7" ht="12" customHeight="1">
      <c r="A486" s="298">
        <v>36421</v>
      </c>
      <c r="B486" s="299" t="s">
        <v>3507</v>
      </c>
      <c r="C486" s="299">
        <v>50</v>
      </c>
      <c r="D486" s="299">
        <f t="shared" si="17"/>
        <v>9</v>
      </c>
      <c r="E486" s="299">
        <v>44</v>
      </c>
      <c r="F486" s="430" t="s">
        <v>3501</v>
      </c>
      <c r="G486" s="300" t="str">
        <f t="shared" si="18"/>
        <v>ChiantiBW</v>
      </c>
    </row>
    <row r="487" spans="1:7" ht="12" customHeight="1">
      <c r="A487" s="298">
        <v>36430</v>
      </c>
      <c r="B487" s="299" t="s">
        <v>3507</v>
      </c>
      <c r="C487" s="299">
        <v>110</v>
      </c>
      <c r="D487" s="299">
        <f t="shared" si="17"/>
        <v>9</v>
      </c>
      <c r="E487" s="299">
        <v>37</v>
      </c>
      <c r="F487" s="430" t="s">
        <v>3501</v>
      </c>
      <c r="G487" s="300" t="str">
        <f t="shared" si="18"/>
        <v>ChiantiBW</v>
      </c>
    </row>
    <row r="488" spans="1:7" ht="12" customHeight="1">
      <c r="A488" s="298">
        <v>36481</v>
      </c>
      <c r="B488" s="299" t="s">
        <v>3507</v>
      </c>
      <c r="C488" s="299">
        <v>50</v>
      </c>
      <c r="D488" s="299">
        <f t="shared" si="17"/>
        <v>11</v>
      </c>
      <c r="E488" s="299">
        <v>41</v>
      </c>
      <c r="F488" s="430" t="s">
        <v>3501</v>
      </c>
      <c r="G488" s="300" t="str">
        <f t="shared" si="18"/>
        <v>ChiantiBW</v>
      </c>
    </row>
    <row r="489" spans="1:7" ht="12" customHeight="1">
      <c r="A489" s="298">
        <v>36484</v>
      </c>
      <c r="B489" s="299" t="s">
        <v>3507</v>
      </c>
      <c r="C489" s="299">
        <v>100</v>
      </c>
      <c r="D489" s="299">
        <f t="shared" si="17"/>
        <v>11</v>
      </c>
      <c r="E489" s="299">
        <v>39</v>
      </c>
      <c r="F489" s="430" t="s">
        <v>3501</v>
      </c>
      <c r="G489" s="300" t="str">
        <f t="shared" si="18"/>
        <v>ChiantiBW</v>
      </c>
    </row>
    <row r="490" spans="1:7" ht="12" customHeight="1">
      <c r="A490" s="298">
        <v>36494</v>
      </c>
      <c r="B490" s="299" t="s">
        <v>3507</v>
      </c>
      <c r="C490" s="299">
        <v>60</v>
      </c>
      <c r="D490" s="299">
        <f t="shared" si="17"/>
        <v>11</v>
      </c>
      <c r="E490" s="299">
        <v>41</v>
      </c>
      <c r="F490" s="430" t="s">
        <v>3501</v>
      </c>
      <c r="G490" s="300" t="str">
        <f t="shared" si="18"/>
        <v>ChiantiBW</v>
      </c>
    </row>
    <row r="491" spans="1:7" ht="12" customHeight="1">
      <c r="A491" s="298">
        <v>36307</v>
      </c>
      <c r="B491" s="299" t="s">
        <v>3507</v>
      </c>
      <c r="C491" s="299">
        <v>90</v>
      </c>
      <c r="D491" s="299">
        <f t="shared" si="17"/>
        <v>5</v>
      </c>
      <c r="E491" s="299">
        <v>42</v>
      </c>
      <c r="F491" s="430" t="s">
        <v>3502</v>
      </c>
      <c r="G491" s="300" t="str">
        <f t="shared" si="18"/>
        <v>ChiantiHessen</v>
      </c>
    </row>
    <row r="492" spans="1:7" ht="12" customHeight="1">
      <c r="A492" s="298">
        <v>36386</v>
      </c>
      <c r="B492" s="299" t="s">
        <v>3507</v>
      </c>
      <c r="C492" s="299">
        <v>30</v>
      </c>
      <c r="D492" s="299">
        <f t="shared" si="17"/>
        <v>8</v>
      </c>
      <c r="E492" s="299">
        <v>43</v>
      </c>
      <c r="F492" s="430" t="s">
        <v>3503</v>
      </c>
      <c r="G492" s="300" t="str">
        <f t="shared" si="18"/>
        <v>ChiantiHolstein</v>
      </c>
    </row>
    <row r="493" spans="1:7" ht="12" customHeight="1">
      <c r="A493" s="298">
        <v>36397</v>
      </c>
      <c r="B493" s="299" t="s">
        <v>3507</v>
      </c>
      <c r="C493" s="299">
        <v>60</v>
      </c>
      <c r="D493" s="299">
        <f t="shared" si="17"/>
        <v>8</v>
      </c>
      <c r="E493" s="299">
        <v>43</v>
      </c>
      <c r="F493" s="430" t="s">
        <v>3503</v>
      </c>
      <c r="G493" s="300" t="str">
        <f t="shared" si="18"/>
        <v>ChiantiHolstein</v>
      </c>
    </row>
    <row r="494" spans="1:7" ht="12" customHeight="1">
      <c r="A494" s="298">
        <v>36408</v>
      </c>
      <c r="B494" s="299" t="s">
        <v>3507</v>
      </c>
      <c r="C494" s="299">
        <v>180</v>
      </c>
      <c r="D494" s="299">
        <f t="shared" si="17"/>
        <v>9</v>
      </c>
      <c r="E494" s="299">
        <v>43</v>
      </c>
      <c r="F494" s="430" t="s">
        <v>3503</v>
      </c>
      <c r="G494" s="300" t="str">
        <f t="shared" si="18"/>
        <v>ChiantiHolstein</v>
      </c>
    </row>
    <row r="495" spans="1:7" ht="12" customHeight="1">
      <c r="A495" s="298">
        <v>36437</v>
      </c>
      <c r="B495" s="299" t="s">
        <v>3507</v>
      </c>
      <c r="C495" s="299">
        <v>120</v>
      </c>
      <c r="D495" s="299">
        <f t="shared" si="17"/>
        <v>10</v>
      </c>
      <c r="E495" s="299">
        <v>41</v>
      </c>
      <c r="F495" s="430" t="s">
        <v>3503</v>
      </c>
      <c r="G495" s="300" t="str">
        <f t="shared" si="18"/>
        <v>ChiantiHolstein</v>
      </c>
    </row>
    <row r="496" spans="1:7" ht="12" customHeight="1">
      <c r="A496" s="298">
        <v>36170</v>
      </c>
      <c r="B496" s="299" t="s">
        <v>3507</v>
      </c>
      <c r="C496" s="299">
        <v>210</v>
      </c>
      <c r="D496" s="299">
        <f t="shared" si="17"/>
        <v>1</v>
      </c>
      <c r="E496" s="299">
        <v>43</v>
      </c>
      <c r="F496" s="430" t="s">
        <v>3497</v>
      </c>
      <c r="G496" s="300" t="str">
        <f t="shared" si="18"/>
        <v>ChiantiNRW</v>
      </c>
    </row>
    <row r="497" spans="1:7" ht="12" customHeight="1">
      <c r="A497" s="298">
        <v>36173</v>
      </c>
      <c r="B497" s="299" t="s">
        <v>3507</v>
      </c>
      <c r="C497" s="299">
        <v>210</v>
      </c>
      <c r="D497" s="299">
        <f t="shared" si="17"/>
        <v>1</v>
      </c>
      <c r="E497" s="299">
        <v>43</v>
      </c>
      <c r="F497" s="430" t="s">
        <v>3497</v>
      </c>
      <c r="G497" s="300" t="str">
        <f t="shared" si="18"/>
        <v>ChiantiNRW</v>
      </c>
    </row>
    <row r="498" spans="1:7" ht="12" customHeight="1">
      <c r="A498" s="298">
        <v>36272</v>
      </c>
      <c r="B498" s="299" t="s">
        <v>3507</v>
      </c>
      <c r="C498" s="299">
        <v>80</v>
      </c>
      <c r="D498" s="299">
        <f t="shared" si="17"/>
        <v>4</v>
      </c>
      <c r="E498" s="299">
        <v>43</v>
      </c>
      <c r="F498" s="430" t="s">
        <v>3497</v>
      </c>
      <c r="G498" s="300" t="str">
        <f t="shared" si="18"/>
        <v>ChiantiNRW</v>
      </c>
    </row>
    <row r="499" spans="1:7" ht="12" customHeight="1">
      <c r="A499" s="298">
        <v>36274</v>
      </c>
      <c r="B499" s="299" t="s">
        <v>3507</v>
      </c>
      <c r="C499" s="299">
        <v>120</v>
      </c>
      <c r="D499" s="299">
        <f t="shared" si="17"/>
        <v>4</v>
      </c>
      <c r="E499" s="299">
        <v>43</v>
      </c>
      <c r="F499" s="430" t="s">
        <v>3497</v>
      </c>
      <c r="G499" s="300" t="str">
        <f t="shared" si="18"/>
        <v>ChiantiNRW</v>
      </c>
    </row>
    <row r="500" spans="1:7" ht="12" customHeight="1">
      <c r="A500" s="298">
        <v>36277</v>
      </c>
      <c r="B500" s="299" t="s">
        <v>3507</v>
      </c>
      <c r="C500" s="299">
        <v>50</v>
      </c>
      <c r="D500" s="299">
        <f t="shared" si="17"/>
        <v>4</v>
      </c>
      <c r="E500" s="299">
        <v>43</v>
      </c>
      <c r="F500" s="430" t="s">
        <v>3497</v>
      </c>
      <c r="G500" s="300" t="str">
        <f t="shared" si="18"/>
        <v>ChiantiNRW</v>
      </c>
    </row>
    <row r="501" spans="1:7" ht="12" customHeight="1">
      <c r="A501" s="298">
        <v>36277</v>
      </c>
      <c r="B501" s="299" t="s">
        <v>3507</v>
      </c>
      <c r="C501" s="299">
        <v>60</v>
      </c>
      <c r="D501" s="299">
        <f t="shared" si="17"/>
        <v>4</v>
      </c>
      <c r="E501" s="299">
        <v>43</v>
      </c>
      <c r="F501" s="430" t="s">
        <v>3497</v>
      </c>
      <c r="G501" s="300" t="str">
        <f t="shared" si="18"/>
        <v>ChiantiNRW</v>
      </c>
    </row>
    <row r="502" spans="1:7" ht="12" customHeight="1">
      <c r="A502" s="298">
        <v>36288</v>
      </c>
      <c r="B502" s="299" t="s">
        <v>3507</v>
      </c>
      <c r="C502" s="299">
        <v>10</v>
      </c>
      <c r="D502" s="299">
        <f t="shared" si="17"/>
        <v>5</v>
      </c>
      <c r="E502" s="299">
        <v>38</v>
      </c>
      <c r="F502" s="430" t="s">
        <v>3497</v>
      </c>
      <c r="G502" s="300" t="str">
        <f t="shared" si="18"/>
        <v>ChiantiNRW</v>
      </c>
    </row>
    <row r="503" spans="1:7" ht="12" customHeight="1">
      <c r="A503" s="298">
        <v>36333</v>
      </c>
      <c r="B503" s="299" t="s">
        <v>3507</v>
      </c>
      <c r="C503" s="299">
        <v>10</v>
      </c>
      <c r="D503" s="299">
        <f t="shared" si="17"/>
        <v>6</v>
      </c>
      <c r="E503" s="299">
        <v>36</v>
      </c>
      <c r="F503" s="430" t="s">
        <v>3497</v>
      </c>
      <c r="G503" s="300" t="str">
        <f t="shared" si="18"/>
        <v>ChiantiNRW</v>
      </c>
    </row>
    <row r="504" spans="1:7" ht="12" customHeight="1">
      <c r="A504" s="298">
        <v>36352</v>
      </c>
      <c r="B504" s="299" t="s">
        <v>3507</v>
      </c>
      <c r="C504" s="299">
        <v>50</v>
      </c>
      <c r="D504" s="299">
        <f t="shared" si="17"/>
        <v>7</v>
      </c>
      <c r="E504" s="299">
        <v>41</v>
      </c>
      <c r="F504" s="430" t="s">
        <v>3497</v>
      </c>
      <c r="G504" s="300" t="str">
        <f t="shared" si="18"/>
        <v>ChiantiNRW</v>
      </c>
    </row>
    <row r="505" spans="1:7" ht="12" customHeight="1">
      <c r="A505" s="298">
        <v>36373</v>
      </c>
      <c r="B505" s="299" t="s">
        <v>3507</v>
      </c>
      <c r="C505" s="299">
        <v>90</v>
      </c>
      <c r="D505" s="299">
        <f t="shared" si="17"/>
        <v>8</v>
      </c>
      <c r="E505" s="299">
        <v>41</v>
      </c>
      <c r="F505" s="430" t="s">
        <v>3497</v>
      </c>
      <c r="G505" s="300" t="str">
        <f t="shared" si="18"/>
        <v>ChiantiNRW</v>
      </c>
    </row>
    <row r="506" spans="1:7" ht="12" customHeight="1">
      <c r="A506" s="298">
        <v>36377</v>
      </c>
      <c r="B506" s="299" t="s">
        <v>3507</v>
      </c>
      <c r="C506" s="299">
        <v>120</v>
      </c>
      <c r="D506" s="299">
        <f t="shared" si="17"/>
        <v>8</v>
      </c>
      <c r="E506" s="299">
        <v>42</v>
      </c>
      <c r="F506" s="430" t="s">
        <v>3497</v>
      </c>
      <c r="G506" s="300" t="str">
        <f t="shared" si="18"/>
        <v>ChiantiNRW</v>
      </c>
    </row>
    <row r="507" spans="1:7" ht="12" customHeight="1">
      <c r="A507" s="298">
        <v>36377</v>
      </c>
      <c r="B507" s="299" t="s">
        <v>3507</v>
      </c>
      <c r="C507" s="299">
        <v>10</v>
      </c>
      <c r="D507" s="299">
        <f t="shared" si="17"/>
        <v>8</v>
      </c>
      <c r="E507" s="299">
        <v>39</v>
      </c>
      <c r="F507" s="430" t="s">
        <v>3497</v>
      </c>
      <c r="G507" s="300" t="str">
        <f t="shared" si="18"/>
        <v>ChiantiNRW</v>
      </c>
    </row>
    <row r="508" spans="1:7" ht="12" customHeight="1">
      <c r="A508" s="298">
        <v>36380</v>
      </c>
      <c r="B508" s="299" t="s">
        <v>3507</v>
      </c>
      <c r="C508" s="299">
        <v>210</v>
      </c>
      <c r="D508" s="299">
        <f t="shared" si="17"/>
        <v>8</v>
      </c>
      <c r="E508" s="299">
        <v>39</v>
      </c>
      <c r="F508" s="430" t="s">
        <v>3497</v>
      </c>
      <c r="G508" s="300" t="str">
        <f t="shared" si="18"/>
        <v>ChiantiNRW</v>
      </c>
    </row>
    <row r="509" spans="1:7" ht="12" customHeight="1">
      <c r="A509" s="298">
        <v>36382</v>
      </c>
      <c r="B509" s="299" t="s">
        <v>3507</v>
      </c>
      <c r="C509" s="299">
        <v>100</v>
      </c>
      <c r="D509" s="299">
        <f t="shared" si="17"/>
        <v>8</v>
      </c>
      <c r="E509" s="299">
        <v>39</v>
      </c>
      <c r="F509" s="430" t="s">
        <v>3497</v>
      </c>
      <c r="G509" s="300" t="str">
        <f t="shared" si="18"/>
        <v>ChiantiNRW</v>
      </c>
    </row>
    <row r="510" spans="1:7" ht="12" customHeight="1">
      <c r="A510" s="298">
        <v>36395</v>
      </c>
      <c r="B510" s="299" t="s">
        <v>3507</v>
      </c>
      <c r="C510" s="299">
        <v>110</v>
      </c>
      <c r="D510" s="299">
        <f t="shared" si="17"/>
        <v>8</v>
      </c>
      <c r="E510" s="299">
        <v>42</v>
      </c>
      <c r="F510" s="430" t="s">
        <v>3497</v>
      </c>
      <c r="G510" s="300" t="str">
        <f t="shared" si="18"/>
        <v>ChiantiNRW</v>
      </c>
    </row>
    <row r="511" spans="1:7" ht="12" customHeight="1">
      <c r="A511" s="298">
        <v>36397</v>
      </c>
      <c r="B511" s="299" t="s">
        <v>3507</v>
      </c>
      <c r="C511" s="299">
        <v>210</v>
      </c>
      <c r="D511" s="299">
        <f t="shared" si="17"/>
        <v>8</v>
      </c>
      <c r="E511" s="299">
        <v>36</v>
      </c>
      <c r="F511" s="430" t="s">
        <v>3497</v>
      </c>
      <c r="G511" s="300" t="str">
        <f t="shared" si="18"/>
        <v>ChiantiNRW</v>
      </c>
    </row>
    <row r="512" spans="1:7" ht="12" customHeight="1">
      <c r="A512" s="298">
        <v>36411</v>
      </c>
      <c r="B512" s="299" t="s">
        <v>3507</v>
      </c>
      <c r="C512" s="299">
        <v>100</v>
      </c>
      <c r="D512" s="299">
        <f t="shared" si="17"/>
        <v>9</v>
      </c>
      <c r="E512" s="299">
        <v>37</v>
      </c>
      <c r="F512" s="430" t="s">
        <v>3497</v>
      </c>
      <c r="G512" s="300" t="str">
        <f t="shared" si="18"/>
        <v>ChiantiNRW</v>
      </c>
    </row>
    <row r="513" spans="1:7" ht="12" customHeight="1">
      <c r="A513" s="298">
        <v>36412</v>
      </c>
      <c r="B513" s="299" t="s">
        <v>3507</v>
      </c>
      <c r="C513" s="299">
        <v>150</v>
      </c>
      <c r="D513" s="299">
        <f t="shared" si="17"/>
        <v>9</v>
      </c>
      <c r="E513" s="299">
        <v>37</v>
      </c>
      <c r="F513" s="430" t="s">
        <v>3497</v>
      </c>
      <c r="G513" s="300" t="str">
        <f t="shared" si="18"/>
        <v>ChiantiNRW</v>
      </c>
    </row>
    <row r="514" spans="1:7" ht="12" customHeight="1">
      <c r="A514" s="298">
        <v>36418</v>
      </c>
      <c r="B514" s="299" t="s">
        <v>3507</v>
      </c>
      <c r="C514" s="299">
        <v>180</v>
      </c>
      <c r="D514" s="299">
        <f t="shared" si="17"/>
        <v>9</v>
      </c>
      <c r="E514" s="299">
        <v>35</v>
      </c>
      <c r="F514" s="430" t="s">
        <v>3497</v>
      </c>
      <c r="G514" s="300" t="str">
        <f t="shared" si="18"/>
        <v>ChiantiNRW</v>
      </c>
    </row>
    <row r="515" spans="1:7" ht="12" customHeight="1">
      <c r="A515" s="298">
        <v>36419</v>
      </c>
      <c r="B515" s="299" t="s">
        <v>3507</v>
      </c>
      <c r="C515" s="299">
        <v>150</v>
      </c>
      <c r="D515" s="299">
        <f t="shared" si="17"/>
        <v>9</v>
      </c>
      <c r="E515" s="299">
        <v>36</v>
      </c>
      <c r="F515" s="430" t="s">
        <v>3497</v>
      </c>
      <c r="G515" s="300" t="str">
        <f t="shared" si="18"/>
        <v>ChiantiNRW</v>
      </c>
    </row>
    <row r="516" spans="1:7" ht="12" customHeight="1">
      <c r="A516" s="298">
        <v>36472</v>
      </c>
      <c r="B516" s="299" t="s">
        <v>3507</v>
      </c>
      <c r="C516" s="299">
        <v>180</v>
      </c>
      <c r="D516" s="299">
        <f t="shared" si="17"/>
        <v>11</v>
      </c>
      <c r="E516" s="299">
        <v>43</v>
      </c>
      <c r="F516" s="430" t="s">
        <v>3497</v>
      </c>
      <c r="G516" s="300" t="str">
        <f t="shared" si="18"/>
        <v>ChiantiNRW</v>
      </c>
    </row>
    <row r="517" spans="1:7" ht="12" customHeight="1">
      <c r="A517" s="298">
        <v>36496</v>
      </c>
      <c r="B517" s="299" t="s">
        <v>3507</v>
      </c>
      <c r="C517" s="299">
        <v>150</v>
      </c>
      <c r="D517" s="299">
        <f t="shared" si="17"/>
        <v>12</v>
      </c>
      <c r="E517" s="299">
        <v>43</v>
      </c>
      <c r="F517" s="430" t="s">
        <v>3497</v>
      </c>
      <c r="G517" s="300" t="str">
        <f t="shared" si="18"/>
        <v>ChiantiNRW</v>
      </c>
    </row>
    <row r="518" spans="1:7" ht="12" customHeight="1">
      <c r="A518" s="298">
        <v>36506</v>
      </c>
      <c r="B518" s="299" t="s">
        <v>3507</v>
      </c>
      <c r="C518" s="299">
        <v>70</v>
      </c>
      <c r="D518" s="299">
        <f t="shared" ref="D518:D581" si="19">MONTH(A518)</f>
        <v>12</v>
      </c>
      <c r="E518" s="299">
        <v>36</v>
      </c>
      <c r="F518" s="430" t="s">
        <v>3497</v>
      </c>
      <c r="G518" s="300" t="str">
        <f t="shared" ref="G518:G581" si="20">B518&amp;F518</f>
        <v>ChiantiNRW</v>
      </c>
    </row>
    <row r="519" spans="1:7" ht="12" customHeight="1">
      <c r="A519" s="298">
        <v>36306</v>
      </c>
      <c r="B519" s="299" t="s">
        <v>3507</v>
      </c>
      <c r="C519" s="299">
        <v>100</v>
      </c>
      <c r="D519" s="299">
        <f t="shared" si="19"/>
        <v>5</v>
      </c>
      <c r="E519" s="299">
        <v>42</v>
      </c>
      <c r="F519" s="430" t="s">
        <v>3499</v>
      </c>
      <c r="G519" s="300" t="str">
        <f t="shared" si="20"/>
        <v>ChiantiPfalz</v>
      </c>
    </row>
    <row r="520" spans="1:7" ht="12" customHeight="1">
      <c r="A520" s="298">
        <v>36325</v>
      </c>
      <c r="B520" s="299" t="s">
        <v>3507</v>
      </c>
      <c r="C520" s="299">
        <v>70</v>
      </c>
      <c r="D520" s="299">
        <f t="shared" si="19"/>
        <v>6</v>
      </c>
      <c r="E520" s="299">
        <v>38</v>
      </c>
      <c r="F520" s="430" t="s">
        <v>3499</v>
      </c>
      <c r="G520" s="300" t="str">
        <f t="shared" si="20"/>
        <v>ChiantiPfalz</v>
      </c>
    </row>
    <row r="521" spans="1:7" ht="12" customHeight="1">
      <c r="A521" s="298">
        <v>36341</v>
      </c>
      <c r="B521" s="299" t="s">
        <v>3507</v>
      </c>
      <c r="C521" s="299">
        <v>120</v>
      </c>
      <c r="D521" s="299">
        <f t="shared" si="19"/>
        <v>6</v>
      </c>
      <c r="E521" s="299">
        <v>38</v>
      </c>
      <c r="F521" s="430" t="s">
        <v>3499</v>
      </c>
      <c r="G521" s="300" t="str">
        <f t="shared" si="20"/>
        <v>ChiantiPfalz</v>
      </c>
    </row>
    <row r="522" spans="1:7" ht="12" customHeight="1">
      <c r="A522" s="298">
        <v>36377</v>
      </c>
      <c r="B522" s="299" t="s">
        <v>3507</v>
      </c>
      <c r="C522" s="299">
        <v>40</v>
      </c>
      <c r="D522" s="299">
        <f t="shared" si="19"/>
        <v>8</v>
      </c>
      <c r="E522" s="299">
        <v>42</v>
      </c>
      <c r="F522" s="430" t="s">
        <v>3499</v>
      </c>
      <c r="G522" s="300" t="str">
        <f t="shared" si="20"/>
        <v>ChiantiPfalz</v>
      </c>
    </row>
    <row r="523" spans="1:7" ht="12" customHeight="1">
      <c r="A523" s="298">
        <v>36394</v>
      </c>
      <c r="B523" s="299" t="s">
        <v>3507</v>
      </c>
      <c r="C523" s="299">
        <v>50</v>
      </c>
      <c r="D523" s="299">
        <f t="shared" si="19"/>
        <v>8</v>
      </c>
      <c r="E523" s="299">
        <v>42</v>
      </c>
      <c r="F523" s="430" t="s">
        <v>3499</v>
      </c>
      <c r="G523" s="300" t="str">
        <f t="shared" si="20"/>
        <v>ChiantiPfalz</v>
      </c>
    </row>
    <row r="524" spans="1:7" ht="12" customHeight="1">
      <c r="A524" s="298">
        <v>36394</v>
      </c>
      <c r="B524" s="299" t="s">
        <v>3507</v>
      </c>
      <c r="C524" s="299">
        <v>180</v>
      </c>
      <c r="D524" s="299">
        <f t="shared" si="19"/>
        <v>8</v>
      </c>
      <c r="E524" s="299">
        <v>42</v>
      </c>
      <c r="F524" s="430" t="s">
        <v>3499</v>
      </c>
      <c r="G524" s="300" t="str">
        <f t="shared" si="20"/>
        <v>ChiantiPfalz</v>
      </c>
    </row>
    <row r="525" spans="1:7" ht="12" customHeight="1">
      <c r="A525" s="298">
        <v>36234</v>
      </c>
      <c r="B525" s="299" t="s">
        <v>3508</v>
      </c>
      <c r="C525" s="299">
        <v>10</v>
      </c>
      <c r="D525" s="299">
        <f t="shared" si="19"/>
        <v>3</v>
      </c>
      <c r="E525" s="299">
        <v>38</v>
      </c>
      <c r="F525" s="430" t="s">
        <v>3504</v>
      </c>
      <c r="G525" s="300" t="str">
        <f t="shared" si="20"/>
        <v>ChirazBayern</v>
      </c>
    </row>
    <row r="526" spans="1:7" ht="12" customHeight="1">
      <c r="A526" s="298">
        <v>36291</v>
      </c>
      <c r="B526" s="299" t="s">
        <v>3508</v>
      </c>
      <c r="C526" s="299">
        <v>10</v>
      </c>
      <c r="D526" s="299">
        <f t="shared" si="19"/>
        <v>5</v>
      </c>
      <c r="E526" s="299">
        <v>40</v>
      </c>
      <c r="F526" s="430" t="s">
        <v>3504</v>
      </c>
      <c r="G526" s="300" t="str">
        <f t="shared" si="20"/>
        <v>ChirazBayern</v>
      </c>
    </row>
    <row r="527" spans="1:7" ht="12" customHeight="1">
      <c r="A527" s="298">
        <v>36392</v>
      </c>
      <c r="B527" s="299" t="s">
        <v>3508</v>
      </c>
      <c r="C527" s="299">
        <v>120</v>
      </c>
      <c r="D527" s="299">
        <f t="shared" si="19"/>
        <v>8</v>
      </c>
      <c r="E527" s="299">
        <v>37</v>
      </c>
      <c r="F527" s="430" t="s">
        <v>3504</v>
      </c>
      <c r="G527" s="300" t="str">
        <f t="shared" si="20"/>
        <v>ChirazBayern</v>
      </c>
    </row>
    <row r="528" spans="1:7" ht="12" customHeight="1">
      <c r="A528" s="298">
        <v>36394</v>
      </c>
      <c r="B528" s="299" t="s">
        <v>3508</v>
      </c>
      <c r="C528" s="299">
        <v>20</v>
      </c>
      <c r="D528" s="299">
        <f t="shared" si="19"/>
        <v>8</v>
      </c>
      <c r="E528" s="299">
        <v>40</v>
      </c>
      <c r="F528" s="430" t="s">
        <v>3504</v>
      </c>
      <c r="G528" s="300" t="str">
        <f t="shared" si="20"/>
        <v>ChirazBayern</v>
      </c>
    </row>
    <row r="529" spans="1:7" ht="12" customHeight="1">
      <c r="A529" s="298">
        <v>36247</v>
      </c>
      <c r="B529" s="299" t="s">
        <v>3508</v>
      </c>
      <c r="C529" s="299">
        <v>70</v>
      </c>
      <c r="D529" s="299">
        <f t="shared" si="19"/>
        <v>3</v>
      </c>
      <c r="E529" s="299">
        <v>37</v>
      </c>
      <c r="F529" s="430" t="s">
        <v>3502</v>
      </c>
      <c r="G529" s="300" t="str">
        <f t="shared" si="20"/>
        <v>ChirazHessen</v>
      </c>
    </row>
    <row r="530" spans="1:7" ht="12" customHeight="1">
      <c r="A530" s="298">
        <v>36452</v>
      </c>
      <c r="B530" s="299" t="s">
        <v>3508</v>
      </c>
      <c r="C530" s="299">
        <v>90</v>
      </c>
      <c r="D530" s="299">
        <f t="shared" si="19"/>
        <v>10</v>
      </c>
      <c r="E530" s="299">
        <v>36</v>
      </c>
      <c r="F530" s="430" t="s">
        <v>3502</v>
      </c>
      <c r="G530" s="300" t="str">
        <f t="shared" si="20"/>
        <v>ChirazHessen</v>
      </c>
    </row>
    <row r="531" spans="1:7" ht="12" customHeight="1">
      <c r="A531" s="298">
        <v>36458</v>
      </c>
      <c r="B531" s="299" t="s">
        <v>3508</v>
      </c>
      <c r="C531" s="299">
        <v>40</v>
      </c>
      <c r="D531" s="299">
        <f t="shared" si="19"/>
        <v>10</v>
      </c>
      <c r="E531" s="299">
        <v>36</v>
      </c>
      <c r="F531" s="430" t="s">
        <v>3502</v>
      </c>
      <c r="G531" s="300" t="str">
        <f t="shared" si="20"/>
        <v>ChirazHessen</v>
      </c>
    </row>
    <row r="532" spans="1:7" ht="12" customHeight="1">
      <c r="A532" s="298">
        <v>36503</v>
      </c>
      <c r="B532" s="299" t="s">
        <v>3508</v>
      </c>
      <c r="C532" s="299">
        <v>30</v>
      </c>
      <c r="D532" s="299">
        <f t="shared" si="19"/>
        <v>12</v>
      </c>
      <c r="E532" s="299">
        <v>43</v>
      </c>
      <c r="F532" s="430" t="s">
        <v>3503</v>
      </c>
      <c r="G532" s="300" t="str">
        <f t="shared" si="20"/>
        <v>ChirazHolstein</v>
      </c>
    </row>
    <row r="533" spans="1:7" ht="12" customHeight="1">
      <c r="A533" s="298">
        <v>36507</v>
      </c>
      <c r="B533" s="299" t="s">
        <v>3508</v>
      </c>
      <c r="C533" s="299">
        <v>110</v>
      </c>
      <c r="D533" s="299">
        <f t="shared" si="19"/>
        <v>12</v>
      </c>
      <c r="E533" s="299">
        <v>43</v>
      </c>
      <c r="F533" s="430" t="s">
        <v>3503</v>
      </c>
      <c r="G533" s="300" t="str">
        <f t="shared" si="20"/>
        <v>ChirazHolstein</v>
      </c>
    </row>
    <row r="534" spans="1:7" ht="12" customHeight="1">
      <c r="A534" s="298">
        <v>36509</v>
      </c>
      <c r="B534" s="299" t="s">
        <v>3508</v>
      </c>
      <c r="C534" s="299">
        <v>40</v>
      </c>
      <c r="D534" s="299">
        <f t="shared" si="19"/>
        <v>12</v>
      </c>
      <c r="E534" s="299">
        <v>43</v>
      </c>
      <c r="F534" s="430" t="s">
        <v>3503</v>
      </c>
      <c r="G534" s="300" t="str">
        <f t="shared" si="20"/>
        <v>ChirazHolstein</v>
      </c>
    </row>
    <row r="535" spans="1:7" ht="12" customHeight="1">
      <c r="A535" s="298">
        <v>36222</v>
      </c>
      <c r="B535" s="299" t="s">
        <v>3508</v>
      </c>
      <c r="C535" s="299">
        <v>210</v>
      </c>
      <c r="D535" s="299">
        <f t="shared" si="19"/>
        <v>3</v>
      </c>
      <c r="E535" s="299">
        <v>42</v>
      </c>
      <c r="F535" s="430" t="s">
        <v>3497</v>
      </c>
      <c r="G535" s="300" t="str">
        <f t="shared" si="20"/>
        <v>ChirazNRW</v>
      </c>
    </row>
    <row r="536" spans="1:7" ht="12" customHeight="1">
      <c r="A536" s="298">
        <v>36245</v>
      </c>
      <c r="B536" s="299" t="s">
        <v>3508</v>
      </c>
      <c r="C536" s="299">
        <v>210</v>
      </c>
      <c r="D536" s="299">
        <f t="shared" si="19"/>
        <v>3</v>
      </c>
      <c r="E536" s="299">
        <v>42</v>
      </c>
      <c r="F536" s="430" t="s">
        <v>3497</v>
      </c>
      <c r="G536" s="300" t="str">
        <f t="shared" si="20"/>
        <v>ChirazNRW</v>
      </c>
    </row>
    <row r="537" spans="1:7" ht="12" customHeight="1">
      <c r="A537" s="298">
        <v>36309</v>
      </c>
      <c r="B537" s="299" t="s">
        <v>3508</v>
      </c>
      <c r="C537" s="299">
        <v>150</v>
      </c>
      <c r="D537" s="299">
        <f t="shared" si="19"/>
        <v>5</v>
      </c>
      <c r="E537" s="299">
        <v>36</v>
      </c>
      <c r="F537" s="430" t="s">
        <v>3497</v>
      </c>
      <c r="G537" s="300" t="str">
        <f t="shared" si="20"/>
        <v>ChirazNRW</v>
      </c>
    </row>
    <row r="538" spans="1:7" ht="12" customHeight="1">
      <c r="A538" s="298">
        <v>36338</v>
      </c>
      <c r="B538" s="299" t="s">
        <v>3508</v>
      </c>
      <c r="C538" s="299">
        <v>40</v>
      </c>
      <c r="D538" s="299">
        <f t="shared" si="19"/>
        <v>6</v>
      </c>
      <c r="E538" s="299">
        <v>42</v>
      </c>
      <c r="F538" s="430" t="s">
        <v>3497</v>
      </c>
      <c r="G538" s="300" t="str">
        <f t="shared" si="20"/>
        <v>ChirazNRW</v>
      </c>
    </row>
    <row r="539" spans="1:7" ht="12" customHeight="1">
      <c r="A539" s="298">
        <v>36344</v>
      </c>
      <c r="B539" s="299" t="s">
        <v>3508</v>
      </c>
      <c r="C539" s="299">
        <v>210</v>
      </c>
      <c r="D539" s="299">
        <f t="shared" si="19"/>
        <v>7</v>
      </c>
      <c r="E539" s="299">
        <v>43</v>
      </c>
      <c r="F539" s="430" t="s">
        <v>3497</v>
      </c>
      <c r="G539" s="300" t="str">
        <f t="shared" si="20"/>
        <v>ChirazNRW</v>
      </c>
    </row>
    <row r="540" spans="1:7" ht="12" customHeight="1">
      <c r="A540" s="298">
        <v>36346</v>
      </c>
      <c r="B540" s="299" t="s">
        <v>3508</v>
      </c>
      <c r="C540" s="299">
        <v>10</v>
      </c>
      <c r="D540" s="299">
        <f t="shared" si="19"/>
        <v>7</v>
      </c>
      <c r="E540" s="299">
        <v>43</v>
      </c>
      <c r="F540" s="430" t="s">
        <v>3497</v>
      </c>
      <c r="G540" s="300" t="str">
        <f t="shared" si="20"/>
        <v>ChirazNRW</v>
      </c>
    </row>
    <row r="541" spans="1:7" ht="12" customHeight="1">
      <c r="A541" s="298">
        <v>36348</v>
      </c>
      <c r="B541" s="299" t="s">
        <v>3508</v>
      </c>
      <c r="C541" s="299">
        <v>180</v>
      </c>
      <c r="D541" s="299">
        <f t="shared" si="19"/>
        <v>7</v>
      </c>
      <c r="E541" s="299">
        <v>43</v>
      </c>
      <c r="F541" s="430" t="s">
        <v>3497</v>
      </c>
      <c r="G541" s="300" t="str">
        <f t="shared" si="20"/>
        <v>ChirazNRW</v>
      </c>
    </row>
    <row r="542" spans="1:7" ht="12" customHeight="1">
      <c r="A542" s="298">
        <v>36350</v>
      </c>
      <c r="B542" s="299" t="s">
        <v>3508</v>
      </c>
      <c r="C542" s="299">
        <v>210</v>
      </c>
      <c r="D542" s="299">
        <f t="shared" si="19"/>
        <v>7</v>
      </c>
      <c r="E542" s="299">
        <v>43</v>
      </c>
      <c r="F542" s="430" t="s">
        <v>3497</v>
      </c>
      <c r="G542" s="300" t="str">
        <f t="shared" si="20"/>
        <v>ChirazNRW</v>
      </c>
    </row>
    <row r="543" spans="1:7" ht="12" customHeight="1">
      <c r="A543" s="298">
        <v>36353</v>
      </c>
      <c r="B543" s="299" t="s">
        <v>3508</v>
      </c>
      <c r="C543" s="299">
        <v>10</v>
      </c>
      <c r="D543" s="299">
        <f t="shared" si="19"/>
        <v>7</v>
      </c>
      <c r="E543" s="299">
        <v>43</v>
      </c>
      <c r="F543" s="430" t="s">
        <v>3497</v>
      </c>
      <c r="G543" s="300" t="str">
        <f t="shared" si="20"/>
        <v>ChirazNRW</v>
      </c>
    </row>
    <row r="544" spans="1:7" ht="12" customHeight="1">
      <c r="A544" s="298">
        <v>36360</v>
      </c>
      <c r="B544" s="299" t="s">
        <v>3508</v>
      </c>
      <c r="C544" s="299">
        <v>150</v>
      </c>
      <c r="D544" s="299">
        <f t="shared" si="19"/>
        <v>7</v>
      </c>
      <c r="E544" s="299">
        <v>43</v>
      </c>
      <c r="F544" s="430" t="s">
        <v>3497</v>
      </c>
      <c r="G544" s="300" t="str">
        <f t="shared" si="20"/>
        <v>ChirazNRW</v>
      </c>
    </row>
    <row r="545" spans="1:7" ht="12" customHeight="1">
      <c r="A545" s="298">
        <v>36360</v>
      </c>
      <c r="B545" s="299" t="s">
        <v>3508</v>
      </c>
      <c r="C545" s="299">
        <v>180</v>
      </c>
      <c r="D545" s="299">
        <f t="shared" si="19"/>
        <v>7</v>
      </c>
      <c r="E545" s="299">
        <v>43</v>
      </c>
      <c r="F545" s="430" t="s">
        <v>3497</v>
      </c>
      <c r="G545" s="300" t="str">
        <f t="shared" si="20"/>
        <v>ChirazNRW</v>
      </c>
    </row>
    <row r="546" spans="1:7" ht="12" customHeight="1">
      <c r="A546" s="298">
        <v>36362</v>
      </c>
      <c r="B546" s="299" t="s">
        <v>3508</v>
      </c>
      <c r="C546" s="299">
        <v>150</v>
      </c>
      <c r="D546" s="299">
        <f t="shared" si="19"/>
        <v>7</v>
      </c>
      <c r="E546" s="299">
        <v>43</v>
      </c>
      <c r="F546" s="430" t="s">
        <v>3497</v>
      </c>
      <c r="G546" s="300" t="str">
        <f t="shared" si="20"/>
        <v>ChirazNRW</v>
      </c>
    </row>
    <row r="547" spans="1:7" ht="12" customHeight="1">
      <c r="A547" s="298">
        <v>36368</v>
      </c>
      <c r="B547" s="299" t="s">
        <v>3508</v>
      </c>
      <c r="C547" s="299">
        <v>210</v>
      </c>
      <c r="D547" s="299">
        <f t="shared" si="19"/>
        <v>7</v>
      </c>
      <c r="E547" s="299">
        <v>35</v>
      </c>
      <c r="F547" s="430" t="s">
        <v>3497</v>
      </c>
      <c r="G547" s="300" t="str">
        <f t="shared" si="20"/>
        <v>ChirazNRW</v>
      </c>
    </row>
    <row r="548" spans="1:7" ht="12" customHeight="1">
      <c r="A548" s="298">
        <v>36369</v>
      </c>
      <c r="B548" s="299" t="s">
        <v>3508</v>
      </c>
      <c r="C548" s="299">
        <v>120</v>
      </c>
      <c r="D548" s="299">
        <f t="shared" si="19"/>
        <v>7</v>
      </c>
      <c r="E548" s="299">
        <v>35</v>
      </c>
      <c r="F548" s="430" t="s">
        <v>3497</v>
      </c>
      <c r="G548" s="300" t="str">
        <f t="shared" si="20"/>
        <v>ChirazNRW</v>
      </c>
    </row>
    <row r="549" spans="1:7" ht="12" customHeight="1">
      <c r="A549" s="298">
        <v>36383</v>
      </c>
      <c r="B549" s="299" t="s">
        <v>3508</v>
      </c>
      <c r="C549" s="299">
        <v>100</v>
      </c>
      <c r="D549" s="299">
        <f t="shared" si="19"/>
        <v>8</v>
      </c>
      <c r="E549" s="299">
        <v>41</v>
      </c>
      <c r="F549" s="430" t="s">
        <v>3497</v>
      </c>
      <c r="G549" s="300" t="str">
        <f t="shared" si="20"/>
        <v>ChirazNRW</v>
      </c>
    </row>
    <row r="550" spans="1:7" ht="12" customHeight="1">
      <c r="A550" s="298">
        <v>36388</v>
      </c>
      <c r="B550" s="299" t="s">
        <v>3508</v>
      </c>
      <c r="C550" s="299">
        <v>80</v>
      </c>
      <c r="D550" s="299">
        <f t="shared" si="19"/>
        <v>8</v>
      </c>
      <c r="E550" s="299">
        <v>38</v>
      </c>
      <c r="F550" s="430" t="s">
        <v>3497</v>
      </c>
      <c r="G550" s="300" t="str">
        <f t="shared" si="20"/>
        <v>ChirazNRW</v>
      </c>
    </row>
    <row r="551" spans="1:7" ht="12" customHeight="1">
      <c r="A551" s="298">
        <v>36400</v>
      </c>
      <c r="B551" s="299" t="s">
        <v>3508</v>
      </c>
      <c r="C551" s="299">
        <v>210</v>
      </c>
      <c r="D551" s="299">
        <f t="shared" si="19"/>
        <v>8</v>
      </c>
      <c r="E551" s="299">
        <v>41</v>
      </c>
      <c r="F551" s="430" t="s">
        <v>3497</v>
      </c>
      <c r="G551" s="300" t="str">
        <f t="shared" si="20"/>
        <v>ChirazNRW</v>
      </c>
    </row>
    <row r="552" spans="1:7" ht="12" customHeight="1">
      <c r="A552" s="298">
        <v>36429</v>
      </c>
      <c r="B552" s="299" t="s">
        <v>3508</v>
      </c>
      <c r="C552" s="299">
        <v>80</v>
      </c>
      <c r="D552" s="299">
        <f t="shared" si="19"/>
        <v>9</v>
      </c>
      <c r="E552" s="299">
        <v>36</v>
      </c>
      <c r="F552" s="430" t="s">
        <v>3497</v>
      </c>
      <c r="G552" s="300" t="str">
        <f t="shared" si="20"/>
        <v>ChirazNRW</v>
      </c>
    </row>
    <row r="553" spans="1:7" ht="12" customHeight="1">
      <c r="A553" s="298">
        <v>36490</v>
      </c>
      <c r="B553" s="299" t="s">
        <v>3508</v>
      </c>
      <c r="C553" s="299">
        <v>60</v>
      </c>
      <c r="D553" s="299">
        <f t="shared" si="19"/>
        <v>11</v>
      </c>
      <c r="E553" s="299">
        <v>43</v>
      </c>
      <c r="F553" s="430" t="s">
        <v>3497</v>
      </c>
      <c r="G553" s="300" t="str">
        <f t="shared" si="20"/>
        <v>ChirazNRW</v>
      </c>
    </row>
    <row r="554" spans="1:7" ht="12" customHeight="1">
      <c r="A554" s="298">
        <v>36492</v>
      </c>
      <c r="B554" s="299" t="s">
        <v>3508</v>
      </c>
      <c r="C554" s="299">
        <v>150</v>
      </c>
      <c r="D554" s="299">
        <f t="shared" si="19"/>
        <v>11</v>
      </c>
      <c r="E554" s="299">
        <v>41</v>
      </c>
      <c r="F554" s="430" t="s">
        <v>3497</v>
      </c>
      <c r="G554" s="300" t="str">
        <f t="shared" si="20"/>
        <v>ChirazNRW</v>
      </c>
    </row>
    <row r="555" spans="1:7" ht="12" customHeight="1">
      <c r="A555" s="298">
        <v>36283</v>
      </c>
      <c r="B555" s="299" t="s">
        <v>3508</v>
      </c>
      <c r="C555" s="299">
        <v>120</v>
      </c>
      <c r="D555" s="299">
        <f t="shared" si="19"/>
        <v>5</v>
      </c>
      <c r="E555" s="299">
        <v>38</v>
      </c>
      <c r="F555" s="430" t="s">
        <v>3499</v>
      </c>
      <c r="G555" s="300" t="str">
        <f t="shared" si="20"/>
        <v>ChirazPfalz</v>
      </c>
    </row>
    <row r="556" spans="1:7" ht="12" customHeight="1">
      <c r="A556" s="298">
        <v>36286</v>
      </c>
      <c r="B556" s="299" t="s">
        <v>3508</v>
      </c>
      <c r="C556" s="299">
        <v>10</v>
      </c>
      <c r="D556" s="299">
        <f t="shared" si="19"/>
        <v>5</v>
      </c>
      <c r="E556" s="299">
        <v>35</v>
      </c>
      <c r="F556" s="430" t="s">
        <v>3499</v>
      </c>
      <c r="G556" s="300" t="str">
        <f t="shared" si="20"/>
        <v>ChirazPfalz</v>
      </c>
    </row>
    <row r="557" spans="1:7" ht="12" customHeight="1">
      <c r="A557" s="298">
        <v>36325</v>
      </c>
      <c r="B557" s="299" t="s">
        <v>3508</v>
      </c>
      <c r="C557" s="299">
        <v>100</v>
      </c>
      <c r="D557" s="299">
        <f t="shared" si="19"/>
        <v>6</v>
      </c>
      <c r="E557" s="299">
        <v>42</v>
      </c>
      <c r="F557" s="430" t="s">
        <v>3499</v>
      </c>
      <c r="G557" s="300" t="str">
        <f t="shared" si="20"/>
        <v>ChirazPfalz</v>
      </c>
    </row>
    <row r="558" spans="1:7" ht="12" customHeight="1">
      <c r="A558" s="298">
        <v>36459</v>
      </c>
      <c r="B558" s="299" t="s">
        <v>3508</v>
      </c>
      <c r="C558" s="299">
        <v>30</v>
      </c>
      <c r="D558" s="299">
        <f t="shared" si="19"/>
        <v>10</v>
      </c>
      <c r="E558" s="299">
        <v>42</v>
      </c>
      <c r="F558" s="430" t="s">
        <v>3499</v>
      </c>
      <c r="G558" s="300" t="str">
        <f t="shared" si="20"/>
        <v>ChirazPfalz</v>
      </c>
    </row>
    <row r="559" spans="1:7" ht="12" customHeight="1">
      <c r="A559" s="298">
        <v>36498</v>
      </c>
      <c r="B559" s="299" t="s">
        <v>3508</v>
      </c>
      <c r="C559" s="299">
        <v>90</v>
      </c>
      <c r="D559" s="299">
        <f t="shared" si="19"/>
        <v>12</v>
      </c>
      <c r="E559" s="299">
        <v>42</v>
      </c>
      <c r="F559" s="430" t="s">
        <v>3499</v>
      </c>
      <c r="G559" s="300" t="str">
        <f t="shared" si="20"/>
        <v>ChirazPfalz</v>
      </c>
    </row>
    <row r="560" spans="1:7" ht="12" customHeight="1">
      <c r="A560" s="298">
        <v>36505</v>
      </c>
      <c r="B560" s="299" t="s">
        <v>3508</v>
      </c>
      <c r="C560" s="299">
        <v>240</v>
      </c>
      <c r="D560" s="299">
        <f t="shared" si="19"/>
        <v>12</v>
      </c>
      <c r="E560" s="299">
        <v>42</v>
      </c>
      <c r="F560" s="430" t="s">
        <v>3499</v>
      </c>
      <c r="G560" s="300" t="str">
        <f t="shared" si="20"/>
        <v>ChirazPfalz</v>
      </c>
    </row>
    <row r="561" spans="1:7" ht="12" customHeight="1">
      <c r="A561" s="298">
        <v>36511</v>
      </c>
      <c r="B561" s="299" t="s">
        <v>3508</v>
      </c>
      <c r="C561" s="299">
        <v>100</v>
      </c>
      <c r="D561" s="299">
        <f t="shared" si="19"/>
        <v>12</v>
      </c>
      <c r="E561" s="299">
        <v>42</v>
      </c>
      <c r="F561" s="430" t="s">
        <v>3499</v>
      </c>
      <c r="G561" s="300" t="str">
        <f t="shared" si="20"/>
        <v>ChirazPfalz</v>
      </c>
    </row>
    <row r="562" spans="1:7" ht="12" customHeight="1">
      <c r="A562" s="298">
        <v>36170</v>
      </c>
      <c r="B562" s="299" t="s">
        <v>3509</v>
      </c>
      <c r="C562" s="299">
        <v>80</v>
      </c>
      <c r="D562" s="299">
        <f t="shared" si="19"/>
        <v>1</v>
      </c>
      <c r="E562" s="299">
        <v>40</v>
      </c>
      <c r="F562" s="430" t="s">
        <v>3504</v>
      </c>
      <c r="G562" s="300" t="str">
        <f t="shared" si="20"/>
        <v>DeinhardBayern</v>
      </c>
    </row>
    <row r="563" spans="1:7" ht="12" customHeight="1">
      <c r="A563" s="298">
        <v>36306</v>
      </c>
      <c r="B563" s="299" t="s">
        <v>3509</v>
      </c>
      <c r="C563" s="299">
        <v>70</v>
      </c>
      <c r="D563" s="299">
        <f t="shared" si="19"/>
        <v>5</v>
      </c>
      <c r="E563" s="299">
        <v>41</v>
      </c>
      <c r="F563" s="430" t="s">
        <v>3504</v>
      </c>
      <c r="G563" s="300" t="str">
        <f t="shared" si="20"/>
        <v>DeinhardBayern</v>
      </c>
    </row>
    <row r="564" spans="1:7" ht="12" customHeight="1">
      <c r="A564" s="298">
        <v>36436</v>
      </c>
      <c r="B564" s="299" t="s">
        <v>3509</v>
      </c>
      <c r="C564" s="299">
        <v>10</v>
      </c>
      <c r="D564" s="299">
        <f t="shared" si="19"/>
        <v>10</v>
      </c>
      <c r="E564" s="299">
        <v>37</v>
      </c>
      <c r="F564" s="430" t="s">
        <v>3504</v>
      </c>
      <c r="G564" s="300" t="str">
        <f t="shared" si="20"/>
        <v>DeinhardBayern</v>
      </c>
    </row>
    <row r="565" spans="1:7" ht="12" customHeight="1">
      <c r="A565" s="298">
        <v>36448</v>
      </c>
      <c r="B565" s="299" t="s">
        <v>3509</v>
      </c>
      <c r="C565" s="299">
        <v>120</v>
      </c>
      <c r="D565" s="299">
        <f t="shared" si="19"/>
        <v>10</v>
      </c>
      <c r="E565" s="299">
        <v>37</v>
      </c>
      <c r="F565" s="430" t="s">
        <v>3504</v>
      </c>
      <c r="G565" s="300" t="str">
        <f t="shared" si="20"/>
        <v>DeinhardBayern</v>
      </c>
    </row>
    <row r="566" spans="1:7" ht="12" customHeight="1">
      <c r="A566" s="298">
        <v>36189</v>
      </c>
      <c r="B566" s="299" t="s">
        <v>3509</v>
      </c>
      <c r="C566" s="299">
        <v>20</v>
      </c>
      <c r="D566" s="299">
        <f t="shared" si="19"/>
        <v>1</v>
      </c>
      <c r="E566" s="299">
        <v>37</v>
      </c>
      <c r="F566" s="430" t="s">
        <v>3501</v>
      </c>
      <c r="G566" s="300" t="str">
        <f t="shared" si="20"/>
        <v>DeinhardBW</v>
      </c>
    </row>
    <row r="567" spans="1:7" ht="12" customHeight="1">
      <c r="A567" s="298">
        <v>36221</v>
      </c>
      <c r="B567" s="299" t="s">
        <v>3509</v>
      </c>
      <c r="C567" s="299">
        <v>120</v>
      </c>
      <c r="D567" s="299">
        <f t="shared" si="19"/>
        <v>3</v>
      </c>
      <c r="E567" s="299">
        <v>37</v>
      </c>
      <c r="F567" s="430" t="s">
        <v>3501</v>
      </c>
      <c r="G567" s="300" t="str">
        <f t="shared" si="20"/>
        <v>DeinhardBW</v>
      </c>
    </row>
    <row r="568" spans="1:7" ht="12" customHeight="1">
      <c r="A568" s="298">
        <v>36255</v>
      </c>
      <c r="B568" s="299" t="s">
        <v>3509</v>
      </c>
      <c r="C568" s="299">
        <v>80</v>
      </c>
      <c r="D568" s="299">
        <f t="shared" si="19"/>
        <v>4</v>
      </c>
      <c r="E568" s="299">
        <v>42</v>
      </c>
      <c r="F568" s="430" t="s">
        <v>3501</v>
      </c>
      <c r="G568" s="300" t="str">
        <f t="shared" si="20"/>
        <v>DeinhardBW</v>
      </c>
    </row>
    <row r="569" spans="1:7" ht="12" customHeight="1">
      <c r="A569" s="298">
        <v>36325</v>
      </c>
      <c r="B569" s="299" t="s">
        <v>3509</v>
      </c>
      <c r="C569" s="299">
        <v>100</v>
      </c>
      <c r="D569" s="299">
        <f t="shared" si="19"/>
        <v>6</v>
      </c>
      <c r="E569" s="299">
        <v>36</v>
      </c>
      <c r="F569" s="430" t="s">
        <v>3501</v>
      </c>
      <c r="G569" s="300" t="str">
        <f t="shared" si="20"/>
        <v>DeinhardBW</v>
      </c>
    </row>
    <row r="570" spans="1:7" ht="12" customHeight="1">
      <c r="A570" s="298">
        <v>36332</v>
      </c>
      <c r="B570" s="299" t="s">
        <v>3509</v>
      </c>
      <c r="C570" s="299">
        <v>120</v>
      </c>
      <c r="D570" s="299">
        <f t="shared" si="19"/>
        <v>6</v>
      </c>
      <c r="E570" s="299">
        <v>36</v>
      </c>
      <c r="F570" s="430" t="s">
        <v>3501</v>
      </c>
      <c r="G570" s="300" t="str">
        <f t="shared" si="20"/>
        <v>DeinhardBW</v>
      </c>
    </row>
    <row r="571" spans="1:7" ht="12" customHeight="1">
      <c r="A571" s="298">
        <v>36450</v>
      </c>
      <c r="B571" s="299" t="s">
        <v>3509</v>
      </c>
      <c r="C571" s="299">
        <v>80</v>
      </c>
      <c r="D571" s="299">
        <f t="shared" si="19"/>
        <v>10</v>
      </c>
      <c r="E571" s="299">
        <v>41</v>
      </c>
      <c r="F571" s="430" t="s">
        <v>3501</v>
      </c>
      <c r="G571" s="300" t="str">
        <f t="shared" si="20"/>
        <v>DeinhardBW</v>
      </c>
    </row>
    <row r="572" spans="1:7" ht="12" customHeight="1">
      <c r="A572" s="298">
        <v>36454</v>
      </c>
      <c r="B572" s="299" t="s">
        <v>3509</v>
      </c>
      <c r="C572" s="299">
        <v>30</v>
      </c>
      <c r="D572" s="299">
        <f t="shared" si="19"/>
        <v>10</v>
      </c>
      <c r="E572" s="299">
        <v>36</v>
      </c>
      <c r="F572" s="430" t="s">
        <v>3501</v>
      </c>
      <c r="G572" s="300" t="str">
        <f t="shared" si="20"/>
        <v>DeinhardBW</v>
      </c>
    </row>
    <row r="573" spans="1:7" ht="12" customHeight="1">
      <c r="A573" s="298">
        <v>36494</v>
      </c>
      <c r="B573" s="299" t="s">
        <v>3509</v>
      </c>
      <c r="C573" s="299">
        <v>20</v>
      </c>
      <c r="D573" s="299">
        <f t="shared" si="19"/>
        <v>11</v>
      </c>
      <c r="E573" s="299">
        <v>39</v>
      </c>
      <c r="F573" s="430" t="s">
        <v>3501</v>
      </c>
      <c r="G573" s="300" t="str">
        <f t="shared" si="20"/>
        <v>DeinhardBW</v>
      </c>
    </row>
    <row r="574" spans="1:7" ht="12" customHeight="1">
      <c r="A574" s="298">
        <v>36511</v>
      </c>
      <c r="B574" s="299" t="s">
        <v>3509</v>
      </c>
      <c r="C574" s="299">
        <v>80</v>
      </c>
      <c r="D574" s="299">
        <f t="shared" si="19"/>
        <v>12</v>
      </c>
      <c r="E574" s="299">
        <v>44</v>
      </c>
      <c r="F574" s="430" t="s">
        <v>3501</v>
      </c>
      <c r="G574" s="300" t="str">
        <f t="shared" si="20"/>
        <v>DeinhardBW</v>
      </c>
    </row>
    <row r="575" spans="1:7" ht="12" customHeight="1">
      <c r="A575" s="298">
        <v>36227</v>
      </c>
      <c r="B575" s="299" t="s">
        <v>3509</v>
      </c>
      <c r="C575" s="299">
        <v>20</v>
      </c>
      <c r="D575" s="299">
        <f t="shared" si="19"/>
        <v>3</v>
      </c>
      <c r="E575" s="299">
        <v>37</v>
      </c>
      <c r="F575" s="430" t="s">
        <v>3502</v>
      </c>
      <c r="G575" s="300" t="str">
        <f t="shared" si="20"/>
        <v>DeinhardHessen</v>
      </c>
    </row>
    <row r="576" spans="1:7" ht="12" customHeight="1">
      <c r="A576" s="298">
        <v>36242</v>
      </c>
      <c r="B576" s="299" t="s">
        <v>3509</v>
      </c>
      <c r="C576" s="299">
        <v>20</v>
      </c>
      <c r="D576" s="299">
        <f t="shared" si="19"/>
        <v>3</v>
      </c>
      <c r="E576" s="299">
        <v>37</v>
      </c>
      <c r="F576" s="430" t="s">
        <v>3502</v>
      </c>
      <c r="G576" s="300" t="str">
        <f t="shared" si="20"/>
        <v>DeinhardHessen</v>
      </c>
    </row>
    <row r="577" spans="1:7" ht="12" customHeight="1">
      <c r="A577" s="298">
        <v>36408</v>
      </c>
      <c r="B577" s="299" t="s">
        <v>3509</v>
      </c>
      <c r="C577" s="299">
        <v>80</v>
      </c>
      <c r="D577" s="299">
        <f t="shared" si="19"/>
        <v>9</v>
      </c>
      <c r="E577" s="299">
        <v>37</v>
      </c>
      <c r="F577" s="430" t="s">
        <v>3502</v>
      </c>
      <c r="G577" s="300" t="str">
        <f t="shared" si="20"/>
        <v>DeinhardHessen</v>
      </c>
    </row>
    <row r="578" spans="1:7" ht="12" customHeight="1">
      <c r="A578" s="298">
        <v>36219</v>
      </c>
      <c r="B578" s="299" t="s">
        <v>3509</v>
      </c>
      <c r="C578" s="299">
        <v>120</v>
      </c>
      <c r="D578" s="299">
        <f t="shared" si="19"/>
        <v>2</v>
      </c>
      <c r="E578" s="299">
        <v>43</v>
      </c>
      <c r="F578" s="430" t="s">
        <v>3503</v>
      </c>
      <c r="G578" s="300" t="str">
        <f t="shared" si="20"/>
        <v>DeinhardHolstein</v>
      </c>
    </row>
    <row r="579" spans="1:7" ht="12" customHeight="1">
      <c r="A579" s="298">
        <v>36302</v>
      </c>
      <c r="B579" s="299" t="s">
        <v>3509</v>
      </c>
      <c r="C579" s="299">
        <v>30</v>
      </c>
      <c r="D579" s="299">
        <f t="shared" si="19"/>
        <v>5</v>
      </c>
      <c r="E579" s="299">
        <v>43</v>
      </c>
      <c r="F579" s="430" t="s">
        <v>3503</v>
      </c>
      <c r="G579" s="300" t="str">
        <f t="shared" si="20"/>
        <v>DeinhardHolstein</v>
      </c>
    </row>
    <row r="580" spans="1:7" ht="12" customHeight="1">
      <c r="A580" s="298">
        <v>36511</v>
      </c>
      <c r="B580" s="299" t="s">
        <v>3509</v>
      </c>
      <c r="C580" s="299">
        <v>60</v>
      </c>
      <c r="D580" s="299">
        <f t="shared" si="19"/>
        <v>12</v>
      </c>
      <c r="E580" s="299">
        <v>41</v>
      </c>
      <c r="F580" s="430" t="s">
        <v>3503</v>
      </c>
      <c r="G580" s="300" t="str">
        <f t="shared" si="20"/>
        <v>DeinhardHolstein</v>
      </c>
    </row>
    <row r="581" spans="1:7" ht="12" customHeight="1">
      <c r="A581" s="298">
        <v>36166</v>
      </c>
      <c r="B581" s="299" t="s">
        <v>3509</v>
      </c>
      <c r="C581" s="299">
        <v>20</v>
      </c>
      <c r="D581" s="299">
        <f t="shared" si="19"/>
        <v>1</v>
      </c>
      <c r="E581" s="299">
        <v>37</v>
      </c>
      <c r="F581" s="430" t="s">
        <v>3497</v>
      </c>
      <c r="G581" s="300" t="str">
        <f t="shared" si="20"/>
        <v>DeinhardNRW</v>
      </c>
    </row>
    <row r="582" spans="1:7" ht="12" customHeight="1">
      <c r="A582" s="298">
        <v>36198</v>
      </c>
      <c r="B582" s="299" t="s">
        <v>3509</v>
      </c>
      <c r="C582" s="299">
        <v>40</v>
      </c>
      <c r="D582" s="299">
        <f t="shared" ref="D582:D645" si="21">MONTH(A582)</f>
        <v>2</v>
      </c>
      <c r="E582" s="299">
        <v>41</v>
      </c>
      <c r="F582" s="430" t="s">
        <v>3497</v>
      </c>
      <c r="G582" s="300" t="str">
        <f t="shared" ref="G582:G645" si="22">B582&amp;F582</f>
        <v>DeinhardNRW</v>
      </c>
    </row>
    <row r="583" spans="1:7" ht="12" customHeight="1">
      <c r="A583" s="298">
        <v>36203</v>
      </c>
      <c r="B583" s="299" t="s">
        <v>3509</v>
      </c>
      <c r="C583" s="299">
        <v>120</v>
      </c>
      <c r="D583" s="299">
        <f t="shared" si="21"/>
        <v>2</v>
      </c>
      <c r="E583" s="299">
        <v>37</v>
      </c>
      <c r="F583" s="430" t="s">
        <v>3497</v>
      </c>
      <c r="G583" s="300" t="str">
        <f t="shared" si="22"/>
        <v>DeinhardNRW</v>
      </c>
    </row>
    <row r="584" spans="1:7" ht="12" customHeight="1">
      <c r="A584" s="298">
        <v>36209</v>
      </c>
      <c r="B584" s="299" t="s">
        <v>3509</v>
      </c>
      <c r="C584" s="299">
        <v>50</v>
      </c>
      <c r="D584" s="299">
        <f t="shared" si="21"/>
        <v>2</v>
      </c>
      <c r="E584" s="299">
        <v>36</v>
      </c>
      <c r="F584" s="430" t="s">
        <v>3497</v>
      </c>
      <c r="G584" s="300" t="str">
        <f t="shared" si="22"/>
        <v>DeinhardNRW</v>
      </c>
    </row>
    <row r="585" spans="1:7" ht="12" customHeight="1">
      <c r="A585" s="298">
        <v>36220</v>
      </c>
      <c r="B585" s="299" t="s">
        <v>3509</v>
      </c>
      <c r="C585" s="299">
        <v>40</v>
      </c>
      <c r="D585" s="299">
        <f t="shared" si="21"/>
        <v>3</v>
      </c>
      <c r="E585" s="299">
        <v>42</v>
      </c>
      <c r="F585" s="430" t="s">
        <v>3497</v>
      </c>
      <c r="G585" s="300" t="str">
        <f t="shared" si="22"/>
        <v>DeinhardNRW</v>
      </c>
    </row>
    <row r="586" spans="1:7" ht="12" customHeight="1">
      <c r="A586" s="298">
        <v>36234</v>
      </c>
      <c r="B586" s="299" t="s">
        <v>3509</v>
      </c>
      <c r="C586" s="299">
        <v>40</v>
      </c>
      <c r="D586" s="299">
        <f t="shared" si="21"/>
        <v>3</v>
      </c>
      <c r="E586" s="299">
        <v>43</v>
      </c>
      <c r="F586" s="430" t="s">
        <v>3497</v>
      </c>
      <c r="G586" s="300" t="str">
        <f t="shared" si="22"/>
        <v>DeinhardNRW</v>
      </c>
    </row>
    <row r="587" spans="1:7" ht="12" customHeight="1">
      <c r="A587" s="298">
        <v>36237</v>
      </c>
      <c r="B587" s="299" t="s">
        <v>3509</v>
      </c>
      <c r="C587" s="299">
        <v>80</v>
      </c>
      <c r="D587" s="299">
        <f t="shared" si="21"/>
        <v>3</v>
      </c>
      <c r="E587" s="299">
        <v>43</v>
      </c>
      <c r="F587" s="430" t="s">
        <v>3497</v>
      </c>
      <c r="G587" s="300" t="str">
        <f t="shared" si="22"/>
        <v>DeinhardNRW</v>
      </c>
    </row>
    <row r="588" spans="1:7" ht="12" customHeight="1">
      <c r="A588" s="298">
        <v>36297</v>
      </c>
      <c r="B588" s="299" t="s">
        <v>3509</v>
      </c>
      <c r="C588" s="299">
        <v>100</v>
      </c>
      <c r="D588" s="299">
        <f t="shared" si="21"/>
        <v>5</v>
      </c>
      <c r="E588" s="299">
        <v>36</v>
      </c>
      <c r="F588" s="430" t="s">
        <v>3497</v>
      </c>
      <c r="G588" s="300" t="str">
        <f t="shared" si="22"/>
        <v>DeinhardNRW</v>
      </c>
    </row>
    <row r="589" spans="1:7" ht="12" customHeight="1">
      <c r="A589" s="298">
        <v>36312</v>
      </c>
      <c r="B589" s="299" t="s">
        <v>3509</v>
      </c>
      <c r="C589" s="299">
        <v>50</v>
      </c>
      <c r="D589" s="299">
        <f t="shared" si="21"/>
        <v>6</v>
      </c>
      <c r="E589" s="299">
        <v>43</v>
      </c>
      <c r="F589" s="430" t="s">
        <v>3497</v>
      </c>
      <c r="G589" s="300" t="str">
        <f t="shared" si="22"/>
        <v>DeinhardNRW</v>
      </c>
    </row>
    <row r="590" spans="1:7" ht="12" customHeight="1">
      <c r="A590" s="298">
        <v>36338</v>
      </c>
      <c r="B590" s="299" t="s">
        <v>3509</v>
      </c>
      <c r="C590" s="299">
        <v>80</v>
      </c>
      <c r="D590" s="299">
        <f t="shared" si="21"/>
        <v>6</v>
      </c>
      <c r="E590" s="299">
        <v>43</v>
      </c>
      <c r="F590" s="430" t="s">
        <v>3497</v>
      </c>
      <c r="G590" s="300" t="str">
        <f t="shared" si="22"/>
        <v>DeinhardNRW</v>
      </c>
    </row>
    <row r="591" spans="1:7" ht="12" customHeight="1">
      <c r="A591" s="298">
        <v>36355</v>
      </c>
      <c r="B591" s="299" t="s">
        <v>3509</v>
      </c>
      <c r="C591" s="299">
        <v>80</v>
      </c>
      <c r="D591" s="299">
        <f t="shared" si="21"/>
        <v>7</v>
      </c>
      <c r="E591" s="299">
        <v>42</v>
      </c>
      <c r="F591" s="430" t="s">
        <v>3497</v>
      </c>
      <c r="G591" s="300" t="str">
        <f t="shared" si="22"/>
        <v>DeinhardNRW</v>
      </c>
    </row>
    <row r="592" spans="1:7" ht="12" customHeight="1">
      <c r="A592" s="298">
        <v>36373</v>
      </c>
      <c r="B592" s="299" t="s">
        <v>3509</v>
      </c>
      <c r="C592" s="299">
        <v>160</v>
      </c>
      <c r="D592" s="299">
        <f t="shared" si="21"/>
        <v>8</v>
      </c>
      <c r="E592" s="299">
        <v>43</v>
      </c>
      <c r="F592" s="430" t="s">
        <v>3497</v>
      </c>
      <c r="G592" s="300" t="str">
        <f t="shared" si="22"/>
        <v>DeinhardNRW</v>
      </c>
    </row>
    <row r="593" spans="1:7" ht="12" customHeight="1">
      <c r="A593" s="298">
        <v>36383</v>
      </c>
      <c r="B593" s="299" t="s">
        <v>3509</v>
      </c>
      <c r="C593" s="299">
        <v>20</v>
      </c>
      <c r="D593" s="299">
        <f t="shared" si="21"/>
        <v>8</v>
      </c>
      <c r="E593" s="299">
        <v>36</v>
      </c>
      <c r="F593" s="430" t="s">
        <v>3497</v>
      </c>
      <c r="G593" s="300" t="str">
        <f t="shared" si="22"/>
        <v>DeinhardNRW</v>
      </c>
    </row>
    <row r="594" spans="1:7" ht="12" customHeight="1">
      <c r="A594" s="298">
        <v>36390</v>
      </c>
      <c r="B594" s="299" t="s">
        <v>3509</v>
      </c>
      <c r="C594" s="299">
        <v>70</v>
      </c>
      <c r="D594" s="299">
        <f t="shared" si="21"/>
        <v>8</v>
      </c>
      <c r="E594" s="299">
        <v>38</v>
      </c>
      <c r="F594" s="430" t="s">
        <v>3497</v>
      </c>
      <c r="G594" s="300" t="str">
        <f t="shared" si="22"/>
        <v>DeinhardNRW</v>
      </c>
    </row>
    <row r="595" spans="1:7" ht="12" customHeight="1">
      <c r="A595" s="298">
        <v>36392</v>
      </c>
      <c r="B595" s="299" t="s">
        <v>3509</v>
      </c>
      <c r="C595" s="299">
        <v>40</v>
      </c>
      <c r="D595" s="299">
        <f t="shared" si="21"/>
        <v>8</v>
      </c>
      <c r="E595" s="299">
        <v>36</v>
      </c>
      <c r="F595" s="430" t="s">
        <v>3497</v>
      </c>
      <c r="G595" s="300" t="str">
        <f t="shared" si="22"/>
        <v>DeinhardNRW</v>
      </c>
    </row>
    <row r="596" spans="1:7" ht="12" customHeight="1">
      <c r="A596" s="298">
        <v>36397</v>
      </c>
      <c r="B596" s="299" t="s">
        <v>3509</v>
      </c>
      <c r="C596" s="299">
        <v>120</v>
      </c>
      <c r="D596" s="299">
        <f t="shared" si="21"/>
        <v>8</v>
      </c>
      <c r="E596" s="299">
        <v>43</v>
      </c>
      <c r="F596" s="430" t="s">
        <v>3497</v>
      </c>
      <c r="G596" s="300" t="str">
        <f t="shared" si="22"/>
        <v>DeinhardNRW</v>
      </c>
    </row>
    <row r="597" spans="1:7" ht="12" customHeight="1">
      <c r="A597" s="298">
        <v>36428</v>
      </c>
      <c r="B597" s="299" t="s">
        <v>3509</v>
      </c>
      <c r="C597" s="299">
        <v>80</v>
      </c>
      <c r="D597" s="299">
        <f t="shared" si="21"/>
        <v>9</v>
      </c>
      <c r="E597" s="299">
        <v>38</v>
      </c>
      <c r="F597" s="430" t="s">
        <v>3497</v>
      </c>
      <c r="G597" s="300" t="str">
        <f t="shared" si="22"/>
        <v>DeinhardNRW</v>
      </c>
    </row>
    <row r="598" spans="1:7" ht="12" customHeight="1">
      <c r="A598" s="298">
        <v>36434</v>
      </c>
      <c r="B598" s="299" t="s">
        <v>3509</v>
      </c>
      <c r="C598" s="299">
        <v>20</v>
      </c>
      <c r="D598" s="299">
        <f t="shared" si="21"/>
        <v>10</v>
      </c>
      <c r="E598" s="299">
        <v>37</v>
      </c>
      <c r="F598" s="430" t="s">
        <v>3497</v>
      </c>
      <c r="G598" s="300" t="str">
        <f t="shared" si="22"/>
        <v>DeinhardNRW</v>
      </c>
    </row>
    <row r="599" spans="1:7" ht="12" customHeight="1">
      <c r="A599" s="298">
        <v>36444</v>
      </c>
      <c r="B599" s="299" t="s">
        <v>3509</v>
      </c>
      <c r="C599" s="299">
        <v>70</v>
      </c>
      <c r="D599" s="299">
        <f t="shared" si="21"/>
        <v>10</v>
      </c>
      <c r="E599" s="299">
        <v>42</v>
      </c>
      <c r="F599" s="430" t="s">
        <v>3497</v>
      </c>
      <c r="G599" s="300" t="str">
        <f t="shared" si="22"/>
        <v>DeinhardNRW</v>
      </c>
    </row>
    <row r="600" spans="1:7" ht="12" customHeight="1">
      <c r="A600" s="298">
        <v>36460</v>
      </c>
      <c r="B600" s="299" t="s">
        <v>3509</v>
      </c>
      <c r="C600" s="299">
        <v>40</v>
      </c>
      <c r="D600" s="299">
        <f t="shared" si="21"/>
        <v>10</v>
      </c>
      <c r="E600" s="299">
        <v>43</v>
      </c>
      <c r="F600" s="430" t="s">
        <v>3497</v>
      </c>
      <c r="G600" s="300" t="str">
        <f t="shared" si="22"/>
        <v>DeinhardNRW</v>
      </c>
    </row>
    <row r="601" spans="1:7" ht="12" customHeight="1">
      <c r="A601" s="298">
        <v>36469</v>
      </c>
      <c r="B601" s="299" t="s">
        <v>3509</v>
      </c>
      <c r="C601" s="299">
        <v>30</v>
      </c>
      <c r="D601" s="299">
        <f t="shared" si="21"/>
        <v>11</v>
      </c>
      <c r="E601" s="299">
        <v>35</v>
      </c>
      <c r="F601" s="430" t="s">
        <v>3497</v>
      </c>
      <c r="G601" s="300" t="str">
        <f t="shared" si="22"/>
        <v>DeinhardNRW</v>
      </c>
    </row>
    <row r="602" spans="1:7" ht="12" customHeight="1">
      <c r="A602" s="298">
        <v>36495</v>
      </c>
      <c r="B602" s="299" t="s">
        <v>3509</v>
      </c>
      <c r="C602" s="299">
        <v>40</v>
      </c>
      <c r="D602" s="299">
        <f t="shared" si="21"/>
        <v>12</v>
      </c>
      <c r="E602" s="299">
        <v>36</v>
      </c>
      <c r="F602" s="430" t="s">
        <v>3497</v>
      </c>
      <c r="G602" s="300" t="str">
        <f t="shared" si="22"/>
        <v>DeinhardNRW</v>
      </c>
    </row>
    <row r="603" spans="1:7" ht="12" customHeight="1">
      <c r="A603" s="298">
        <v>36501</v>
      </c>
      <c r="B603" s="299" t="s">
        <v>3509</v>
      </c>
      <c r="C603" s="299">
        <v>70</v>
      </c>
      <c r="D603" s="299">
        <f t="shared" si="21"/>
        <v>12</v>
      </c>
      <c r="E603" s="299">
        <v>43</v>
      </c>
      <c r="F603" s="430" t="s">
        <v>3497</v>
      </c>
      <c r="G603" s="300" t="str">
        <f t="shared" si="22"/>
        <v>DeinhardNRW</v>
      </c>
    </row>
    <row r="604" spans="1:7" ht="12" customHeight="1">
      <c r="A604" s="298">
        <v>36512</v>
      </c>
      <c r="B604" s="299" t="s">
        <v>3509</v>
      </c>
      <c r="C604" s="299">
        <v>70</v>
      </c>
      <c r="D604" s="299">
        <f t="shared" si="21"/>
        <v>12</v>
      </c>
      <c r="E604" s="299">
        <v>36</v>
      </c>
      <c r="F604" s="430" t="s">
        <v>3497</v>
      </c>
      <c r="G604" s="300" t="str">
        <f t="shared" si="22"/>
        <v>DeinhardNRW</v>
      </c>
    </row>
    <row r="605" spans="1:7" ht="12" customHeight="1">
      <c r="A605" s="298">
        <v>36520</v>
      </c>
      <c r="B605" s="299" t="s">
        <v>3509</v>
      </c>
      <c r="C605" s="299">
        <v>40</v>
      </c>
      <c r="D605" s="299">
        <f t="shared" si="21"/>
        <v>12</v>
      </c>
      <c r="E605" s="299">
        <v>42</v>
      </c>
      <c r="F605" s="430" t="s">
        <v>3497</v>
      </c>
      <c r="G605" s="300" t="str">
        <f t="shared" si="22"/>
        <v>DeinhardNRW</v>
      </c>
    </row>
    <row r="606" spans="1:7" ht="12" customHeight="1">
      <c r="A606" s="298">
        <v>36207</v>
      </c>
      <c r="B606" s="299" t="s">
        <v>3509</v>
      </c>
      <c r="C606" s="299">
        <v>40</v>
      </c>
      <c r="D606" s="299">
        <f t="shared" si="21"/>
        <v>2</v>
      </c>
      <c r="E606" s="299">
        <v>42</v>
      </c>
      <c r="F606" s="430" t="s">
        <v>3499</v>
      </c>
      <c r="G606" s="300" t="str">
        <f t="shared" si="22"/>
        <v>DeinhardPfalz</v>
      </c>
    </row>
    <row r="607" spans="1:7" ht="12" customHeight="1">
      <c r="A607" s="298">
        <v>36298</v>
      </c>
      <c r="B607" s="299" t="s">
        <v>3509</v>
      </c>
      <c r="C607" s="299">
        <v>30</v>
      </c>
      <c r="D607" s="299">
        <f t="shared" si="21"/>
        <v>5</v>
      </c>
      <c r="E607" s="299">
        <v>44</v>
      </c>
      <c r="F607" s="430" t="s">
        <v>3499</v>
      </c>
      <c r="G607" s="300" t="str">
        <f t="shared" si="22"/>
        <v>DeinhardPfalz</v>
      </c>
    </row>
    <row r="608" spans="1:7" ht="12" customHeight="1">
      <c r="A608" s="298">
        <v>36346</v>
      </c>
      <c r="B608" s="299" t="s">
        <v>3509</v>
      </c>
      <c r="C608" s="299">
        <v>80</v>
      </c>
      <c r="D608" s="299">
        <f t="shared" si="21"/>
        <v>7</v>
      </c>
      <c r="E608" s="299">
        <v>44</v>
      </c>
      <c r="F608" s="430" t="s">
        <v>3499</v>
      </c>
      <c r="G608" s="300" t="str">
        <f t="shared" si="22"/>
        <v>DeinhardPfalz</v>
      </c>
    </row>
    <row r="609" spans="1:7" ht="12" customHeight="1">
      <c r="A609" s="298">
        <v>36240</v>
      </c>
      <c r="B609" s="299" t="s">
        <v>3509</v>
      </c>
      <c r="C609" s="299">
        <v>60</v>
      </c>
      <c r="D609" s="299">
        <f t="shared" si="21"/>
        <v>3</v>
      </c>
      <c r="E609" s="299">
        <v>38</v>
      </c>
      <c r="F609" s="430" t="s">
        <v>3500</v>
      </c>
      <c r="G609" s="300" t="str">
        <f t="shared" si="22"/>
        <v>DeinhardSaarland</v>
      </c>
    </row>
    <row r="610" spans="1:7" ht="12" customHeight="1">
      <c r="A610" s="298">
        <v>36357</v>
      </c>
      <c r="B610" s="299" t="s">
        <v>3509</v>
      </c>
      <c r="C610" s="299">
        <v>80</v>
      </c>
      <c r="D610" s="299">
        <f t="shared" si="21"/>
        <v>7</v>
      </c>
      <c r="E610" s="299">
        <v>43</v>
      </c>
      <c r="F610" s="430" t="s">
        <v>3500</v>
      </c>
      <c r="G610" s="300" t="str">
        <f t="shared" si="22"/>
        <v>DeinhardSaarland</v>
      </c>
    </row>
    <row r="611" spans="1:7" ht="12" customHeight="1">
      <c r="A611" s="298">
        <v>36358</v>
      </c>
      <c r="B611" s="299" t="s">
        <v>3509</v>
      </c>
      <c r="C611" s="299">
        <v>50</v>
      </c>
      <c r="D611" s="299">
        <f t="shared" si="21"/>
        <v>7</v>
      </c>
      <c r="E611" s="299">
        <v>43</v>
      </c>
      <c r="F611" s="430" t="s">
        <v>3500</v>
      </c>
      <c r="G611" s="300" t="str">
        <f t="shared" si="22"/>
        <v>DeinhardSaarland</v>
      </c>
    </row>
    <row r="612" spans="1:7" ht="12" customHeight="1">
      <c r="A612" s="298">
        <v>36380</v>
      </c>
      <c r="B612" s="299" t="s">
        <v>3509</v>
      </c>
      <c r="C612" s="299">
        <v>120</v>
      </c>
      <c r="D612" s="299">
        <f t="shared" si="21"/>
        <v>8</v>
      </c>
      <c r="E612" s="299">
        <v>37</v>
      </c>
      <c r="F612" s="430" t="s">
        <v>3500</v>
      </c>
      <c r="G612" s="300" t="str">
        <f t="shared" si="22"/>
        <v>DeinhardSaarland</v>
      </c>
    </row>
    <row r="613" spans="1:7" ht="12" customHeight="1">
      <c r="A613" s="298">
        <v>36399</v>
      </c>
      <c r="B613" s="299" t="s">
        <v>3509</v>
      </c>
      <c r="C613" s="299">
        <v>70</v>
      </c>
      <c r="D613" s="299">
        <f t="shared" si="21"/>
        <v>8</v>
      </c>
      <c r="E613" s="299">
        <v>35</v>
      </c>
      <c r="F613" s="430" t="s">
        <v>3500</v>
      </c>
      <c r="G613" s="300" t="str">
        <f t="shared" si="22"/>
        <v>DeinhardSaarland</v>
      </c>
    </row>
    <row r="614" spans="1:7" ht="12" customHeight="1">
      <c r="A614" s="298">
        <v>36400</v>
      </c>
      <c r="B614" s="299" t="s">
        <v>3509</v>
      </c>
      <c r="C614" s="299">
        <v>50</v>
      </c>
      <c r="D614" s="299">
        <f t="shared" si="21"/>
        <v>8</v>
      </c>
      <c r="E614" s="299">
        <v>42</v>
      </c>
      <c r="F614" s="430" t="s">
        <v>3500</v>
      </c>
      <c r="G614" s="300" t="str">
        <f t="shared" si="22"/>
        <v>DeinhardSaarland</v>
      </c>
    </row>
    <row r="615" spans="1:7" ht="12" customHeight="1">
      <c r="A615" s="298">
        <v>36183</v>
      </c>
      <c r="B615" s="299" t="s">
        <v>3510</v>
      </c>
      <c r="C615" s="299">
        <v>50</v>
      </c>
      <c r="D615" s="299">
        <f t="shared" si="21"/>
        <v>1</v>
      </c>
      <c r="E615" s="299">
        <v>37</v>
      </c>
      <c r="F615" s="430" t="s">
        <v>3504</v>
      </c>
      <c r="G615" s="300" t="str">
        <f t="shared" si="22"/>
        <v>M&amp;MBayern</v>
      </c>
    </row>
    <row r="616" spans="1:7" ht="12" customHeight="1">
      <c r="A616" s="298">
        <v>36194</v>
      </c>
      <c r="B616" s="299" t="s">
        <v>3510</v>
      </c>
      <c r="C616" s="299">
        <v>40</v>
      </c>
      <c r="D616" s="299">
        <f t="shared" si="21"/>
        <v>2</v>
      </c>
      <c r="E616" s="299">
        <v>41</v>
      </c>
      <c r="F616" s="430" t="s">
        <v>3504</v>
      </c>
      <c r="G616" s="300" t="str">
        <f t="shared" si="22"/>
        <v>M&amp;MBayern</v>
      </c>
    </row>
    <row r="617" spans="1:7" ht="12" customHeight="1">
      <c r="A617" s="298">
        <v>36233</v>
      </c>
      <c r="B617" s="299" t="s">
        <v>3510</v>
      </c>
      <c r="C617" s="299">
        <v>120</v>
      </c>
      <c r="D617" s="299">
        <f t="shared" si="21"/>
        <v>3</v>
      </c>
      <c r="E617" s="299">
        <v>37</v>
      </c>
      <c r="F617" s="430" t="s">
        <v>3504</v>
      </c>
      <c r="G617" s="300" t="str">
        <f t="shared" si="22"/>
        <v>M&amp;MBayern</v>
      </c>
    </row>
    <row r="618" spans="1:7" ht="12" customHeight="1">
      <c r="A618" s="298">
        <v>36272</v>
      </c>
      <c r="B618" s="299" t="s">
        <v>3510</v>
      </c>
      <c r="C618" s="299">
        <v>40</v>
      </c>
      <c r="D618" s="299">
        <f t="shared" si="21"/>
        <v>4</v>
      </c>
      <c r="E618" s="299">
        <v>40</v>
      </c>
      <c r="F618" s="430" t="s">
        <v>3504</v>
      </c>
      <c r="G618" s="300" t="str">
        <f t="shared" si="22"/>
        <v>M&amp;MBayern</v>
      </c>
    </row>
    <row r="619" spans="1:7" ht="12" customHeight="1">
      <c r="A619" s="298">
        <v>36283</v>
      </c>
      <c r="B619" s="299" t="s">
        <v>3510</v>
      </c>
      <c r="C619" s="299">
        <v>80</v>
      </c>
      <c r="D619" s="299">
        <f t="shared" si="21"/>
        <v>5</v>
      </c>
      <c r="E619" s="299">
        <v>40</v>
      </c>
      <c r="F619" s="430" t="s">
        <v>3504</v>
      </c>
      <c r="G619" s="300" t="str">
        <f t="shared" si="22"/>
        <v>M&amp;MBayern</v>
      </c>
    </row>
    <row r="620" spans="1:7" ht="12" customHeight="1">
      <c r="A620" s="298">
        <v>36292</v>
      </c>
      <c r="B620" s="299" t="s">
        <v>3510</v>
      </c>
      <c r="C620" s="299">
        <v>10</v>
      </c>
      <c r="D620" s="299">
        <f t="shared" si="21"/>
        <v>5</v>
      </c>
      <c r="E620" s="299">
        <v>40</v>
      </c>
      <c r="F620" s="430" t="s">
        <v>3504</v>
      </c>
      <c r="G620" s="300" t="str">
        <f t="shared" si="22"/>
        <v>M&amp;MBayern</v>
      </c>
    </row>
    <row r="621" spans="1:7" ht="12" customHeight="1">
      <c r="A621" s="298">
        <v>36318</v>
      </c>
      <c r="B621" s="299" t="s">
        <v>3510</v>
      </c>
      <c r="C621" s="299">
        <v>120</v>
      </c>
      <c r="D621" s="299">
        <f t="shared" si="21"/>
        <v>6</v>
      </c>
      <c r="E621" s="299">
        <v>37</v>
      </c>
      <c r="F621" s="430" t="s">
        <v>3504</v>
      </c>
      <c r="G621" s="300" t="str">
        <f t="shared" si="22"/>
        <v>M&amp;MBayern</v>
      </c>
    </row>
    <row r="622" spans="1:7" ht="12" customHeight="1">
      <c r="A622" s="298">
        <v>36320</v>
      </c>
      <c r="B622" s="299" t="s">
        <v>3510</v>
      </c>
      <c r="C622" s="299">
        <v>50</v>
      </c>
      <c r="D622" s="299">
        <f t="shared" si="21"/>
        <v>6</v>
      </c>
      <c r="E622" s="299">
        <v>40</v>
      </c>
      <c r="F622" s="430" t="s">
        <v>3504</v>
      </c>
      <c r="G622" s="300" t="str">
        <f t="shared" si="22"/>
        <v>M&amp;MBayern</v>
      </c>
    </row>
    <row r="623" spans="1:7" ht="12" customHeight="1">
      <c r="A623" s="298">
        <v>36330</v>
      </c>
      <c r="B623" s="299" t="s">
        <v>3510</v>
      </c>
      <c r="C623" s="299">
        <v>40</v>
      </c>
      <c r="D623" s="299">
        <f t="shared" si="21"/>
        <v>6</v>
      </c>
      <c r="E623" s="299">
        <v>40</v>
      </c>
      <c r="F623" s="430" t="s">
        <v>3504</v>
      </c>
      <c r="G623" s="300" t="str">
        <f t="shared" si="22"/>
        <v>M&amp;MBayern</v>
      </c>
    </row>
    <row r="624" spans="1:7" ht="12" customHeight="1">
      <c r="A624" s="298">
        <v>36339</v>
      </c>
      <c r="B624" s="299" t="s">
        <v>3510</v>
      </c>
      <c r="C624" s="299">
        <v>80</v>
      </c>
      <c r="D624" s="299">
        <f t="shared" si="21"/>
        <v>6</v>
      </c>
      <c r="E624" s="299">
        <v>40</v>
      </c>
      <c r="F624" s="430" t="s">
        <v>3504</v>
      </c>
      <c r="G624" s="300" t="str">
        <f t="shared" si="22"/>
        <v>M&amp;MBayern</v>
      </c>
    </row>
    <row r="625" spans="1:7" ht="12" customHeight="1">
      <c r="A625" s="298">
        <v>36354</v>
      </c>
      <c r="B625" s="299" t="s">
        <v>3510</v>
      </c>
      <c r="C625" s="299">
        <v>70</v>
      </c>
      <c r="D625" s="299">
        <f t="shared" si="21"/>
        <v>7</v>
      </c>
      <c r="E625" s="299">
        <v>41</v>
      </c>
      <c r="F625" s="430" t="s">
        <v>3504</v>
      </c>
      <c r="G625" s="300" t="str">
        <f t="shared" si="22"/>
        <v>M&amp;MBayern</v>
      </c>
    </row>
    <row r="626" spans="1:7" ht="12" customHeight="1">
      <c r="A626" s="298">
        <v>36361</v>
      </c>
      <c r="B626" s="299" t="s">
        <v>3510</v>
      </c>
      <c r="C626" s="299">
        <v>120</v>
      </c>
      <c r="D626" s="299">
        <f t="shared" si="21"/>
        <v>7</v>
      </c>
      <c r="E626" s="299">
        <v>40</v>
      </c>
      <c r="F626" s="430" t="s">
        <v>3504</v>
      </c>
      <c r="G626" s="300" t="str">
        <f t="shared" si="22"/>
        <v>M&amp;MBayern</v>
      </c>
    </row>
    <row r="627" spans="1:7" ht="12" customHeight="1">
      <c r="A627" s="298">
        <v>36367</v>
      </c>
      <c r="B627" s="299" t="s">
        <v>3510</v>
      </c>
      <c r="C627" s="299">
        <v>10</v>
      </c>
      <c r="D627" s="299">
        <f t="shared" si="21"/>
        <v>7</v>
      </c>
      <c r="E627" s="299">
        <v>41</v>
      </c>
      <c r="F627" s="430" t="s">
        <v>3504</v>
      </c>
      <c r="G627" s="300" t="str">
        <f t="shared" si="22"/>
        <v>M&amp;MBayern</v>
      </c>
    </row>
    <row r="628" spans="1:7" ht="12" customHeight="1">
      <c r="A628" s="298">
        <v>36378</v>
      </c>
      <c r="B628" s="299" t="s">
        <v>3510</v>
      </c>
      <c r="C628" s="299">
        <v>20</v>
      </c>
      <c r="D628" s="299">
        <f t="shared" si="21"/>
        <v>8</v>
      </c>
      <c r="E628" s="299">
        <v>40</v>
      </c>
      <c r="F628" s="430" t="s">
        <v>3504</v>
      </c>
      <c r="G628" s="300" t="str">
        <f t="shared" si="22"/>
        <v>M&amp;MBayern</v>
      </c>
    </row>
    <row r="629" spans="1:7" ht="12" customHeight="1">
      <c r="A629" s="298">
        <v>36381</v>
      </c>
      <c r="B629" s="299" t="s">
        <v>3510</v>
      </c>
      <c r="C629" s="299">
        <v>20</v>
      </c>
      <c r="D629" s="299">
        <f t="shared" si="21"/>
        <v>8</v>
      </c>
      <c r="E629" s="299">
        <v>41</v>
      </c>
      <c r="F629" s="430" t="s">
        <v>3504</v>
      </c>
      <c r="G629" s="300" t="str">
        <f t="shared" si="22"/>
        <v>M&amp;MBayern</v>
      </c>
    </row>
    <row r="630" spans="1:7" ht="12" customHeight="1">
      <c r="A630" s="298">
        <v>36492</v>
      </c>
      <c r="B630" s="299" t="s">
        <v>3510</v>
      </c>
      <c r="C630" s="299">
        <v>60</v>
      </c>
      <c r="D630" s="299">
        <f t="shared" si="21"/>
        <v>11</v>
      </c>
      <c r="E630" s="299">
        <v>38</v>
      </c>
      <c r="F630" s="430" t="s">
        <v>3504</v>
      </c>
      <c r="G630" s="300" t="str">
        <f t="shared" si="22"/>
        <v>M&amp;MBayern</v>
      </c>
    </row>
    <row r="631" spans="1:7" ht="12" customHeight="1">
      <c r="A631" s="298">
        <v>36495</v>
      </c>
      <c r="B631" s="299" t="s">
        <v>3510</v>
      </c>
      <c r="C631" s="299">
        <v>60</v>
      </c>
      <c r="D631" s="299">
        <f t="shared" si="21"/>
        <v>12</v>
      </c>
      <c r="E631" s="299">
        <v>40</v>
      </c>
      <c r="F631" s="430" t="s">
        <v>3504</v>
      </c>
      <c r="G631" s="300" t="str">
        <f t="shared" si="22"/>
        <v>M&amp;MBayern</v>
      </c>
    </row>
    <row r="632" spans="1:7" ht="12" customHeight="1">
      <c r="A632" s="298">
        <v>36502</v>
      </c>
      <c r="B632" s="299" t="s">
        <v>3510</v>
      </c>
      <c r="C632" s="299">
        <v>20</v>
      </c>
      <c r="D632" s="299">
        <f t="shared" si="21"/>
        <v>12</v>
      </c>
      <c r="E632" s="299">
        <v>40</v>
      </c>
      <c r="F632" s="430" t="s">
        <v>3504</v>
      </c>
      <c r="G632" s="300" t="str">
        <f t="shared" si="22"/>
        <v>M&amp;MBayern</v>
      </c>
    </row>
    <row r="633" spans="1:7" ht="12" customHeight="1">
      <c r="A633" s="298">
        <v>36508</v>
      </c>
      <c r="B633" s="299" t="s">
        <v>3510</v>
      </c>
      <c r="C633" s="299">
        <v>10</v>
      </c>
      <c r="D633" s="299">
        <f t="shared" si="21"/>
        <v>12</v>
      </c>
      <c r="E633" s="299">
        <v>40</v>
      </c>
      <c r="F633" s="430" t="s">
        <v>3504</v>
      </c>
      <c r="G633" s="300" t="str">
        <f t="shared" si="22"/>
        <v>M&amp;MBayern</v>
      </c>
    </row>
    <row r="634" spans="1:7" ht="12" customHeight="1">
      <c r="A634" s="298">
        <v>36517</v>
      </c>
      <c r="B634" s="299" t="s">
        <v>3510</v>
      </c>
      <c r="C634" s="299">
        <v>60</v>
      </c>
      <c r="D634" s="299">
        <f t="shared" si="21"/>
        <v>12</v>
      </c>
      <c r="E634" s="299">
        <v>40</v>
      </c>
      <c r="F634" s="430" t="s">
        <v>3504</v>
      </c>
      <c r="G634" s="300" t="str">
        <f t="shared" si="22"/>
        <v>M&amp;MBayern</v>
      </c>
    </row>
    <row r="635" spans="1:7" ht="12" customHeight="1">
      <c r="A635" s="298">
        <v>36296</v>
      </c>
      <c r="B635" s="299" t="s">
        <v>3510</v>
      </c>
      <c r="C635" s="299">
        <v>80</v>
      </c>
      <c r="D635" s="299">
        <f t="shared" si="21"/>
        <v>5</v>
      </c>
      <c r="E635" s="299">
        <v>39</v>
      </c>
      <c r="F635" s="430" t="s">
        <v>3501</v>
      </c>
      <c r="G635" s="300" t="str">
        <f t="shared" si="22"/>
        <v>M&amp;MBW</v>
      </c>
    </row>
    <row r="636" spans="1:7" ht="12" customHeight="1">
      <c r="A636" s="298">
        <v>36303</v>
      </c>
      <c r="B636" s="299" t="s">
        <v>3510</v>
      </c>
      <c r="C636" s="299">
        <v>60</v>
      </c>
      <c r="D636" s="299">
        <f t="shared" si="21"/>
        <v>5</v>
      </c>
      <c r="E636" s="299">
        <v>44</v>
      </c>
      <c r="F636" s="430" t="s">
        <v>3501</v>
      </c>
      <c r="G636" s="300" t="str">
        <f t="shared" si="22"/>
        <v>M&amp;MBW</v>
      </c>
    </row>
    <row r="637" spans="1:7" ht="12" customHeight="1">
      <c r="A637" s="298">
        <v>36401</v>
      </c>
      <c r="B637" s="299" t="s">
        <v>3510</v>
      </c>
      <c r="C637" s="299">
        <v>120</v>
      </c>
      <c r="D637" s="299">
        <f t="shared" si="21"/>
        <v>8</v>
      </c>
      <c r="E637" s="299">
        <v>43</v>
      </c>
      <c r="F637" s="430" t="s">
        <v>3501</v>
      </c>
      <c r="G637" s="300" t="str">
        <f t="shared" si="22"/>
        <v>M&amp;MBW</v>
      </c>
    </row>
    <row r="638" spans="1:7" ht="12" customHeight="1">
      <c r="A638" s="298">
        <v>36415</v>
      </c>
      <c r="B638" s="299" t="s">
        <v>3510</v>
      </c>
      <c r="C638" s="299">
        <v>30</v>
      </c>
      <c r="D638" s="299">
        <f t="shared" si="21"/>
        <v>9</v>
      </c>
      <c r="E638" s="299">
        <v>45</v>
      </c>
      <c r="F638" s="430" t="s">
        <v>3501</v>
      </c>
      <c r="G638" s="300" t="str">
        <f t="shared" si="22"/>
        <v>M&amp;MBW</v>
      </c>
    </row>
    <row r="639" spans="1:7" ht="12" customHeight="1">
      <c r="A639" s="298">
        <v>36258</v>
      </c>
      <c r="B639" s="299" t="s">
        <v>3510</v>
      </c>
      <c r="C639" s="299">
        <v>40</v>
      </c>
      <c r="D639" s="299">
        <f t="shared" si="21"/>
        <v>4</v>
      </c>
      <c r="E639" s="299">
        <v>39</v>
      </c>
      <c r="F639" s="430" t="s">
        <v>3502</v>
      </c>
      <c r="G639" s="300" t="str">
        <f t="shared" si="22"/>
        <v>M&amp;MHessen</v>
      </c>
    </row>
    <row r="640" spans="1:7" ht="12" customHeight="1">
      <c r="A640" s="298">
        <v>36260</v>
      </c>
      <c r="B640" s="299" t="s">
        <v>3510</v>
      </c>
      <c r="C640" s="299">
        <v>40</v>
      </c>
      <c r="D640" s="299">
        <f t="shared" si="21"/>
        <v>4</v>
      </c>
      <c r="E640" s="299">
        <v>39</v>
      </c>
      <c r="F640" s="430" t="s">
        <v>3502</v>
      </c>
      <c r="G640" s="300" t="str">
        <f t="shared" si="22"/>
        <v>M&amp;MHessen</v>
      </c>
    </row>
    <row r="641" spans="1:7" ht="12" customHeight="1">
      <c r="A641" s="298">
        <v>36458</v>
      </c>
      <c r="B641" s="299" t="s">
        <v>3510</v>
      </c>
      <c r="C641" s="299">
        <v>120</v>
      </c>
      <c r="D641" s="299">
        <f t="shared" si="21"/>
        <v>10</v>
      </c>
      <c r="E641" s="299">
        <v>35</v>
      </c>
      <c r="F641" s="430" t="s">
        <v>3502</v>
      </c>
      <c r="G641" s="300" t="str">
        <f t="shared" si="22"/>
        <v>M&amp;MHessen</v>
      </c>
    </row>
    <row r="642" spans="1:7" ht="12" customHeight="1">
      <c r="A642" s="298">
        <v>36487</v>
      </c>
      <c r="B642" s="299" t="s">
        <v>3510</v>
      </c>
      <c r="C642" s="299">
        <v>100</v>
      </c>
      <c r="D642" s="299">
        <f t="shared" si="21"/>
        <v>11</v>
      </c>
      <c r="E642" s="299">
        <v>37</v>
      </c>
      <c r="F642" s="430" t="s">
        <v>3502</v>
      </c>
      <c r="G642" s="300" t="str">
        <f t="shared" si="22"/>
        <v>M&amp;MHessen</v>
      </c>
    </row>
    <row r="643" spans="1:7" ht="12" customHeight="1">
      <c r="A643" s="298">
        <v>36347</v>
      </c>
      <c r="B643" s="299" t="s">
        <v>3510</v>
      </c>
      <c r="C643" s="299">
        <v>10</v>
      </c>
      <c r="D643" s="299">
        <f t="shared" si="21"/>
        <v>7</v>
      </c>
      <c r="E643" s="299">
        <v>43</v>
      </c>
      <c r="F643" s="430" t="s">
        <v>3503</v>
      </c>
      <c r="G643" s="300" t="str">
        <f t="shared" si="22"/>
        <v>M&amp;MHolstein</v>
      </c>
    </row>
    <row r="644" spans="1:7" ht="12" customHeight="1">
      <c r="A644" s="298">
        <v>36388</v>
      </c>
      <c r="B644" s="299" t="s">
        <v>3510</v>
      </c>
      <c r="C644" s="299">
        <v>20</v>
      </c>
      <c r="D644" s="299">
        <f t="shared" si="21"/>
        <v>8</v>
      </c>
      <c r="E644" s="299">
        <v>43</v>
      </c>
      <c r="F644" s="430" t="s">
        <v>3503</v>
      </c>
      <c r="G644" s="300" t="str">
        <f t="shared" si="22"/>
        <v>M&amp;MHolstein</v>
      </c>
    </row>
    <row r="645" spans="1:7" ht="12" customHeight="1">
      <c r="A645" s="298">
        <v>36164</v>
      </c>
      <c r="B645" s="299" t="s">
        <v>3510</v>
      </c>
      <c r="C645" s="299">
        <v>30</v>
      </c>
      <c r="D645" s="299">
        <f t="shared" si="21"/>
        <v>1</v>
      </c>
      <c r="E645" s="299">
        <v>35</v>
      </c>
      <c r="F645" s="430" t="s">
        <v>3497</v>
      </c>
      <c r="G645" s="300" t="str">
        <f t="shared" si="22"/>
        <v>M&amp;MNRW</v>
      </c>
    </row>
    <row r="646" spans="1:7" ht="12" customHeight="1">
      <c r="A646" s="298">
        <v>36172</v>
      </c>
      <c r="B646" s="299" t="s">
        <v>3510</v>
      </c>
      <c r="C646" s="299">
        <v>90</v>
      </c>
      <c r="D646" s="299">
        <f t="shared" ref="D646:D709" si="23">MONTH(A646)</f>
        <v>1</v>
      </c>
      <c r="E646" s="299">
        <v>36</v>
      </c>
      <c r="F646" s="430" t="s">
        <v>3497</v>
      </c>
      <c r="G646" s="300" t="str">
        <f t="shared" ref="G646:G709" si="24">B646&amp;F646</f>
        <v>M&amp;MNRW</v>
      </c>
    </row>
    <row r="647" spans="1:7" ht="12" customHeight="1">
      <c r="A647" s="298">
        <v>36195</v>
      </c>
      <c r="B647" s="299" t="s">
        <v>3510</v>
      </c>
      <c r="C647" s="299">
        <v>160</v>
      </c>
      <c r="D647" s="299">
        <f t="shared" si="23"/>
        <v>2</v>
      </c>
      <c r="E647" s="299">
        <v>36</v>
      </c>
      <c r="F647" s="430" t="s">
        <v>3497</v>
      </c>
      <c r="G647" s="300" t="str">
        <f t="shared" si="24"/>
        <v>M&amp;MNRW</v>
      </c>
    </row>
    <row r="648" spans="1:7" ht="12" customHeight="1">
      <c r="A648" s="298">
        <v>36196</v>
      </c>
      <c r="B648" s="299" t="s">
        <v>3510</v>
      </c>
      <c r="C648" s="299">
        <v>90</v>
      </c>
      <c r="D648" s="299">
        <f t="shared" si="23"/>
        <v>2</v>
      </c>
      <c r="E648" s="299">
        <v>36</v>
      </c>
      <c r="F648" s="430" t="s">
        <v>3497</v>
      </c>
      <c r="G648" s="300" t="str">
        <f t="shared" si="24"/>
        <v>M&amp;MNRW</v>
      </c>
    </row>
    <row r="649" spans="1:7" ht="12" customHeight="1">
      <c r="A649" s="298">
        <v>36208</v>
      </c>
      <c r="B649" s="299" t="s">
        <v>3510</v>
      </c>
      <c r="C649" s="299">
        <v>30</v>
      </c>
      <c r="D649" s="299">
        <f t="shared" si="23"/>
        <v>2</v>
      </c>
      <c r="E649" s="299">
        <v>43</v>
      </c>
      <c r="F649" s="430" t="s">
        <v>3497</v>
      </c>
      <c r="G649" s="300" t="str">
        <f t="shared" si="24"/>
        <v>M&amp;MNRW</v>
      </c>
    </row>
    <row r="650" spans="1:7" ht="12" customHeight="1">
      <c r="A650" s="298">
        <v>36209</v>
      </c>
      <c r="B650" s="299" t="s">
        <v>3510</v>
      </c>
      <c r="C650" s="299">
        <v>60</v>
      </c>
      <c r="D650" s="299">
        <f t="shared" si="23"/>
        <v>2</v>
      </c>
      <c r="E650" s="299">
        <v>36</v>
      </c>
      <c r="F650" s="430" t="s">
        <v>3497</v>
      </c>
      <c r="G650" s="300" t="str">
        <f t="shared" si="24"/>
        <v>M&amp;MNRW</v>
      </c>
    </row>
    <row r="651" spans="1:7" ht="12" customHeight="1">
      <c r="A651" s="298">
        <v>36223</v>
      </c>
      <c r="B651" s="299" t="s">
        <v>3510</v>
      </c>
      <c r="C651" s="299">
        <v>30</v>
      </c>
      <c r="D651" s="299">
        <f t="shared" si="23"/>
        <v>3</v>
      </c>
      <c r="E651" s="299">
        <v>36</v>
      </c>
      <c r="F651" s="430" t="s">
        <v>3497</v>
      </c>
      <c r="G651" s="300" t="str">
        <f t="shared" si="24"/>
        <v>M&amp;MNRW</v>
      </c>
    </row>
    <row r="652" spans="1:7" ht="12" customHeight="1">
      <c r="A652" s="298">
        <v>36225</v>
      </c>
      <c r="B652" s="299" t="s">
        <v>3510</v>
      </c>
      <c r="C652" s="299">
        <v>80</v>
      </c>
      <c r="D652" s="299">
        <f t="shared" si="23"/>
        <v>3</v>
      </c>
      <c r="E652" s="299">
        <v>36</v>
      </c>
      <c r="F652" s="430" t="s">
        <v>3497</v>
      </c>
      <c r="G652" s="300" t="str">
        <f t="shared" si="24"/>
        <v>M&amp;MNRW</v>
      </c>
    </row>
    <row r="653" spans="1:7" ht="12" customHeight="1">
      <c r="A653" s="298">
        <v>36230</v>
      </c>
      <c r="B653" s="299" t="s">
        <v>3510</v>
      </c>
      <c r="C653" s="299">
        <v>60</v>
      </c>
      <c r="D653" s="299">
        <f t="shared" si="23"/>
        <v>3</v>
      </c>
      <c r="E653" s="299">
        <v>35</v>
      </c>
      <c r="F653" s="430" t="s">
        <v>3497</v>
      </c>
      <c r="G653" s="300" t="str">
        <f t="shared" si="24"/>
        <v>M&amp;MNRW</v>
      </c>
    </row>
    <row r="654" spans="1:7" ht="12" customHeight="1">
      <c r="A654" s="298">
        <v>36262</v>
      </c>
      <c r="B654" s="299" t="s">
        <v>3510</v>
      </c>
      <c r="C654" s="299">
        <v>10</v>
      </c>
      <c r="D654" s="299">
        <f t="shared" si="23"/>
        <v>4</v>
      </c>
      <c r="E654" s="299">
        <v>36</v>
      </c>
      <c r="F654" s="430" t="s">
        <v>3497</v>
      </c>
      <c r="G654" s="300" t="str">
        <f t="shared" si="24"/>
        <v>M&amp;MNRW</v>
      </c>
    </row>
    <row r="655" spans="1:7" ht="12" customHeight="1">
      <c r="A655" s="298">
        <v>36267</v>
      </c>
      <c r="B655" s="299" t="s">
        <v>3510</v>
      </c>
      <c r="C655" s="299">
        <v>40</v>
      </c>
      <c r="D655" s="299">
        <f t="shared" si="23"/>
        <v>4</v>
      </c>
      <c r="E655" s="299">
        <v>41</v>
      </c>
      <c r="F655" s="430" t="s">
        <v>3497</v>
      </c>
      <c r="G655" s="300" t="str">
        <f t="shared" si="24"/>
        <v>M&amp;MNRW</v>
      </c>
    </row>
    <row r="656" spans="1:7" ht="12" customHeight="1">
      <c r="A656" s="298">
        <v>36273</v>
      </c>
      <c r="B656" s="299" t="s">
        <v>3510</v>
      </c>
      <c r="C656" s="299">
        <v>70</v>
      </c>
      <c r="D656" s="299">
        <f t="shared" si="23"/>
        <v>4</v>
      </c>
      <c r="E656" s="299">
        <v>36</v>
      </c>
      <c r="F656" s="430" t="s">
        <v>3497</v>
      </c>
      <c r="G656" s="300" t="str">
        <f t="shared" si="24"/>
        <v>M&amp;MNRW</v>
      </c>
    </row>
    <row r="657" spans="1:7" ht="12" customHeight="1">
      <c r="A657" s="298">
        <v>36285</v>
      </c>
      <c r="B657" s="299" t="s">
        <v>3510</v>
      </c>
      <c r="C657" s="299">
        <v>40</v>
      </c>
      <c r="D657" s="299">
        <f t="shared" si="23"/>
        <v>5</v>
      </c>
      <c r="E657" s="299">
        <v>37</v>
      </c>
      <c r="F657" s="430" t="s">
        <v>3497</v>
      </c>
      <c r="G657" s="300" t="str">
        <f t="shared" si="24"/>
        <v>M&amp;MNRW</v>
      </c>
    </row>
    <row r="658" spans="1:7" ht="12" customHeight="1">
      <c r="A658" s="298">
        <v>36287</v>
      </c>
      <c r="B658" s="299" t="s">
        <v>3510</v>
      </c>
      <c r="C658" s="299">
        <v>70</v>
      </c>
      <c r="D658" s="299">
        <f t="shared" si="23"/>
        <v>5</v>
      </c>
      <c r="E658" s="299">
        <v>37</v>
      </c>
      <c r="F658" s="430" t="s">
        <v>3497</v>
      </c>
      <c r="G658" s="300" t="str">
        <f t="shared" si="24"/>
        <v>M&amp;MNRW</v>
      </c>
    </row>
    <row r="659" spans="1:7" ht="12" customHeight="1">
      <c r="A659" s="298">
        <v>36291</v>
      </c>
      <c r="B659" s="299" t="s">
        <v>3510</v>
      </c>
      <c r="C659" s="299">
        <v>70</v>
      </c>
      <c r="D659" s="299">
        <f t="shared" si="23"/>
        <v>5</v>
      </c>
      <c r="E659" s="299">
        <v>37</v>
      </c>
      <c r="F659" s="430" t="s">
        <v>3497</v>
      </c>
      <c r="G659" s="300" t="str">
        <f t="shared" si="24"/>
        <v>M&amp;MNRW</v>
      </c>
    </row>
    <row r="660" spans="1:7" ht="12" customHeight="1">
      <c r="A660" s="298">
        <v>36293</v>
      </c>
      <c r="B660" s="299" t="s">
        <v>3510</v>
      </c>
      <c r="C660" s="299">
        <v>80</v>
      </c>
      <c r="D660" s="299">
        <f t="shared" si="23"/>
        <v>5</v>
      </c>
      <c r="E660" s="299">
        <v>36</v>
      </c>
      <c r="F660" s="430" t="s">
        <v>3497</v>
      </c>
      <c r="G660" s="300" t="str">
        <f t="shared" si="24"/>
        <v>M&amp;MNRW</v>
      </c>
    </row>
    <row r="661" spans="1:7" ht="12" customHeight="1">
      <c r="A661" s="298">
        <v>36294</v>
      </c>
      <c r="B661" s="299" t="s">
        <v>3510</v>
      </c>
      <c r="C661" s="299">
        <v>100</v>
      </c>
      <c r="D661" s="299">
        <f t="shared" si="23"/>
        <v>5</v>
      </c>
      <c r="E661" s="299">
        <v>43</v>
      </c>
      <c r="F661" s="430" t="s">
        <v>3497</v>
      </c>
      <c r="G661" s="300" t="str">
        <f t="shared" si="24"/>
        <v>M&amp;MNRW</v>
      </c>
    </row>
    <row r="662" spans="1:7" ht="12" customHeight="1">
      <c r="A662" s="298">
        <v>36298</v>
      </c>
      <c r="B662" s="299" t="s">
        <v>3510</v>
      </c>
      <c r="C662" s="299">
        <v>20</v>
      </c>
      <c r="D662" s="299">
        <f t="shared" si="23"/>
        <v>5</v>
      </c>
      <c r="E662" s="299">
        <v>35</v>
      </c>
      <c r="F662" s="430" t="s">
        <v>3497</v>
      </c>
      <c r="G662" s="300" t="str">
        <f t="shared" si="24"/>
        <v>M&amp;MNRW</v>
      </c>
    </row>
    <row r="663" spans="1:7" ht="12" customHeight="1">
      <c r="A663" s="298">
        <v>36300</v>
      </c>
      <c r="B663" s="299" t="s">
        <v>3510</v>
      </c>
      <c r="C663" s="299">
        <v>40</v>
      </c>
      <c r="D663" s="299">
        <f t="shared" si="23"/>
        <v>5</v>
      </c>
      <c r="E663" s="299">
        <v>43</v>
      </c>
      <c r="F663" s="430" t="s">
        <v>3497</v>
      </c>
      <c r="G663" s="300" t="str">
        <f t="shared" si="24"/>
        <v>M&amp;MNRW</v>
      </c>
    </row>
    <row r="664" spans="1:7" ht="12" customHeight="1">
      <c r="A664" s="298">
        <v>36315</v>
      </c>
      <c r="B664" s="299" t="s">
        <v>3510</v>
      </c>
      <c r="C664" s="299">
        <v>90</v>
      </c>
      <c r="D664" s="299">
        <f t="shared" si="23"/>
        <v>6</v>
      </c>
      <c r="E664" s="299">
        <v>38</v>
      </c>
      <c r="F664" s="430" t="s">
        <v>3497</v>
      </c>
      <c r="G664" s="300" t="str">
        <f t="shared" si="24"/>
        <v>M&amp;MNRW</v>
      </c>
    </row>
    <row r="665" spans="1:7" ht="12" customHeight="1">
      <c r="A665" s="298">
        <v>36345</v>
      </c>
      <c r="B665" s="299" t="s">
        <v>3510</v>
      </c>
      <c r="C665" s="299">
        <v>120</v>
      </c>
      <c r="D665" s="299">
        <f t="shared" si="23"/>
        <v>7</v>
      </c>
      <c r="E665" s="299">
        <v>37</v>
      </c>
      <c r="F665" s="430" t="s">
        <v>3497</v>
      </c>
      <c r="G665" s="300" t="str">
        <f t="shared" si="24"/>
        <v>M&amp;MNRW</v>
      </c>
    </row>
    <row r="666" spans="1:7" ht="12" customHeight="1">
      <c r="A666" s="298">
        <v>36355</v>
      </c>
      <c r="B666" s="299" t="s">
        <v>3510</v>
      </c>
      <c r="C666" s="299">
        <v>10</v>
      </c>
      <c r="D666" s="299">
        <f t="shared" si="23"/>
        <v>7</v>
      </c>
      <c r="E666" s="299">
        <v>41</v>
      </c>
      <c r="F666" s="430" t="s">
        <v>3497</v>
      </c>
      <c r="G666" s="300" t="str">
        <f t="shared" si="24"/>
        <v>M&amp;MNRW</v>
      </c>
    </row>
    <row r="667" spans="1:7" ht="12" customHeight="1">
      <c r="A667" s="298">
        <v>36367</v>
      </c>
      <c r="B667" s="299" t="s">
        <v>3510</v>
      </c>
      <c r="C667" s="299">
        <v>80</v>
      </c>
      <c r="D667" s="299">
        <f t="shared" si="23"/>
        <v>7</v>
      </c>
      <c r="E667" s="299">
        <v>36</v>
      </c>
      <c r="F667" s="430" t="s">
        <v>3497</v>
      </c>
      <c r="G667" s="300" t="str">
        <f t="shared" si="24"/>
        <v>M&amp;MNRW</v>
      </c>
    </row>
    <row r="668" spans="1:7" ht="12" customHeight="1">
      <c r="A668" s="298">
        <v>36384</v>
      </c>
      <c r="B668" s="299" t="s">
        <v>3510</v>
      </c>
      <c r="C668" s="299">
        <v>10</v>
      </c>
      <c r="D668" s="299">
        <f t="shared" si="23"/>
        <v>8</v>
      </c>
      <c r="E668" s="299">
        <v>36</v>
      </c>
      <c r="F668" s="430" t="s">
        <v>3497</v>
      </c>
      <c r="G668" s="300" t="str">
        <f t="shared" si="24"/>
        <v>M&amp;MNRW</v>
      </c>
    </row>
    <row r="669" spans="1:7" ht="12" customHeight="1">
      <c r="A669" s="298">
        <v>36395</v>
      </c>
      <c r="B669" s="299" t="s">
        <v>3510</v>
      </c>
      <c r="C669" s="299">
        <v>30</v>
      </c>
      <c r="D669" s="299">
        <f t="shared" si="23"/>
        <v>8</v>
      </c>
      <c r="E669" s="299">
        <v>36</v>
      </c>
      <c r="F669" s="430" t="s">
        <v>3497</v>
      </c>
      <c r="G669" s="300" t="str">
        <f t="shared" si="24"/>
        <v>M&amp;MNRW</v>
      </c>
    </row>
    <row r="670" spans="1:7" ht="12" customHeight="1">
      <c r="A670" s="298">
        <v>36401</v>
      </c>
      <c r="B670" s="299" t="s">
        <v>3510</v>
      </c>
      <c r="C670" s="299">
        <v>80</v>
      </c>
      <c r="D670" s="299">
        <f t="shared" si="23"/>
        <v>8</v>
      </c>
      <c r="E670" s="299">
        <v>35</v>
      </c>
      <c r="F670" s="430" t="s">
        <v>3497</v>
      </c>
      <c r="G670" s="300" t="str">
        <f t="shared" si="24"/>
        <v>M&amp;MNRW</v>
      </c>
    </row>
    <row r="671" spans="1:7" ht="12" customHeight="1">
      <c r="A671" s="298">
        <v>36406</v>
      </c>
      <c r="B671" s="299" t="s">
        <v>3510</v>
      </c>
      <c r="C671" s="299">
        <v>100</v>
      </c>
      <c r="D671" s="299">
        <f t="shared" si="23"/>
        <v>9</v>
      </c>
      <c r="E671" s="299">
        <v>36</v>
      </c>
      <c r="F671" s="430" t="s">
        <v>3497</v>
      </c>
      <c r="G671" s="300" t="str">
        <f t="shared" si="24"/>
        <v>M&amp;MNRW</v>
      </c>
    </row>
    <row r="672" spans="1:7" ht="12" customHeight="1">
      <c r="A672" s="298">
        <v>36410</v>
      </c>
      <c r="B672" s="299" t="s">
        <v>3510</v>
      </c>
      <c r="C672" s="299">
        <v>30</v>
      </c>
      <c r="D672" s="299">
        <f t="shared" si="23"/>
        <v>9</v>
      </c>
      <c r="E672" s="299">
        <v>35</v>
      </c>
      <c r="F672" s="430" t="s">
        <v>3497</v>
      </c>
      <c r="G672" s="300" t="str">
        <f t="shared" si="24"/>
        <v>M&amp;MNRW</v>
      </c>
    </row>
    <row r="673" spans="1:7" ht="12" customHeight="1">
      <c r="A673" s="298">
        <v>36411</v>
      </c>
      <c r="B673" s="299" t="s">
        <v>3510</v>
      </c>
      <c r="C673" s="299">
        <v>10</v>
      </c>
      <c r="D673" s="299">
        <f t="shared" si="23"/>
        <v>9</v>
      </c>
      <c r="E673" s="299">
        <v>39</v>
      </c>
      <c r="F673" s="430" t="s">
        <v>3497</v>
      </c>
      <c r="G673" s="300" t="str">
        <f t="shared" si="24"/>
        <v>M&amp;MNRW</v>
      </c>
    </row>
    <row r="674" spans="1:7" ht="12" customHeight="1">
      <c r="A674" s="298">
        <v>36417</v>
      </c>
      <c r="B674" s="299" t="s">
        <v>3510</v>
      </c>
      <c r="C674" s="299">
        <v>80</v>
      </c>
      <c r="D674" s="299">
        <f t="shared" si="23"/>
        <v>9</v>
      </c>
      <c r="E674" s="299">
        <v>35</v>
      </c>
      <c r="F674" s="430" t="s">
        <v>3497</v>
      </c>
      <c r="G674" s="300" t="str">
        <f t="shared" si="24"/>
        <v>M&amp;MNRW</v>
      </c>
    </row>
    <row r="675" spans="1:7" ht="12" customHeight="1">
      <c r="A675" s="298">
        <v>36435</v>
      </c>
      <c r="B675" s="299" t="s">
        <v>3510</v>
      </c>
      <c r="C675" s="299">
        <v>100</v>
      </c>
      <c r="D675" s="299">
        <f t="shared" si="23"/>
        <v>10</v>
      </c>
      <c r="E675" s="299">
        <v>39</v>
      </c>
      <c r="F675" s="430" t="s">
        <v>3497</v>
      </c>
      <c r="G675" s="300" t="str">
        <f t="shared" si="24"/>
        <v>M&amp;MNRW</v>
      </c>
    </row>
    <row r="676" spans="1:7" ht="12" customHeight="1">
      <c r="A676" s="298">
        <v>36460</v>
      </c>
      <c r="B676" s="299" t="s">
        <v>3510</v>
      </c>
      <c r="C676" s="299">
        <v>20</v>
      </c>
      <c r="D676" s="299">
        <f t="shared" si="23"/>
        <v>10</v>
      </c>
      <c r="E676" s="299">
        <v>39</v>
      </c>
      <c r="F676" s="430" t="s">
        <v>3497</v>
      </c>
      <c r="G676" s="300" t="str">
        <f t="shared" si="24"/>
        <v>M&amp;MNRW</v>
      </c>
    </row>
    <row r="677" spans="1:7" ht="12" customHeight="1">
      <c r="A677" s="298">
        <v>36462</v>
      </c>
      <c r="B677" s="299" t="s">
        <v>3510</v>
      </c>
      <c r="C677" s="299">
        <v>100</v>
      </c>
      <c r="D677" s="299">
        <f t="shared" si="23"/>
        <v>10</v>
      </c>
      <c r="E677" s="299">
        <v>37</v>
      </c>
      <c r="F677" s="430" t="s">
        <v>3497</v>
      </c>
      <c r="G677" s="300" t="str">
        <f t="shared" si="24"/>
        <v>M&amp;MNRW</v>
      </c>
    </row>
    <row r="678" spans="1:7" ht="12" customHeight="1">
      <c r="A678" s="298">
        <v>36462</v>
      </c>
      <c r="B678" s="299" t="s">
        <v>3510</v>
      </c>
      <c r="C678" s="299">
        <v>60</v>
      </c>
      <c r="D678" s="299">
        <f t="shared" si="23"/>
        <v>10</v>
      </c>
      <c r="E678" s="299">
        <v>43</v>
      </c>
      <c r="F678" s="430" t="s">
        <v>3497</v>
      </c>
      <c r="G678" s="300" t="str">
        <f t="shared" si="24"/>
        <v>M&amp;MNRW</v>
      </c>
    </row>
    <row r="679" spans="1:7" ht="12" customHeight="1">
      <c r="A679" s="298">
        <v>36490</v>
      </c>
      <c r="B679" s="299" t="s">
        <v>3510</v>
      </c>
      <c r="C679" s="299">
        <v>70</v>
      </c>
      <c r="D679" s="299">
        <f t="shared" si="23"/>
        <v>11</v>
      </c>
      <c r="E679" s="299">
        <v>35</v>
      </c>
      <c r="F679" s="430" t="s">
        <v>3497</v>
      </c>
      <c r="G679" s="300" t="str">
        <f t="shared" si="24"/>
        <v>M&amp;MNRW</v>
      </c>
    </row>
    <row r="680" spans="1:7" ht="12" customHeight="1">
      <c r="A680" s="298">
        <v>36495</v>
      </c>
      <c r="B680" s="299" t="s">
        <v>3510</v>
      </c>
      <c r="C680" s="299">
        <v>90</v>
      </c>
      <c r="D680" s="299">
        <f t="shared" si="23"/>
        <v>12</v>
      </c>
      <c r="E680" s="299">
        <v>38</v>
      </c>
      <c r="F680" s="430" t="s">
        <v>3497</v>
      </c>
      <c r="G680" s="300" t="str">
        <f t="shared" si="24"/>
        <v>M&amp;MNRW</v>
      </c>
    </row>
    <row r="681" spans="1:7" ht="12" customHeight="1">
      <c r="A681" s="298">
        <v>36498</v>
      </c>
      <c r="B681" s="299" t="s">
        <v>3510</v>
      </c>
      <c r="C681" s="299">
        <v>80</v>
      </c>
      <c r="D681" s="299">
        <f t="shared" si="23"/>
        <v>12</v>
      </c>
      <c r="E681" s="299">
        <v>37</v>
      </c>
      <c r="F681" s="430" t="s">
        <v>3497</v>
      </c>
      <c r="G681" s="300" t="str">
        <f t="shared" si="24"/>
        <v>M&amp;MNRW</v>
      </c>
    </row>
    <row r="682" spans="1:7" ht="12" customHeight="1">
      <c r="A682" s="298">
        <v>36514</v>
      </c>
      <c r="B682" s="299" t="s">
        <v>3510</v>
      </c>
      <c r="C682" s="299">
        <v>120</v>
      </c>
      <c r="D682" s="299">
        <f t="shared" si="23"/>
        <v>12</v>
      </c>
      <c r="E682" s="299">
        <v>36</v>
      </c>
      <c r="F682" s="430" t="s">
        <v>3497</v>
      </c>
      <c r="G682" s="300" t="str">
        <f t="shared" si="24"/>
        <v>M&amp;MNRW</v>
      </c>
    </row>
    <row r="683" spans="1:7" ht="12" customHeight="1">
      <c r="A683" s="298">
        <v>36514</v>
      </c>
      <c r="B683" s="299" t="s">
        <v>3510</v>
      </c>
      <c r="C683" s="299">
        <v>50</v>
      </c>
      <c r="D683" s="299">
        <f t="shared" si="23"/>
        <v>12</v>
      </c>
      <c r="E683" s="299">
        <v>42</v>
      </c>
      <c r="F683" s="430" t="s">
        <v>3497</v>
      </c>
      <c r="G683" s="300" t="str">
        <f t="shared" si="24"/>
        <v>M&amp;MNRW</v>
      </c>
    </row>
    <row r="684" spans="1:7" ht="12" customHeight="1">
      <c r="A684" s="298">
        <v>36173</v>
      </c>
      <c r="B684" s="299" t="s">
        <v>3510</v>
      </c>
      <c r="C684" s="299">
        <v>30</v>
      </c>
      <c r="D684" s="299">
        <f t="shared" si="23"/>
        <v>1</v>
      </c>
      <c r="E684" s="299">
        <v>38</v>
      </c>
      <c r="F684" s="430" t="s">
        <v>3500</v>
      </c>
      <c r="G684" s="300" t="str">
        <f t="shared" si="24"/>
        <v>M&amp;MSaarland</v>
      </c>
    </row>
    <row r="685" spans="1:7" ht="12" customHeight="1">
      <c r="A685" s="298">
        <v>36307</v>
      </c>
      <c r="B685" s="299" t="s">
        <v>3510</v>
      </c>
      <c r="C685" s="299">
        <v>90</v>
      </c>
      <c r="D685" s="299">
        <f t="shared" si="23"/>
        <v>5</v>
      </c>
      <c r="E685" s="299">
        <v>37</v>
      </c>
      <c r="F685" s="430" t="s">
        <v>3500</v>
      </c>
      <c r="G685" s="300" t="str">
        <f t="shared" si="24"/>
        <v>M&amp;MSaarland</v>
      </c>
    </row>
    <row r="686" spans="1:7" ht="12" customHeight="1">
      <c r="A686" s="298">
        <v>36319</v>
      </c>
      <c r="B686" s="299" t="s">
        <v>3510</v>
      </c>
      <c r="C686" s="299">
        <v>50</v>
      </c>
      <c r="D686" s="299">
        <f t="shared" si="23"/>
        <v>6</v>
      </c>
      <c r="E686" s="299">
        <v>42</v>
      </c>
      <c r="F686" s="430" t="s">
        <v>3500</v>
      </c>
      <c r="G686" s="300" t="str">
        <f t="shared" si="24"/>
        <v>M&amp;MSaarland</v>
      </c>
    </row>
    <row r="687" spans="1:7" ht="12" customHeight="1">
      <c r="A687" s="298">
        <v>36341</v>
      </c>
      <c r="B687" s="299" t="s">
        <v>3510</v>
      </c>
      <c r="C687" s="299">
        <v>120</v>
      </c>
      <c r="D687" s="299">
        <f t="shared" si="23"/>
        <v>6</v>
      </c>
      <c r="E687" s="299">
        <v>43</v>
      </c>
      <c r="F687" s="430" t="s">
        <v>3500</v>
      </c>
      <c r="G687" s="300" t="str">
        <f t="shared" si="24"/>
        <v>M&amp;MSaarland</v>
      </c>
    </row>
    <row r="688" spans="1:7" ht="12" customHeight="1">
      <c r="A688" s="298">
        <v>36371</v>
      </c>
      <c r="B688" s="299" t="s">
        <v>3510</v>
      </c>
      <c r="C688" s="299">
        <v>40</v>
      </c>
      <c r="D688" s="299">
        <f t="shared" si="23"/>
        <v>7</v>
      </c>
      <c r="E688" s="299">
        <v>44</v>
      </c>
      <c r="F688" s="430" t="s">
        <v>3500</v>
      </c>
      <c r="G688" s="300" t="str">
        <f t="shared" si="24"/>
        <v>M&amp;MSaarland</v>
      </c>
    </row>
    <row r="689" spans="1:7" ht="12" customHeight="1">
      <c r="A689" s="298">
        <v>36285</v>
      </c>
      <c r="B689" s="299" t="s">
        <v>3511</v>
      </c>
      <c r="C689" s="299">
        <v>40</v>
      </c>
      <c r="D689" s="299">
        <f t="shared" si="23"/>
        <v>5</v>
      </c>
      <c r="E689" s="299">
        <v>40</v>
      </c>
      <c r="F689" s="430" t="s">
        <v>3504</v>
      </c>
      <c r="G689" s="300" t="str">
        <f t="shared" si="24"/>
        <v>MoetBayern</v>
      </c>
    </row>
    <row r="690" spans="1:7" ht="12" customHeight="1">
      <c r="A690" s="298">
        <v>36388</v>
      </c>
      <c r="B690" s="299" t="s">
        <v>3511</v>
      </c>
      <c r="C690" s="299">
        <v>10</v>
      </c>
      <c r="D690" s="299">
        <f t="shared" si="23"/>
        <v>8</v>
      </c>
      <c r="E690" s="299">
        <v>40</v>
      </c>
      <c r="F690" s="430" t="s">
        <v>3504</v>
      </c>
      <c r="G690" s="300" t="str">
        <f t="shared" si="24"/>
        <v>MoetBayern</v>
      </c>
    </row>
    <row r="691" spans="1:7" ht="12" customHeight="1">
      <c r="A691" s="298">
        <v>36415</v>
      </c>
      <c r="B691" s="299" t="s">
        <v>3511</v>
      </c>
      <c r="C691" s="299">
        <v>20</v>
      </c>
      <c r="D691" s="299">
        <f t="shared" si="23"/>
        <v>9</v>
      </c>
      <c r="E691" s="299">
        <v>38</v>
      </c>
      <c r="F691" s="430" t="s">
        <v>3504</v>
      </c>
      <c r="G691" s="300" t="str">
        <f t="shared" si="24"/>
        <v>MoetBayern</v>
      </c>
    </row>
    <row r="692" spans="1:7" ht="12" customHeight="1">
      <c r="A692" s="298">
        <v>36423</v>
      </c>
      <c r="B692" s="299" t="s">
        <v>3511</v>
      </c>
      <c r="C692" s="299">
        <v>60</v>
      </c>
      <c r="D692" s="299">
        <f t="shared" si="23"/>
        <v>9</v>
      </c>
      <c r="E692" s="299">
        <v>38</v>
      </c>
      <c r="F692" s="430" t="s">
        <v>3504</v>
      </c>
      <c r="G692" s="300" t="str">
        <f t="shared" si="24"/>
        <v>MoetBayern</v>
      </c>
    </row>
    <row r="693" spans="1:7" ht="12" customHeight="1">
      <c r="A693" s="298">
        <v>36405</v>
      </c>
      <c r="B693" s="299" t="s">
        <v>3511</v>
      </c>
      <c r="C693" s="299">
        <v>20</v>
      </c>
      <c r="D693" s="299">
        <f t="shared" si="23"/>
        <v>9</v>
      </c>
      <c r="E693" s="299">
        <v>39</v>
      </c>
      <c r="F693" s="430" t="s">
        <v>3501</v>
      </c>
      <c r="G693" s="300" t="str">
        <f t="shared" si="24"/>
        <v>MoetBW</v>
      </c>
    </row>
    <row r="694" spans="1:7" ht="12" customHeight="1">
      <c r="A694" s="298">
        <v>36419</v>
      </c>
      <c r="B694" s="299" t="s">
        <v>3511</v>
      </c>
      <c r="C694" s="299">
        <v>80</v>
      </c>
      <c r="D694" s="299">
        <f t="shared" si="23"/>
        <v>9</v>
      </c>
      <c r="E694" s="299">
        <v>39</v>
      </c>
      <c r="F694" s="430" t="s">
        <v>3501</v>
      </c>
      <c r="G694" s="300" t="str">
        <f t="shared" si="24"/>
        <v>MoetBW</v>
      </c>
    </row>
    <row r="695" spans="1:7" ht="12" customHeight="1">
      <c r="A695" s="298">
        <v>36426</v>
      </c>
      <c r="B695" s="299" t="s">
        <v>3511</v>
      </c>
      <c r="C695" s="299">
        <v>20</v>
      </c>
      <c r="D695" s="299">
        <f t="shared" si="23"/>
        <v>9</v>
      </c>
      <c r="E695" s="299">
        <v>39</v>
      </c>
      <c r="F695" s="430" t="s">
        <v>3501</v>
      </c>
      <c r="G695" s="300" t="str">
        <f t="shared" si="24"/>
        <v>MoetBW</v>
      </c>
    </row>
    <row r="696" spans="1:7" ht="12" customHeight="1">
      <c r="A696" s="298">
        <v>36504</v>
      </c>
      <c r="B696" s="299" t="s">
        <v>3511</v>
      </c>
      <c r="C696" s="299">
        <v>10</v>
      </c>
      <c r="D696" s="299">
        <f t="shared" si="23"/>
        <v>12</v>
      </c>
      <c r="E696" s="299">
        <v>42</v>
      </c>
      <c r="F696" s="430" t="s">
        <v>3501</v>
      </c>
      <c r="G696" s="300" t="str">
        <f t="shared" si="24"/>
        <v>MoetBW</v>
      </c>
    </row>
    <row r="697" spans="1:7" ht="12" customHeight="1">
      <c r="A697" s="298">
        <v>36504</v>
      </c>
      <c r="B697" s="299" t="s">
        <v>3511</v>
      </c>
      <c r="C697" s="299">
        <v>20</v>
      </c>
      <c r="D697" s="299">
        <f t="shared" si="23"/>
        <v>12</v>
      </c>
      <c r="E697" s="299">
        <v>41</v>
      </c>
      <c r="F697" s="430" t="s">
        <v>3501</v>
      </c>
      <c r="G697" s="300" t="str">
        <f t="shared" si="24"/>
        <v>MoetBW</v>
      </c>
    </row>
    <row r="698" spans="1:7" ht="12" customHeight="1">
      <c r="A698" s="298">
        <v>36522</v>
      </c>
      <c r="B698" s="299" t="s">
        <v>3511</v>
      </c>
      <c r="C698" s="299">
        <v>40</v>
      </c>
      <c r="D698" s="299">
        <f t="shared" si="23"/>
        <v>12</v>
      </c>
      <c r="E698" s="299">
        <v>42</v>
      </c>
      <c r="F698" s="430" t="s">
        <v>3501</v>
      </c>
      <c r="G698" s="300" t="str">
        <f t="shared" si="24"/>
        <v>MoetBW</v>
      </c>
    </row>
    <row r="699" spans="1:7" ht="12" customHeight="1">
      <c r="A699" s="298">
        <v>36174</v>
      </c>
      <c r="B699" s="299" t="s">
        <v>3511</v>
      </c>
      <c r="C699" s="299">
        <v>40</v>
      </c>
      <c r="D699" s="299">
        <f t="shared" si="23"/>
        <v>1</v>
      </c>
      <c r="E699" s="299">
        <v>38</v>
      </c>
      <c r="F699" s="430" t="s">
        <v>3502</v>
      </c>
      <c r="G699" s="300" t="str">
        <f t="shared" si="24"/>
        <v>MoetHessen</v>
      </c>
    </row>
    <row r="700" spans="1:7" ht="12" customHeight="1">
      <c r="A700" s="298">
        <v>36296</v>
      </c>
      <c r="B700" s="299" t="s">
        <v>3511</v>
      </c>
      <c r="C700" s="299">
        <v>60</v>
      </c>
      <c r="D700" s="299">
        <f t="shared" si="23"/>
        <v>5</v>
      </c>
      <c r="E700" s="299">
        <v>36</v>
      </c>
      <c r="F700" s="430" t="s">
        <v>3502</v>
      </c>
      <c r="G700" s="300" t="str">
        <f t="shared" si="24"/>
        <v>MoetHessen</v>
      </c>
    </row>
    <row r="701" spans="1:7" ht="12" customHeight="1">
      <c r="A701" s="298">
        <v>36384</v>
      </c>
      <c r="B701" s="299" t="s">
        <v>3511</v>
      </c>
      <c r="C701" s="299">
        <v>60</v>
      </c>
      <c r="D701" s="299">
        <f t="shared" si="23"/>
        <v>8</v>
      </c>
      <c r="E701" s="299">
        <v>36</v>
      </c>
      <c r="F701" s="430" t="s">
        <v>3502</v>
      </c>
      <c r="G701" s="300" t="str">
        <f t="shared" si="24"/>
        <v>MoetHessen</v>
      </c>
    </row>
    <row r="702" spans="1:7" ht="12" customHeight="1">
      <c r="A702" s="298">
        <v>36397</v>
      </c>
      <c r="B702" s="299" t="s">
        <v>3511</v>
      </c>
      <c r="C702" s="299">
        <v>80</v>
      </c>
      <c r="D702" s="299">
        <f t="shared" si="23"/>
        <v>8</v>
      </c>
      <c r="E702" s="299">
        <v>36</v>
      </c>
      <c r="F702" s="430" t="s">
        <v>3502</v>
      </c>
      <c r="G702" s="300" t="str">
        <f t="shared" si="24"/>
        <v>MoetHessen</v>
      </c>
    </row>
    <row r="703" spans="1:7" ht="12" customHeight="1">
      <c r="A703" s="298">
        <v>36402</v>
      </c>
      <c r="B703" s="299" t="s">
        <v>3511</v>
      </c>
      <c r="C703" s="299">
        <v>100</v>
      </c>
      <c r="D703" s="299">
        <f t="shared" si="23"/>
        <v>8</v>
      </c>
      <c r="E703" s="299">
        <v>36</v>
      </c>
      <c r="F703" s="430" t="s">
        <v>3502</v>
      </c>
      <c r="G703" s="300" t="str">
        <f t="shared" si="24"/>
        <v>MoetHessen</v>
      </c>
    </row>
    <row r="704" spans="1:7" ht="12" customHeight="1">
      <c r="A704" s="298">
        <v>36407</v>
      </c>
      <c r="B704" s="299" t="s">
        <v>3511</v>
      </c>
      <c r="C704" s="299">
        <v>50</v>
      </c>
      <c r="D704" s="299">
        <f t="shared" si="23"/>
        <v>9</v>
      </c>
      <c r="E704" s="299">
        <v>35</v>
      </c>
      <c r="F704" s="430" t="s">
        <v>3502</v>
      </c>
      <c r="G704" s="300" t="str">
        <f t="shared" si="24"/>
        <v>MoetHessen</v>
      </c>
    </row>
    <row r="705" spans="1:7" ht="12" customHeight="1">
      <c r="A705" s="298">
        <v>36474</v>
      </c>
      <c r="B705" s="299" t="s">
        <v>3511</v>
      </c>
      <c r="C705" s="299">
        <v>60</v>
      </c>
      <c r="D705" s="299">
        <f t="shared" si="23"/>
        <v>11</v>
      </c>
      <c r="E705" s="299">
        <v>37</v>
      </c>
      <c r="F705" s="430" t="s">
        <v>3502</v>
      </c>
      <c r="G705" s="300" t="str">
        <f t="shared" si="24"/>
        <v>MoetHessen</v>
      </c>
    </row>
    <row r="706" spans="1:7" ht="12" customHeight="1">
      <c r="A706" s="298">
        <v>36256</v>
      </c>
      <c r="B706" s="299" t="s">
        <v>3511</v>
      </c>
      <c r="C706" s="299">
        <v>40</v>
      </c>
      <c r="D706" s="299">
        <f t="shared" si="23"/>
        <v>4</v>
      </c>
      <c r="E706" s="299">
        <v>43</v>
      </c>
      <c r="F706" s="430" t="s">
        <v>3503</v>
      </c>
      <c r="G706" s="300" t="str">
        <f t="shared" si="24"/>
        <v>MoetHolstein</v>
      </c>
    </row>
    <row r="707" spans="1:7" ht="12" customHeight="1">
      <c r="A707" s="298">
        <v>36256</v>
      </c>
      <c r="B707" s="299" t="s">
        <v>3511</v>
      </c>
      <c r="C707" s="299">
        <v>40</v>
      </c>
      <c r="D707" s="299">
        <f t="shared" si="23"/>
        <v>4</v>
      </c>
      <c r="E707" s="299">
        <v>43</v>
      </c>
      <c r="F707" s="430" t="s">
        <v>3503</v>
      </c>
      <c r="G707" s="300" t="str">
        <f t="shared" si="24"/>
        <v>MoetHolstein</v>
      </c>
    </row>
    <row r="708" spans="1:7" ht="12" customHeight="1">
      <c r="A708" s="298">
        <v>36267</v>
      </c>
      <c r="B708" s="299" t="s">
        <v>3511</v>
      </c>
      <c r="C708" s="299">
        <v>120</v>
      </c>
      <c r="D708" s="299">
        <f t="shared" si="23"/>
        <v>4</v>
      </c>
      <c r="E708" s="299">
        <v>43</v>
      </c>
      <c r="F708" s="430" t="s">
        <v>3503</v>
      </c>
      <c r="G708" s="300" t="str">
        <f t="shared" si="24"/>
        <v>MoetHolstein</v>
      </c>
    </row>
    <row r="709" spans="1:7" ht="12" customHeight="1">
      <c r="A709" s="298">
        <v>36280</v>
      </c>
      <c r="B709" s="299" t="s">
        <v>3511</v>
      </c>
      <c r="C709" s="299">
        <v>50</v>
      </c>
      <c r="D709" s="299">
        <f t="shared" si="23"/>
        <v>4</v>
      </c>
      <c r="E709" s="299">
        <v>43</v>
      </c>
      <c r="F709" s="430" t="s">
        <v>3503</v>
      </c>
      <c r="G709" s="300" t="str">
        <f t="shared" si="24"/>
        <v>MoetHolstein</v>
      </c>
    </row>
    <row r="710" spans="1:7" ht="12" customHeight="1">
      <c r="A710" s="298">
        <v>36318</v>
      </c>
      <c r="B710" s="299" t="s">
        <v>3511</v>
      </c>
      <c r="C710" s="299">
        <v>80</v>
      </c>
      <c r="D710" s="299">
        <f t="shared" ref="D710:D773" si="25">MONTH(A710)</f>
        <v>6</v>
      </c>
      <c r="E710" s="299">
        <v>41</v>
      </c>
      <c r="F710" s="430" t="s">
        <v>3503</v>
      </c>
      <c r="G710" s="300" t="str">
        <f t="shared" ref="G710:G773" si="26">B710&amp;F710</f>
        <v>MoetHolstein</v>
      </c>
    </row>
    <row r="711" spans="1:7" ht="12" customHeight="1">
      <c r="A711" s="298">
        <v>36386</v>
      </c>
      <c r="B711" s="299" t="s">
        <v>3511</v>
      </c>
      <c r="C711" s="299">
        <v>20</v>
      </c>
      <c r="D711" s="299">
        <f t="shared" si="25"/>
        <v>8</v>
      </c>
      <c r="E711" s="299">
        <v>43</v>
      </c>
      <c r="F711" s="430" t="s">
        <v>3503</v>
      </c>
      <c r="G711" s="300" t="str">
        <f t="shared" si="26"/>
        <v>MoetHolstein</v>
      </c>
    </row>
    <row r="712" spans="1:7" ht="12" customHeight="1">
      <c r="A712" s="298">
        <v>36488</v>
      </c>
      <c r="B712" s="299" t="s">
        <v>3511</v>
      </c>
      <c r="C712" s="299">
        <v>90</v>
      </c>
      <c r="D712" s="299">
        <f t="shared" si="25"/>
        <v>11</v>
      </c>
      <c r="E712" s="299">
        <v>43</v>
      </c>
      <c r="F712" s="430" t="s">
        <v>3503</v>
      </c>
      <c r="G712" s="300" t="str">
        <f t="shared" si="26"/>
        <v>MoetHolstein</v>
      </c>
    </row>
    <row r="713" spans="1:7" ht="12" customHeight="1">
      <c r="A713" s="298">
        <v>36204</v>
      </c>
      <c r="B713" s="299" t="s">
        <v>3511</v>
      </c>
      <c r="C713" s="299">
        <v>10</v>
      </c>
      <c r="D713" s="299">
        <f t="shared" si="25"/>
        <v>2</v>
      </c>
      <c r="E713" s="299">
        <v>36</v>
      </c>
      <c r="F713" s="430" t="s">
        <v>3497</v>
      </c>
      <c r="G713" s="300" t="str">
        <f t="shared" si="26"/>
        <v>MoetNRW</v>
      </c>
    </row>
    <row r="714" spans="1:7" ht="12" customHeight="1">
      <c r="A714" s="298">
        <v>36262</v>
      </c>
      <c r="B714" s="299" t="s">
        <v>3511</v>
      </c>
      <c r="C714" s="299">
        <v>40</v>
      </c>
      <c r="D714" s="299">
        <f t="shared" si="25"/>
        <v>4</v>
      </c>
      <c r="E714" s="299">
        <v>35</v>
      </c>
      <c r="F714" s="430" t="s">
        <v>3497</v>
      </c>
      <c r="G714" s="300" t="str">
        <f t="shared" si="26"/>
        <v>MoetNRW</v>
      </c>
    </row>
    <row r="715" spans="1:7" ht="12" customHeight="1">
      <c r="A715" s="298">
        <v>36272</v>
      </c>
      <c r="B715" s="299" t="s">
        <v>3511</v>
      </c>
      <c r="C715" s="299">
        <v>30</v>
      </c>
      <c r="D715" s="299">
        <f t="shared" si="25"/>
        <v>4</v>
      </c>
      <c r="E715" s="299">
        <v>43</v>
      </c>
      <c r="F715" s="430" t="s">
        <v>3497</v>
      </c>
      <c r="G715" s="300" t="str">
        <f t="shared" si="26"/>
        <v>MoetNRW</v>
      </c>
    </row>
    <row r="716" spans="1:7" ht="12" customHeight="1">
      <c r="A716" s="298">
        <v>36286</v>
      </c>
      <c r="B716" s="299" t="s">
        <v>3511</v>
      </c>
      <c r="C716" s="299">
        <v>100</v>
      </c>
      <c r="D716" s="299">
        <f t="shared" si="25"/>
        <v>5</v>
      </c>
      <c r="E716" s="299">
        <v>36</v>
      </c>
      <c r="F716" s="430" t="s">
        <v>3497</v>
      </c>
      <c r="G716" s="300" t="str">
        <f t="shared" si="26"/>
        <v>MoetNRW</v>
      </c>
    </row>
    <row r="717" spans="1:7" ht="12" customHeight="1">
      <c r="A717" s="298">
        <v>36328</v>
      </c>
      <c r="B717" s="299" t="s">
        <v>3511</v>
      </c>
      <c r="C717" s="299">
        <v>50</v>
      </c>
      <c r="D717" s="299">
        <f t="shared" si="25"/>
        <v>6</v>
      </c>
      <c r="E717" s="299">
        <v>39</v>
      </c>
      <c r="F717" s="430" t="s">
        <v>3497</v>
      </c>
      <c r="G717" s="300" t="str">
        <f t="shared" si="26"/>
        <v>MoetNRW</v>
      </c>
    </row>
    <row r="718" spans="1:7" ht="12" customHeight="1">
      <c r="A718" s="298">
        <v>36337</v>
      </c>
      <c r="B718" s="299" t="s">
        <v>3511</v>
      </c>
      <c r="C718" s="299">
        <v>80</v>
      </c>
      <c r="D718" s="299">
        <f t="shared" si="25"/>
        <v>6</v>
      </c>
      <c r="E718" s="299">
        <v>43</v>
      </c>
      <c r="F718" s="430" t="s">
        <v>3497</v>
      </c>
      <c r="G718" s="300" t="str">
        <f t="shared" si="26"/>
        <v>MoetNRW</v>
      </c>
    </row>
    <row r="719" spans="1:7" ht="12" customHeight="1">
      <c r="A719" s="298">
        <v>36338</v>
      </c>
      <c r="B719" s="299" t="s">
        <v>3511</v>
      </c>
      <c r="C719" s="299">
        <v>50</v>
      </c>
      <c r="D719" s="299">
        <f t="shared" si="25"/>
        <v>6</v>
      </c>
      <c r="E719" s="299">
        <v>41</v>
      </c>
      <c r="F719" s="430" t="s">
        <v>3497</v>
      </c>
      <c r="G719" s="300" t="str">
        <f t="shared" si="26"/>
        <v>MoetNRW</v>
      </c>
    </row>
    <row r="720" spans="1:7" ht="12" customHeight="1">
      <c r="A720" s="298">
        <v>36342</v>
      </c>
      <c r="B720" s="299" t="s">
        <v>3511</v>
      </c>
      <c r="C720" s="299">
        <v>60</v>
      </c>
      <c r="D720" s="299">
        <f t="shared" si="25"/>
        <v>7</v>
      </c>
      <c r="E720" s="299">
        <v>38</v>
      </c>
      <c r="F720" s="430" t="s">
        <v>3497</v>
      </c>
      <c r="G720" s="300" t="str">
        <f t="shared" si="26"/>
        <v>MoetNRW</v>
      </c>
    </row>
    <row r="721" spans="1:7" ht="12" customHeight="1">
      <c r="A721" s="298">
        <v>36345</v>
      </c>
      <c r="B721" s="299" t="s">
        <v>3511</v>
      </c>
      <c r="C721" s="299">
        <v>50</v>
      </c>
      <c r="D721" s="299">
        <f t="shared" si="25"/>
        <v>7</v>
      </c>
      <c r="E721" s="299">
        <v>38</v>
      </c>
      <c r="F721" s="430" t="s">
        <v>3497</v>
      </c>
      <c r="G721" s="300" t="str">
        <f t="shared" si="26"/>
        <v>MoetNRW</v>
      </c>
    </row>
    <row r="722" spans="1:7" ht="12" customHeight="1">
      <c r="A722" s="298">
        <v>36345</v>
      </c>
      <c r="B722" s="299" t="s">
        <v>3511</v>
      </c>
      <c r="C722" s="299">
        <v>120</v>
      </c>
      <c r="D722" s="299">
        <f t="shared" si="25"/>
        <v>7</v>
      </c>
      <c r="E722" s="299">
        <v>36</v>
      </c>
      <c r="F722" s="430" t="s">
        <v>3497</v>
      </c>
      <c r="G722" s="300" t="str">
        <f t="shared" si="26"/>
        <v>MoetNRW</v>
      </c>
    </row>
    <row r="723" spans="1:7" ht="12" customHeight="1">
      <c r="A723" s="298">
        <v>36352</v>
      </c>
      <c r="B723" s="299" t="s">
        <v>3511</v>
      </c>
      <c r="C723" s="299">
        <v>70</v>
      </c>
      <c r="D723" s="299">
        <f t="shared" si="25"/>
        <v>7</v>
      </c>
      <c r="E723" s="299">
        <v>36</v>
      </c>
      <c r="F723" s="430" t="s">
        <v>3497</v>
      </c>
      <c r="G723" s="300" t="str">
        <f t="shared" si="26"/>
        <v>MoetNRW</v>
      </c>
    </row>
    <row r="724" spans="1:7" ht="12" customHeight="1">
      <c r="A724" s="298">
        <v>36367</v>
      </c>
      <c r="B724" s="299" t="s">
        <v>3511</v>
      </c>
      <c r="C724" s="299">
        <v>50</v>
      </c>
      <c r="D724" s="299">
        <f t="shared" si="25"/>
        <v>7</v>
      </c>
      <c r="E724" s="299">
        <v>35</v>
      </c>
      <c r="F724" s="430" t="s">
        <v>3497</v>
      </c>
      <c r="G724" s="300" t="str">
        <f t="shared" si="26"/>
        <v>MoetNRW</v>
      </c>
    </row>
    <row r="725" spans="1:7" ht="12" customHeight="1">
      <c r="A725" s="298">
        <v>36374</v>
      </c>
      <c r="B725" s="299" t="s">
        <v>3511</v>
      </c>
      <c r="C725" s="299">
        <v>10</v>
      </c>
      <c r="D725" s="299">
        <f t="shared" si="25"/>
        <v>8</v>
      </c>
      <c r="E725" s="299">
        <v>36</v>
      </c>
      <c r="F725" s="430" t="s">
        <v>3497</v>
      </c>
      <c r="G725" s="300" t="str">
        <f t="shared" si="26"/>
        <v>MoetNRW</v>
      </c>
    </row>
    <row r="726" spans="1:7" ht="12" customHeight="1">
      <c r="A726" s="298">
        <v>36389</v>
      </c>
      <c r="B726" s="299" t="s">
        <v>3511</v>
      </c>
      <c r="C726" s="299">
        <v>50</v>
      </c>
      <c r="D726" s="299">
        <f t="shared" si="25"/>
        <v>8</v>
      </c>
      <c r="E726" s="299">
        <v>43</v>
      </c>
      <c r="F726" s="430" t="s">
        <v>3497</v>
      </c>
      <c r="G726" s="300" t="str">
        <f t="shared" si="26"/>
        <v>MoetNRW</v>
      </c>
    </row>
    <row r="727" spans="1:7" ht="12" customHeight="1">
      <c r="A727" s="298">
        <v>36395</v>
      </c>
      <c r="B727" s="299" t="s">
        <v>3511</v>
      </c>
      <c r="C727" s="299">
        <v>60</v>
      </c>
      <c r="D727" s="299">
        <f t="shared" si="25"/>
        <v>8</v>
      </c>
      <c r="E727" s="299">
        <v>43</v>
      </c>
      <c r="F727" s="430" t="s">
        <v>3497</v>
      </c>
      <c r="G727" s="300" t="str">
        <f t="shared" si="26"/>
        <v>MoetNRW</v>
      </c>
    </row>
    <row r="728" spans="1:7" ht="12" customHeight="1">
      <c r="A728" s="298">
        <v>36401</v>
      </c>
      <c r="B728" s="299" t="s">
        <v>3511</v>
      </c>
      <c r="C728" s="299">
        <v>80</v>
      </c>
      <c r="D728" s="299">
        <f t="shared" si="25"/>
        <v>8</v>
      </c>
      <c r="E728" s="299">
        <v>43</v>
      </c>
      <c r="F728" s="430" t="s">
        <v>3497</v>
      </c>
      <c r="G728" s="300" t="str">
        <f t="shared" si="26"/>
        <v>MoetNRW</v>
      </c>
    </row>
    <row r="729" spans="1:7" ht="12" customHeight="1">
      <c r="A729" s="298">
        <v>36409</v>
      </c>
      <c r="B729" s="299" t="s">
        <v>3511</v>
      </c>
      <c r="C729" s="299">
        <v>30</v>
      </c>
      <c r="D729" s="299">
        <f t="shared" si="25"/>
        <v>9</v>
      </c>
      <c r="E729" s="299">
        <v>38</v>
      </c>
      <c r="F729" s="430" t="s">
        <v>3497</v>
      </c>
      <c r="G729" s="300" t="str">
        <f t="shared" si="26"/>
        <v>MoetNRW</v>
      </c>
    </row>
    <row r="730" spans="1:7" ht="12" customHeight="1">
      <c r="A730" s="298">
        <v>36451</v>
      </c>
      <c r="B730" s="299" t="s">
        <v>3511</v>
      </c>
      <c r="C730" s="299">
        <v>30</v>
      </c>
      <c r="D730" s="299">
        <f t="shared" si="25"/>
        <v>10</v>
      </c>
      <c r="E730" s="299">
        <v>36</v>
      </c>
      <c r="F730" s="430" t="s">
        <v>3497</v>
      </c>
      <c r="G730" s="300" t="str">
        <f t="shared" si="26"/>
        <v>MoetNRW</v>
      </c>
    </row>
    <row r="731" spans="1:7" ht="12" customHeight="1">
      <c r="A731" s="298">
        <v>36488</v>
      </c>
      <c r="B731" s="299" t="s">
        <v>3511</v>
      </c>
      <c r="C731" s="299">
        <v>10</v>
      </c>
      <c r="D731" s="299">
        <f t="shared" si="25"/>
        <v>11</v>
      </c>
      <c r="E731" s="299">
        <v>38</v>
      </c>
      <c r="F731" s="430" t="s">
        <v>3497</v>
      </c>
      <c r="G731" s="300" t="str">
        <f t="shared" si="26"/>
        <v>MoetNRW</v>
      </c>
    </row>
    <row r="732" spans="1:7" ht="12" customHeight="1">
      <c r="A732" s="298">
        <v>36491</v>
      </c>
      <c r="B732" s="299" t="s">
        <v>3511</v>
      </c>
      <c r="C732" s="299">
        <v>50</v>
      </c>
      <c r="D732" s="299">
        <f t="shared" si="25"/>
        <v>11</v>
      </c>
      <c r="E732" s="299">
        <v>36</v>
      </c>
      <c r="F732" s="430" t="s">
        <v>3497</v>
      </c>
      <c r="G732" s="300" t="str">
        <f t="shared" si="26"/>
        <v>MoetNRW</v>
      </c>
    </row>
    <row r="733" spans="1:7" ht="12" customHeight="1">
      <c r="A733" s="298">
        <v>36168</v>
      </c>
      <c r="B733" s="299" t="s">
        <v>3511</v>
      </c>
      <c r="C733" s="299">
        <v>80</v>
      </c>
      <c r="D733" s="299">
        <f t="shared" si="25"/>
        <v>1</v>
      </c>
      <c r="E733" s="299">
        <v>35</v>
      </c>
      <c r="F733" s="430" t="s">
        <v>3499</v>
      </c>
      <c r="G733" s="300" t="str">
        <f t="shared" si="26"/>
        <v>MoetPfalz</v>
      </c>
    </row>
    <row r="734" spans="1:7" ht="12" customHeight="1">
      <c r="A734" s="298">
        <v>36169</v>
      </c>
      <c r="B734" s="299" t="s">
        <v>3511</v>
      </c>
      <c r="C734" s="299">
        <v>60</v>
      </c>
      <c r="D734" s="299">
        <f t="shared" si="25"/>
        <v>1</v>
      </c>
      <c r="E734" s="299">
        <v>38</v>
      </c>
      <c r="F734" s="430" t="s">
        <v>3499</v>
      </c>
      <c r="G734" s="300" t="str">
        <f t="shared" si="26"/>
        <v>MoetPfalz</v>
      </c>
    </row>
    <row r="735" spans="1:7" ht="12" customHeight="1">
      <c r="A735" s="298">
        <v>36173</v>
      </c>
      <c r="B735" s="299" t="s">
        <v>3511</v>
      </c>
      <c r="C735" s="299">
        <v>30</v>
      </c>
      <c r="D735" s="299">
        <f t="shared" si="25"/>
        <v>1</v>
      </c>
      <c r="E735" s="299">
        <v>35</v>
      </c>
      <c r="F735" s="430" t="s">
        <v>3499</v>
      </c>
      <c r="G735" s="300" t="str">
        <f t="shared" si="26"/>
        <v>MoetPfalz</v>
      </c>
    </row>
    <row r="736" spans="1:7" ht="12" customHeight="1">
      <c r="A736" s="298">
        <v>36179</v>
      </c>
      <c r="B736" s="299" t="s">
        <v>3511</v>
      </c>
      <c r="C736" s="299">
        <v>30</v>
      </c>
      <c r="D736" s="299">
        <f t="shared" si="25"/>
        <v>1</v>
      </c>
      <c r="E736" s="299">
        <v>38</v>
      </c>
      <c r="F736" s="430" t="s">
        <v>3499</v>
      </c>
      <c r="G736" s="300" t="str">
        <f t="shared" si="26"/>
        <v>MoetPfalz</v>
      </c>
    </row>
    <row r="737" spans="1:7" ht="12" customHeight="1">
      <c r="A737" s="298">
        <v>36223</v>
      </c>
      <c r="B737" s="299" t="s">
        <v>3511</v>
      </c>
      <c r="C737" s="299">
        <v>20</v>
      </c>
      <c r="D737" s="299">
        <f t="shared" si="25"/>
        <v>3</v>
      </c>
      <c r="E737" s="299">
        <v>42</v>
      </c>
      <c r="F737" s="430" t="s">
        <v>3499</v>
      </c>
      <c r="G737" s="300" t="str">
        <f t="shared" si="26"/>
        <v>MoetPfalz</v>
      </c>
    </row>
    <row r="738" spans="1:7" ht="12" customHeight="1">
      <c r="A738" s="298">
        <v>36235</v>
      </c>
      <c r="B738" s="299" t="s">
        <v>3511</v>
      </c>
      <c r="C738" s="299">
        <v>90</v>
      </c>
      <c r="D738" s="299">
        <f t="shared" si="25"/>
        <v>3</v>
      </c>
      <c r="E738" s="299">
        <v>38</v>
      </c>
      <c r="F738" s="430" t="s">
        <v>3499</v>
      </c>
      <c r="G738" s="300" t="str">
        <f t="shared" si="26"/>
        <v>MoetPfalz</v>
      </c>
    </row>
    <row r="739" spans="1:7" ht="12" customHeight="1">
      <c r="A739" s="298">
        <v>36242</v>
      </c>
      <c r="B739" s="299" t="s">
        <v>3511</v>
      </c>
      <c r="C739" s="299">
        <v>20</v>
      </c>
      <c r="D739" s="299">
        <f t="shared" si="25"/>
        <v>3</v>
      </c>
      <c r="E739" s="299">
        <v>42</v>
      </c>
      <c r="F739" s="430" t="s">
        <v>3499</v>
      </c>
      <c r="G739" s="300" t="str">
        <f t="shared" si="26"/>
        <v>MoetPfalz</v>
      </c>
    </row>
    <row r="740" spans="1:7" ht="12" customHeight="1">
      <c r="A740" s="298">
        <v>36252</v>
      </c>
      <c r="B740" s="299" t="s">
        <v>3511</v>
      </c>
      <c r="C740" s="299">
        <v>50</v>
      </c>
      <c r="D740" s="299">
        <f t="shared" si="25"/>
        <v>4</v>
      </c>
      <c r="E740" s="299">
        <v>38</v>
      </c>
      <c r="F740" s="430" t="s">
        <v>3499</v>
      </c>
      <c r="G740" s="300" t="str">
        <f t="shared" si="26"/>
        <v>MoetPfalz</v>
      </c>
    </row>
    <row r="741" spans="1:7" ht="12" customHeight="1">
      <c r="A741" s="298">
        <v>36295</v>
      </c>
      <c r="B741" s="299" t="s">
        <v>3511</v>
      </c>
      <c r="C741" s="299">
        <v>40</v>
      </c>
      <c r="D741" s="299">
        <f t="shared" si="25"/>
        <v>5</v>
      </c>
      <c r="E741" s="299">
        <v>42</v>
      </c>
      <c r="F741" s="430" t="s">
        <v>3499</v>
      </c>
      <c r="G741" s="300" t="str">
        <f t="shared" si="26"/>
        <v>MoetPfalz</v>
      </c>
    </row>
    <row r="742" spans="1:7" ht="12" customHeight="1">
      <c r="A742" s="298">
        <v>36306</v>
      </c>
      <c r="B742" s="299" t="s">
        <v>3511</v>
      </c>
      <c r="C742" s="299">
        <v>120</v>
      </c>
      <c r="D742" s="299">
        <f t="shared" si="25"/>
        <v>5</v>
      </c>
      <c r="E742" s="299">
        <v>42</v>
      </c>
      <c r="F742" s="430" t="s">
        <v>3499</v>
      </c>
      <c r="G742" s="300" t="str">
        <f t="shared" si="26"/>
        <v>MoetPfalz</v>
      </c>
    </row>
    <row r="743" spans="1:7" ht="12" customHeight="1">
      <c r="A743" s="298">
        <v>36319</v>
      </c>
      <c r="B743" s="299" t="s">
        <v>3511</v>
      </c>
      <c r="C743" s="299">
        <v>60</v>
      </c>
      <c r="D743" s="299">
        <f t="shared" si="25"/>
        <v>6</v>
      </c>
      <c r="E743" s="299">
        <v>35</v>
      </c>
      <c r="F743" s="430" t="s">
        <v>3499</v>
      </c>
      <c r="G743" s="300" t="str">
        <f t="shared" si="26"/>
        <v>MoetPfalz</v>
      </c>
    </row>
    <row r="744" spans="1:7" ht="12" customHeight="1">
      <c r="A744" s="298">
        <v>36328</v>
      </c>
      <c r="B744" s="299" t="s">
        <v>3511</v>
      </c>
      <c r="C744" s="299">
        <v>50</v>
      </c>
      <c r="D744" s="299">
        <f t="shared" si="25"/>
        <v>6</v>
      </c>
      <c r="E744" s="299">
        <v>44</v>
      </c>
      <c r="F744" s="430" t="s">
        <v>3499</v>
      </c>
      <c r="G744" s="300" t="str">
        <f t="shared" si="26"/>
        <v>MoetPfalz</v>
      </c>
    </row>
    <row r="745" spans="1:7" ht="12" customHeight="1">
      <c r="A745" s="298">
        <v>36342</v>
      </c>
      <c r="B745" s="299" t="s">
        <v>3511</v>
      </c>
      <c r="C745" s="299">
        <v>30</v>
      </c>
      <c r="D745" s="299">
        <f t="shared" si="25"/>
        <v>7</v>
      </c>
      <c r="E745" s="299">
        <v>42</v>
      </c>
      <c r="F745" s="430" t="s">
        <v>3499</v>
      </c>
      <c r="G745" s="300" t="str">
        <f t="shared" si="26"/>
        <v>MoetPfalz</v>
      </c>
    </row>
    <row r="746" spans="1:7" ht="12" customHeight="1">
      <c r="A746" s="298">
        <v>36347</v>
      </c>
      <c r="B746" s="299" t="s">
        <v>3511</v>
      </c>
      <c r="C746" s="299">
        <v>80</v>
      </c>
      <c r="D746" s="299">
        <f t="shared" si="25"/>
        <v>7</v>
      </c>
      <c r="E746" s="299">
        <v>42</v>
      </c>
      <c r="F746" s="430" t="s">
        <v>3499</v>
      </c>
      <c r="G746" s="300" t="str">
        <f t="shared" si="26"/>
        <v>MoetPfalz</v>
      </c>
    </row>
    <row r="747" spans="1:7" ht="12" customHeight="1">
      <c r="A747" s="298">
        <v>36356</v>
      </c>
      <c r="B747" s="299" t="s">
        <v>3511</v>
      </c>
      <c r="C747" s="299">
        <v>70</v>
      </c>
      <c r="D747" s="299">
        <f t="shared" si="25"/>
        <v>7</v>
      </c>
      <c r="E747" s="299">
        <v>44</v>
      </c>
      <c r="F747" s="430" t="s">
        <v>3499</v>
      </c>
      <c r="G747" s="300" t="str">
        <f t="shared" si="26"/>
        <v>MoetPfalz</v>
      </c>
    </row>
    <row r="748" spans="1:7" ht="12" customHeight="1">
      <c r="A748" s="298">
        <v>36357</v>
      </c>
      <c r="B748" s="299" t="s">
        <v>3511</v>
      </c>
      <c r="C748" s="299">
        <v>20</v>
      </c>
      <c r="D748" s="299">
        <f t="shared" si="25"/>
        <v>7</v>
      </c>
      <c r="E748" s="299">
        <v>42</v>
      </c>
      <c r="F748" s="430" t="s">
        <v>3499</v>
      </c>
      <c r="G748" s="300" t="str">
        <f t="shared" si="26"/>
        <v>MoetPfalz</v>
      </c>
    </row>
    <row r="749" spans="1:7" ht="12" customHeight="1">
      <c r="A749" s="298">
        <v>36360</v>
      </c>
      <c r="B749" s="299" t="s">
        <v>3511</v>
      </c>
      <c r="C749" s="299">
        <v>60</v>
      </c>
      <c r="D749" s="299">
        <f t="shared" si="25"/>
        <v>7</v>
      </c>
      <c r="E749" s="299">
        <v>44</v>
      </c>
      <c r="F749" s="430" t="s">
        <v>3499</v>
      </c>
      <c r="G749" s="300" t="str">
        <f t="shared" si="26"/>
        <v>MoetPfalz</v>
      </c>
    </row>
    <row r="750" spans="1:7" ht="12" customHeight="1">
      <c r="A750" s="298">
        <v>36365</v>
      </c>
      <c r="B750" s="299" t="s">
        <v>3511</v>
      </c>
      <c r="C750" s="299">
        <v>50</v>
      </c>
      <c r="D750" s="299">
        <f t="shared" si="25"/>
        <v>7</v>
      </c>
      <c r="E750" s="299">
        <v>38</v>
      </c>
      <c r="F750" s="430" t="s">
        <v>3499</v>
      </c>
      <c r="G750" s="300" t="str">
        <f t="shared" si="26"/>
        <v>MoetPfalz</v>
      </c>
    </row>
    <row r="751" spans="1:7" ht="12" customHeight="1">
      <c r="A751" s="298">
        <v>36378</v>
      </c>
      <c r="B751" s="299" t="s">
        <v>3511</v>
      </c>
      <c r="C751" s="299">
        <v>120</v>
      </c>
      <c r="D751" s="299">
        <f t="shared" si="25"/>
        <v>8</v>
      </c>
      <c r="E751" s="299">
        <v>42</v>
      </c>
      <c r="F751" s="430" t="s">
        <v>3499</v>
      </c>
      <c r="G751" s="300" t="str">
        <f t="shared" si="26"/>
        <v>MoetPfalz</v>
      </c>
    </row>
    <row r="752" spans="1:7" ht="12" customHeight="1">
      <c r="A752" s="298">
        <v>36381</v>
      </c>
      <c r="B752" s="299" t="s">
        <v>3511</v>
      </c>
      <c r="C752" s="299">
        <v>40</v>
      </c>
      <c r="D752" s="299">
        <f t="shared" si="25"/>
        <v>8</v>
      </c>
      <c r="E752" s="299">
        <v>38</v>
      </c>
      <c r="F752" s="430" t="s">
        <v>3499</v>
      </c>
      <c r="G752" s="300" t="str">
        <f t="shared" si="26"/>
        <v>MoetPfalz</v>
      </c>
    </row>
    <row r="753" spans="1:7" ht="12" customHeight="1">
      <c r="A753" s="298">
        <v>36381</v>
      </c>
      <c r="B753" s="299" t="s">
        <v>3511</v>
      </c>
      <c r="C753" s="299">
        <v>60</v>
      </c>
      <c r="D753" s="299">
        <f t="shared" si="25"/>
        <v>8</v>
      </c>
      <c r="E753" s="299">
        <v>38</v>
      </c>
      <c r="F753" s="430" t="s">
        <v>3499</v>
      </c>
      <c r="G753" s="300" t="str">
        <f t="shared" si="26"/>
        <v>MoetPfalz</v>
      </c>
    </row>
    <row r="754" spans="1:7" ht="12" customHeight="1">
      <c r="A754" s="298">
        <v>36381</v>
      </c>
      <c r="B754" s="299" t="s">
        <v>3511</v>
      </c>
      <c r="C754" s="299">
        <v>80</v>
      </c>
      <c r="D754" s="299">
        <f t="shared" si="25"/>
        <v>8</v>
      </c>
      <c r="E754" s="299">
        <v>35</v>
      </c>
      <c r="F754" s="430" t="s">
        <v>3499</v>
      </c>
      <c r="G754" s="300" t="str">
        <f t="shared" si="26"/>
        <v>MoetPfalz</v>
      </c>
    </row>
    <row r="755" spans="1:7" ht="12" customHeight="1">
      <c r="A755" s="298">
        <v>36389</v>
      </c>
      <c r="B755" s="299" t="s">
        <v>3511</v>
      </c>
      <c r="C755" s="299">
        <v>60</v>
      </c>
      <c r="D755" s="299">
        <f t="shared" si="25"/>
        <v>8</v>
      </c>
      <c r="E755" s="299">
        <v>38</v>
      </c>
      <c r="F755" s="430" t="s">
        <v>3499</v>
      </c>
      <c r="G755" s="300" t="str">
        <f t="shared" si="26"/>
        <v>MoetPfalz</v>
      </c>
    </row>
    <row r="756" spans="1:7" ht="12" customHeight="1">
      <c r="A756" s="298">
        <v>36394</v>
      </c>
      <c r="B756" s="299" t="s">
        <v>3511</v>
      </c>
      <c r="C756" s="299">
        <v>20</v>
      </c>
      <c r="D756" s="299">
        <f t="shared" si="25"/>
        <v>8</v>
      </c>
      <c r="E756" s="299">
        <v>38</v>
      </c>
      <c r="F756" s="430" t="s">
        <v>3499</v>
      </c>
      <c r="G756" s="300" t="str">
        <f t="shared" si="26"/>
        <v>MoetPfalz</v>
      </c>
    </row>
    <row r="757" spans="1:7" ht="12" customHeight="1">
      <c r="A757" s="298">
        <v>36400</v>
      </c>
      <c r="B757" s="299" t="s">
        <v>3511</v>
      </c>
      <c r="C757" s="299">
        <v>100</v>
      </c>
      <c r="D757" s="299">
        <f t="shared" si="25"/>
        <v>8</v>
      </c>
      <c r="E757" s="299">
        <v>44</v>
      </c>
      <c r="F757" s="430" t="s">
        <v>3499</v>
      </c>
      <c r="G757" s="300" t="str">
        <f t="shared" si="26"/>
        <v>MoetPfalz</v>
      </c>
    </row>
    <row r="758" spans="1:7" ht="12" customHeight="1">
      <c r="A758" s="298">
        <v>36437</v>
      </c>
      <c r="B758" s="299" t="s">
        <v>3511</v>
      </c>
      <c r="C758" s="299">
        <v>80</v>
      </c>
      <c r="D758" s="299">
        <f t="shared" si="25"/>
        <v>10</v>
      </c>
      <c r="E758" s="299">
        <v>35</v>
      </c>
      <c r="F758" s="430" t="s">
        <v>3499</v>
      </c>
      <c r="G758" s="300" t="str">
        <f t="shared" si="26"/>
        <v>MoetPfalz</v>
      </c>
    </row>
    <row r="759" spans="1:7" ht="12" customHeight="1">
      <c r="A759" s="298">
        <v>36440</v>
      </c>
      <c r="B759" s="299" t="s">
        <v>3511</v>
      </c>
      <c r="C759" s="299">
        <v>10</v>
      </c>
      <c r="D759" s="299">
        <f t="shared" si="25"/>
        <v>10</v>
      </c>
      <c r="E759" s="299">
        <v>42</v>
      </c>
      <c r="F759" s="430" t="s">
        <v>3499</v>
      </c>
      <c r="G759" s="300" t="str">
        <f t="shared" si="26"/>
        <v>MoetPfalz</v>
      </c>
    </row>
    <row r="760" spans="1:7" ht="12" customHeight="1">
      <c r="A760" s="298">
        <v>36497</v>
      </c>
      <c r="B760" s="299" t="s">
        <v>3511</v>
      </c>
      <c r="C760" s="299">
        <v>50</v>
      </c>
      <c r="D760" s="299">
        <f t="shared" si="25"/>
        <v>12</v>
      </c>
      <c r="E760" s="299">
        <v>35</v>
      </c>
      <c r="F760" s="430" t="s">
        <v>3499</v>
      </c>
      <c r="G760" s="300" t="str">
        <f t="shared" si="26"/>
        <v>MoetPfalz</v>
      </c>
    </row>
    <row r="761" spans="1:7" ht="12" customHeight="1">
      <c r="A761" s="298">
        <v>36503</v>
      </c>
      <c r="B761" s="299" t="s">
        <v>3511</v>
      </c>
      <c r="C761" s="299">
        <v>40</v>
      </c>
      <c r="D761" s="299">
        <f t="shared" si="25"/>
        <v>12</v>
      </c>
      <c r="E761" s="299">
        <v>38</v>
      </c>
      <c r="F761" s="430" t="s">
        <v>3499</v>
      </c>
      <c r="G761" s="300" t="str">
        <f t="shared" si="26"/>
        <v>MoetPfalz</v>
      </c>
    </row>
    <row r="762" spans="1:7" ht="12" customHeight="1">
      <c r="A762" s="298">
        <v>36514</v>
      </c>
      <c r="B762" s="299" t="s">
        <v>3511</v>
      </c>
      <c r="C762" s="299">
        <v>40</v>
      </c>
      <c r="D762" s="299">
        <f t="shared" si="25"/>
        <v>12</v>
      </c>
      <c r="E762" s="299">
        <v>35</v>
      </c>
      <c r="F762" s="430" t="s">
        <v>3499</v>
      </c>
      <c r="G762" s="300" t="str">
        <f t="shared" si="26"/>
        <v>MoetPfalz</v>
      </c>
    </row>
    <row r="763" spans="1:7" ht="12" customHeight="1">
      <c r="A763" s="298">
        <v>36524</v>
      </c>
      <c r="B763" s="299" t="s">
        <v>3511</v>
      </c>
      <c r="C763" s="299">
        <v>60</v>
      </c>
      <c r="D763" s="299">
        <f t="shared" si="25"/>
        <v>12</v>
      </c>
      <c r="E763" s="299">
        <v>35</v>
      </c>
      <c r="F763" s="430" t="s">
        <v>3499</v>
      </c>
      <c r="G763" s="300" t="str">
        <f t="shared" si="26"/>
        <v>MoetPfalz</v>
      </c>
    </row>
    <row r="764" spans="1:7" ht="12" customHeight="1">
      <c r="A764" s="298">
        <v>36200</v>
      </c>
      <c r="B764" s="299" t="s">
        <v>3511</v>
      </c>
      <c r="C764" s="299">
        <v>70</v>
      </c>
      <c r="D764" s="299">
        <f t="shared" si="25"/>
        <v>2</v>
      </c>
      <c r="E764" s="299">
        <v>42</v>
      </c>
      <c r="F764" s="430" t="s">
        <v>3500</v>
      </c>
      <c r="G764" s="300" t="str">
        <f t="shared" si="26"/>
        <v>MoetSaarland</v>
      </c>
    </row>
    <row r="765" spans="1:7" ht="12" customHeight="1">
      <c r="A765" s="298">
        <v>36205</v>
      </c>
      <c r="B765" s="299" t="s">
        <v>3511</v>
      </c>
      <c r="C765" s="299">
        <v>40</v>
      </c>
      <c r="D765" s="299">
        <f t="shared" si="25"/>
        <v>2</v>
      </c>
      <c r="E765" s="299">
        <v>35</v>
      </c>
      <c r="F765" s="430" t="s">
        <v>3500</v>
      </c>
      <c r="G765" s="300" t="str">
        <f t="shared" si="26"/>
        <v>MoetSaarland</v>
      </c>
    </row>
    <row r="766" spans="1:7" ht="12" customHeight="1">
      <c r="A766" s="298">
        <v>36216</v>
      </c>
      <c r="B766" s="299" t="s">
        <v>3511</v>
      </c>
      <c r="C766" s="299">
        <v>120</v>
      </c>
      <c r="D766" s="299">
        <f t="shared" si="25"/>
        <v>2</v>
      </c>
      <c r="E766" s="299">
        <v>35</v>
      </c>
      <c r="F766" s="430" t="s">
        <v>3500</v>
      </c>
      <c r="G766" s="300" t="str">
        <f t="shared" si="26"/>
        <v>MoetSaarland</v>
      </c>
    </row>
    <row r="767" spans="1:7" ht="12" customHeight="1">
      <c r="A767" s="298">
        <v>36219</v>
      </c>
      <c r="B767" s="299" t="s">
        <v>3511</v>
      </c>
      <c r="C767" s="299">
        <v>30</v>
      </c>
      <c r="D767" s="299">
        <f t="shared" si="25"/>
        <v>2</v>
      </c>
      <c r="E767" s="299">
        <v>35</v>
      </c>
      <c r="F767" s="430" t="s">
        <v>3500</v>
      </c>
      <c r="G767" s="300" t="str">
        <f t="shared" si="26"/>
        <v>MoetSaarland</v>
      </c>
    </row>
    <row r="768" spans="1:7" ht="12" customHeight="1">
      <c r="A768" s="298">
        <v>36220</v>
      </c>
      <c r="B768" s="299" t="s">
        <v>3511</v>
      </c>
      <c r="C768" s="299">
        <v>10</v>
      </c>
      <c r="D768" s="299">
        <f t="shared" si="25"/>
        <v>3</v>
      </c>
      <c r="E768" s="299">
        <v>37</v>
      </c>
      <c r="F768" s="430" t="s">
        <v>3500</v>
      </c>
      <c r="G768" s="300" t="str">
        <f t="shared" si="26"/>
        <v>MoetSaarland</v>
      </c>
    </row>
    <row r="769" spans="1:7" ht="12" customHeight="1">
      <c r="A769" s="298">
        <v>36266</v>
      </c>
      <c r="B769" s="299" t="s">
        <v>3511</v>
      </c>
      <c r="C769" s="299">
        <v>10</v>
      </c>
      <c r="D769" s="299">
        <f t="shared" si="25"/>
        <v>4</v>
      </c>
      <c r="E769" s="299">
        <v>44</v>
      </c>
      <c r="F769" s="430" t="s">
        <v>3500</v>
      </c>
      <c r="G769" s="300" t="str">
        <f t="shared" si="26"/>
        <v>MoetSaarland</v>
      </c>
    </row>
    <row r="770" spans="1:7" ht="12" customHeight="1">
      <c r="A770" s="298">
        <v>36270</v>
      </c>
      <c r="B770" s="299" t="s">
        <v>3511</v>
      </c>
      <c r="C770" s="299">
        <v>10</v>
      </c>
      <c r="D770" s="299">
        <f t="shared" si="25"/>
        <v>4</v>
      </c>
      <c r="E770" s="299">
        <v>35</v>
      </c>
      <c r="F770" s="430" t="s">
        <v>3500</v>
      </c>
      <c r="G770" s="300" t="str">
        <f t="shared" si="26"/>
        <v>MoetSaarland</v>
      </c>
    </row>
    <row r="771" spans="1:7" ht="12" customHeight="1">
      <c r="A771" s="298">
        <v>36273</v>
      </c>
      <c r="B771" s="299" t="s">
        <v>3511</v>
      </c>
      <c r="C771" s="299">
        <v>120</v>
      </c>
      <c r="D771" s="299">
        <f t="shared" si="25"/>
        <v>4</v>
      </c>
      <c r="E771" s="299">
        <v>44</v>
      </c>
      <c r="F771" s="430" t="s">
        <v>3500</v>
      </c>
      <c r="G771" s="300" t="str">
        <f t="shared" si="26"/>
        <v>MoetSaarland</v>
      </c>
    </row>
    <row r="772" spans="1:7" ht="12" customHeight="1">
      <c r="A772" s="298">
        <v>36281</v>
      </c>
      <c r="B772" s="299" t="s">
        <v>3511</v>
      </c>
      <c r="C772" s="299">
        <v>80</v>
      </c>
      <c r="D772" s="299">
        <f t="shared" si="25"/>
        <v>5</v>
      </c>
      <c r="E772" s="299">
        <v>37</v>
      </c>
      <c r="F772" s="430" t="s">
        <v>3500</v>
      </c>
      <c r="G772" s="300" t="str">
        <f t="shared" si="26"/>
        <v>MoetSaarland</v>
      </c>
    </row>
    <row r="773" spans="1:7" ht="12" customHeight="1">
      <c r="A773" s="298">
        <v>36295</v>
      </c>
      <c r="B773" s="299" t="s">
        <v>3511</v>
      </c>
      <c r="C773" s="299">
        <v>120</v>
      </c>
      <c r="D773" s="299">
        <f t="shared" si="25"/>
        <v>5</v>
      </c>
      <c r="E773" s="299">
        <v>37</v>
      </c>
      <c r="F773" s="430" t="s">
        <v>3500</v>
      </c>
      <c r="G773" s="300" t="str">
        <f t="shared" si="26"/>
        <v>MoetSaarland</v>
      </c>
    </row>
    <row r="774" spans="1:7" ht="12" customHeight="1">
      <c r="A774" s="298">
        <v>36299</v>
      </c>
      <c r="B774" s="299" t="s">
        <v>3511</v>
      </c>
      <c r="C774" s="299">
        <v>20</v>
      </c>
      <c r="D774" s="299">
        <f t="shared" ref="D774:D837" si="27">MONTH(A774)</f>
        <v>5</v>
      </c>
      <c r="E774" s="299">
        <v>37</v>
      </c>
      <c r="F774" s="430" t="s">
        <v>3500</v>
      </c>
      <c r="G774" s="300" t="str">
        <f t="shared" ref="G774:G837" si="28">B774&amp;F774</f>
        <v>MoetSaarland</v>
      </c>
    </row>
    <row r="775" spans="1:7" ht="12" customHeight="1">
      <c r="A775" s="298">
        <v>36335</v>
      </c>
      <c r="B775" s="299" t="s">
        <v>3511</v>
      </c>
      <c r="C775" s="299">
        <v>10</v>
      </c>
      <c r="D775" s="299">
        <f t="shared" si="27"/>
        <v>6</v>
      </c>
      <c r="E775" s="299">
        <v>44</v>
      </c>
      <c r="F775" s="430" t="s">
        <v>3500</v>
      </c>
      <c r="G775" s="300" t="str">
        <f t="shared" si="28"/>
        <v>MoetSaarland</v>
      </c>
    </row>
    <row r="776" spans="1:7" ht="12" customHeight="1">
      <c r="A776" s="298">
        <v>36349</v>
      </c>
      <c r="B776" s="299" t="s">
        <v>3511</v>
      </c>
      <c r="C776" s="299">
        <v>100</v>
      </c>
      <c r="D776" s="299">
        <f t="shared" si="27"/>
        <v>7</v>
      </c>
      <c r="E776" s="299">
        <v>44</v>
      </c>
      <c r="F776" s="430" t="s">
        <v>3500</v>
      </c>
      <c r="G776" s="300" t="str">
        <f t="shared" si="28"/>
        <v>MoetSaarland</v>
      </c>
    </row>
    <row r="777" spans="1:7" ht="12" customHeight="1">
      <c r="A777" s="298">
        <v>36361</v>
      </c>
      <c r="B777" s="299" t="s">
        <v>3511</v>
      </c>
      <c r="C777" s="299">
        <v>90</v>
      </c>
      <c r="D777" s="299">
        <f t="shared" si="27"/>
        <v>7</v>
      </c>
      <c r="E777" s="299">
        <v>38</v>
      </c>
      <c r="F777" s="430" t="s">
        <v>3500</v>
      </c>
      <c r="G777" s="300" t="str">
        <f t="shared" si="28"/>
        <v>MoetSaarland</v>
      </c>
    </row>
    <row r="778" spans="1:7" ht="12" customHeight="1">
      <c r="A778" s="298">
        <v>36369</v>
      </c>
      <c r="B778" s="299" t="s">
        <v>3511</v>
      </c>
      <c r="C778" s="299">
        <v>40</v>
      </c>
      <c r="D778" s="299">
        <f t="shared" si="27"/>
        <v>7</v>
      </c>
      <c r="E778" s="299">
        <v>37</v>
      </c>
      <c r="F778" s="430" t="s">
        <v>3500</v>
      </c>
      <c r="G778" s="300" t="str">
        <f t="shared" si="28"/>
        <v>MoetSaarland</v>
      </c>
    </row>
    <row r="779" spans="1:7" ht="12" customHeight="1">
      <c r="A779" s="298">
        <v>36377</v>
      </c>
      <c r="B779" s="299" t="s">
        <v>3511</v>
      </c>
      <c r="C779" s="299">
        <v>40</v>
      </c>
      <c r="D779" s="299">
        <f t="shared" si="27"/>
        <v>8</v>
      </c>
      <c r="E779" s="299">
        <v>43</v>
      </c>
      <c r="F779" s="430" t="s">
        <v>3500</v>
      </c>
      <c r="G779" s="300" t="str">
        <f t="shared" si="28"/>
        <v>MoetSaarland</v>
      </c>
    </row>
    <row r="780" spans="1:7" ht="12" customHeight="1">
      <c r="A780" s="298">
        <v>36383</v>
      </c>
      <c r="B780" s="299" t="s">
        <v>3511</v>
      </c>
      <c r="C780" s="299">
        <v>120</v>
      </c>
      <c r="D780" s="299">
        <f t="shared" si="27"/>
        <v>8</v>
      </c>
      <c r="E780" s="299">
        <v>43</v>
      </c>
      <c r="F780" s="430" t="s">
        <v>3500</v>
      </c>
      <c r="G780" s="300" t="str">
        <f t="shared" si="28"/>
        <v>MoetSaarland</v>
      </c>
    </row>
    <row r="781" spans="1:7" ht="12" customHeight="1">
      <c r="A781" s="298">
        <v>36389</v>
      </c>
      <c r="B781" s="299" t="s">
        <v>3511</v>
      </c>
      <c r="C781" s="299">
        <v>100</v>
      </c>
      <c r="D781" s="299">
        <f t="shared" si="27"/>
        <v>8</v>
      </c>
      <c r="E781" s="299">
        <v>37</v>
      </c>
      <c r="F781" s="430" t="s">
        <v>3500</v>
      </c>
      <c r="G781" s="300" t="str">
        <f t="shared" si="28"/>
        <v>MoetSaarland</v>
      </c>
    </row>
    <row r="782" spans="1:7" ht="12" customHeight="1">
      <c r="A782" s="298">
        <v>36390</v>
      </c>
      <c r="B782" s="299" t="s">
        <v>3511</v>
      </c>
      <c r="C782" s="299">
        <v>80</v>
      </c>
      <c r="D782" s="299">
        <f t="shared" si="27"/>
        <v>8</v>
      </c>
      <c r="E782" s="299">
        <v>37</v>
      </c>
      <c r="F782" s="430" t="s">
        <v>3500</v>
      </c>
      <c r="G782" s="300" t="str">
        <f t="shared" si="28"/>
        <v>MoetSaarland</v>
      </c>
    </row>
    <row r="783" spans="1:7" ht="12" customHeight="1">
      <c r="A783" s="298">
        <v>36401</v>
      </c>
      <c r="B783" s="299" t="s">
        <v>3511</v>
      </c>
      <c r="C783" s="299">
        <v>50</v>
      </c>
      <c r="D783" s="299">
        <f t="shared" si="27"/>
        <v>8</v>
      </c>
      <c r="E783" s="299">
        <v>37</v>
      </c>
      <c r="F783" s="430" t="s">
        <v>3500</v>
      </c>
      <c r="G783" s="300" t="str">
        <f t="shared" si="28"/>
        <v>MoetSaarland</v>
      </c>
    </row>
    <row r="784" spans="1:7" ht="12" customHeight="1">
      <c r="A784" s="298">
        <v>36417</v>
      </c>
      <c r="B784" s="299" t="s">
        <v>3511</v>
      </c>
      <c r="C784" s="299">
        <v>10</v>
      </c>
      <c r="D784" s="299">
        <f t="shared" si="27"/>
        <v>9</v>
      </c>
      <c r="E784" s="299">
        <v>43</v>
      </c>
      <c r="F784" s="430" t="s">
        <v>3500</v>
      </c>
      <c r="G784" s="300" t="str">
        <f t="shared" si="28"/>
        <v>MoetSaarland</v>
      </c>
    </row>
    <row r="785" spans="1:7" ht="12" customHeight="1">
      <c r="A785" s="298">
        <v>36423</v>
      </c>
      <c r="B785" s="299" t="s">
        <v>3511</v>
      </c>
      <c r="C785" s="299">
        <v>60</v>
      </c>
      <c r="D785" s="299">
        <f t="shared" si="27"/>
        <v>9</v>
      </c>
      <c r="E785" s="299">
        <v>37</v>
      </c>
      <c r="F785" s="430" t="s">
        <v>3500</v>
      </c>
      <c r="G785" s="300" t="str">
        <f t="shared" si="28"/>
        <v>MoetSaarland</v>
      </c>
    </row>
    <row r="786" spans="1:7" ht="12" customHeight="1">
      <c r="A786" s="298">
        <v>36429</v>
      </c>
      <c r="B786" s="299" t="s">
        <v>3511</v>
      </c>
      <c r="C786" s="299">
        <v>120</v>
      </c>
      <c r="D786" s="299">
        <f t="shared" si="27"/>
        <v>9</v>
      </c>
      <c r="E786" s="299">
        <v>43</v>
      </c>
      <c r="F786" s="430" t="s">
        <v>3500</v>
      </c>
      <c r="G786" s="300" t="str">
        <f t="shared" si="28"/>
        <v>MoetSaarland</v>
      </c>
    </row>
    <row r="787" spans="1:7" ht="12" customHeight="1">
      <c r="A787" s="298">
        <v>36468</v>
      </c>
      <c r="B787" s="299" t="s">
        <v>3511</v>
      </c>
      <c r="C787" s="299">
        <v>120</v>
      </c>
      <c r="D787" s="299">
        <f t="shared" si="27"/>
        <v>11</v>
      </c>
      <c r="E787" s="299">
        <v>37</v>
      </c>
      <c r="F787" s="430" t="s">
        <v>3500</v>
      </c>
      <c r="G787" s="300" t="str">
        <f t="shared" si="28"/>
        <v>MoetSaarland</v>
      </c>
    </row>
    <row r="788" spans="1:7" ht="12" customHeight="1">
      <c r="A788" s="298">
        <v>36516</v>
      </c>
      <c r="B788" s="299" t="s">
        <v>3511</v>
      </c>
      <c r="C788" s="299">
        <v>160</v>
      </c>
      <c r="D788" s="299">
        <f t="shared" si="27"/>
        <v>12</v>
      </c>
      <c r="E788" s="299">
        <v>43</v>
      </c>
      <c r="F788" s="430" t="s">
        <v>3500</v>
      </c>
      <c r="G788" s="300" t="str">
        <f t="shared" si="28"/>
        <v>MoetSaarland</v>
      </c>
    </row>
    <row r="789" spans="1:7" ht="12" customHeight="1">
      <c r="A789" s="298">
        <v>36209</v>
      </c>
      <c r="B789" s="299" t="s">
        <v>3512</v>
      </c>
      <c r="C789" s="299">
        <v>10</v>
      </c>
      <c r="D789" s="299">
        <f t="shared" si="27"/>
        <v>2</v>
      </c>
      <c r="E789" s="299">
        <v>38</v>
      </c>
      <c r="F789" s="430" t="s">
        <v>3504</v>
      </c>
      <c r="G789" s="300" t="str">
        <f t="shared" si="28"/>
        <v>MummBayern</v>
      </c>
    </row>
    <row r="790" spans="1:7" ht="12" customHeight="1">
      <c r="A790" s="298">
        <v>36259</v>
      </c>
      <c r="B790" s="299" t="s">
        <v>3512</v>
      </c>
      <c r="C790" s="299">
        <v>80</v>
      </c>
      <c r="D790" s="299">
        <f t="shared" si="27"/>
        <v>4</v>
      </c>
      <c r="E790" s="299">
        <v>37</v>
      </c>
      <c r="F790" s="430" t="s">
        <v>3504</v>
      </c>
      <c r="G790" s="300" t="str">
        <f t="shared" si="28"/>
        <v>MummBayern</v>
      </c>
    </row>
    <row r="791" spans="1:7" ht="12" customHeight="1">
      <c r="A791" s="298">
        <v>36274</v>
      </c>
      <c r="B791" s="299" t="s">
        <v>3512</v>
      </c>
      <c r="C791" s="299">
        <v>90</v>
      </c>
      <c r="D791" s="299">
        <f t="shared" si="27"/>
        <v>4</v>
      </c>
      <c r="E791" s="299">
        <v>40</v>
      </c>
      <c r="F791" s="430" t="s">
        <v>3504</v>
      </c>
      <c r="G791" s="300" t="str">
        <f t="shared" si="28"/>
        <v>MummBayern</v>
      </c>
    </row>
    <row r="792" spans="1:7" ht="12" customHeight="1">
      <c r="A792" s="298">
        <v>36379</v>
      </c>
      <c r="B792" s="299" t="s">
        <v>3512</v>
      </c>
      <c r="C792" s="299">
        <v>120</v>
      </c>
      <c r="D792" s="299">
        <f t="shared" si="27"/>
        <v>8</v>
      </c>
      <c r="E792" s="299">
        <v>40</v>
      </c>
      <c r="F792" s="430" t="s">
        <v>3504</v>
      </c>
      <c r="G792" s="300" t="str">
        <f t="shared" si="28"/>
        <v>MummBayern</v>
      </c>
    </row>
    <row r="793" spans="1:7" ht="12" customHeight="1">
      <c r="A793" s="298">
        <v>36429</v>
      </c>
      <c r="B793" s="299" t="s">
        <v>3512</v>
      </c>
      <c r="C793" s="299">
        <v>50</v>
      </c>
      <c r="D793" s="299">
        <f t="shared" si="27"/>
        <v>9</v>
      </c>
      <c r="E793" s="299">
        <v>37</v>
      </c>
      <c r="F793" s="430" t="s">
        <v>3504</v>
      </c>
      <c r="G793" s="300" t="str">
        <f t="shared" si="28"/>
        <v>MummBayern</v>
      </c>
    </row>
    <row r="794" spans="1:7" ht="12" customHeight="1">
      <c r="A794" s="298">
        <v>36445</v>
      </c>
      <c r="B794" s="299" t="s">
        <v>3512</v>
      </c>
      <c r="C794" s="299">
        <v>80</v>
      </c>
      <c r="D794" s="299">
        <f t="shared" si="27"/>
        <v>10</v>
      </c>
      <c r="E794" s="299">
        <v>41</v>
      </c>
      <c r="F794" s="430" t="s">
        <v>3504</v>
      </c>
      <c r="G794" s="300" t="str">
        <f t="shared" si="28"/>
        <v>MummBayern</v>
      </c>
    </row>
    <row r="795" spans="1:7" ht="12" customHeight="1">
      <c r="A795" s="298">
        <v>36487</v>
      </c>
      <c r="B795" s="299" t="s">
        <v>3512</v>
      </c>
      <c r="C795" s="299">
        <v>80</v>
      </c>
      <c r="D795" s="299">
        <f t="shared" si="27"/>
        <v>11</v>
      </c>
      <c r="E795" s="299">
        <v>40</v>
      </c>
      <c r="F795" s="430" t="s">
        <v>3504</v>
      </c>
      <c r="G795" s="300" t="str">
        <f t="shared" si="28"/>
        <v>MummBayern</v>
      </c>
    </row>
    <row r="796" spans="1:7" ht="12" customHeight="1">
      <c r="A796" s="298">
        <v>36520</v>
      </c>
      <c r="B796" s="299" t="s">
        <v>3512</v>
      </c>
      <c r="C796" s="299">
        <v>70</v>
      </c>
      <c r="D796" s="299">
        <f t="shared" si="27"/>
        <v>12</v>
      </c>
      <c r="E796" s="299">
        <v>38</v>
      </c>
      <c r="F796" s="430" t="s">
        <v>3504</v>
      </c>
      <c r="G796" s="300" t="str">
        <f t="shared" si="28"/>
        <v>MummBayern</v>
      </c>
    </row>
    <row r="797" spans="1:7" ht="12" customHeight="1">
      <c r="A797" s="298">
        <v>36523</v>
      </c>
      <c r="B797" s="299" t="s">
        <v>3512</v>
      </c>
      <c r="C797" s="299">
        <v>20</v>
      </c>
      <c r="D797" s="299">
        <f t="shared" si="27"/>
        <v>12</v>
      </c>
      <c r="E797" s="299">
        <v>38</v>
      </c>
      <c r="F797" s="430" t="s">
        <v>3504</v>
      </c>
      <c r="G797" s="300" t="str">
        <f t="shared" si="28"/>
        <v>MummBayern</v>
      </c>
    </row>
    <row r="798" spans="1:7" ht="12" customHeight="1">
      <c r="A798" s="298">
        <v>36248</v>
      </c>
      <c r="B798" s="299" t="s">
        <v>3512</v>
      </c>
      <c r="C798" s="299">
        <v>10</v>
      </c>
      <c r="D798" s="299">
        <f t="shared" si="27"/>
        <v>3</v>
      </c>
      <c r="E798" s="299">
        <v>39</v>
      </c>
      <c r="F798" s="430" t="s">
        <v>3502</v>
      </c>
      <c r="G798" s="300" t="str">
        <f t="shared" si="28"/>
        <v>MummHessen</v>
      </c>
    </row>
    <row r="799" spans="1:7" ht="12" customHeight="1">
      <c r="A799" s="298">
        <v>36349</v>
      </c>
      <c r="B799" s="299" t="s">
        <v>3512</v>
      </c>
      <c r="C799" s="299">
        <v>120</v>
      </c>
      <c r="D799" s="299">
        <f t="shared" si="27"/>
        <v>7</v>
      </c>
      <c r="E799" s="299">
        <v>38</v>
      </c>
      <c r="F799" s="430" t="s">
        <v>3502</v>
      </c>
      <c r="G799" s="300" t="str">
        <f t="shared" si="28"/>
        <v>MummHessen</v>
      </c>
    </row>
    <row r="800" spans="1:7" ht="12" customHeight="1">
      <c r="A800" s="298">
        <v>36360</v>
      </c>
      <c r="B800" s="299" t="s">
        <v>3512</v>
      </c>
      <c r="C800" s="299">
        <v>120</v>
      </c>
      <c r="D800" s="299">
        <f t="shared" si="27"/>
        <v>7</v>
      </c>
      <c r="E800" s="299">
        <v>38</v>
      </c>
      <c r="F800" s="430" t="s">
        <v>3502</v>
      </c>
      <c r="G800" s="300" t="str">
        <f t="shared" si="28"/>
        <v>MummHessen</v>
      </c>
    </row>
    <row r="801" spans="1:7" ht="12" customHeight="1">
      <c r="A801" s="298">
        <v>36369</v>
      </c>
      <c r="B801" s="299" t="s">
        <v>3512</v>
      </c>
      <c r="C801" s="299">
        <v>120</v>
      </c>
      <c r="D801" s="299">
        <f t="shared" si="27"/>
        <v>7</v>
      </c>
      <c r="E801" s="299">
        <v>37</v>
      </c>
      <c r="F801" s="430" t="s">
        <v>3502</v>
      </c>
      <c r="G801" s="300" t="str">
        <f t="shared" si="28"/>
        <v>MummHessen</v>
      </c>
    </row>
    <row r="802" spans="1:7" ht="12" customHeight="1">
      <c r="A802" s="298">
        <v>36505</v>
      </c>
      <c r="B802" s="299" t="s">
        <v>3512</v>
      </c>
      <c r="C802" s="299">
        <v>60</v>
      </c>
      <c r="D802" s="299">
        <f t="shared" si="27"/>
        <v>12</v>
      </c>
      <c r="E802" s="299">
        <v>37</v>
      </c>
      <c r="F802" s="430" t="s">
        <v>3502</v>
      </c>
      <c r="G802" s="300" t="str">
        <f t="shared" si="28"/>
        <v>MummHessen</v>
      </c>
    </row>
    <row r="803" spans="1:7" ht="12" customHeight="1">
      <c r="A803" s="298">
        <v>36294</v>
      </c>
      <c r="B803" s="299" t="s">
        <v>3512</v>
      </c>
      <c r="C803" s="299">
        <v>30</v>
      </c>
      <c r="D803" s="299">
        <f t="shared" si="27"/>
        <v>5</v>
      </c>
      <c r="E803" s="299">
        <v>41</v>
      </c>
      <c r="F803" s="430" t="s">
        <v>3503</v>
      </c>
      <c r="G803" s="300" t="str">
        <f t="shared" si="28"/>
        <v>MummHolstein</v>
      </c>
    </row>
    <row r="804" spans="1:7" ht="12" customHeight="1">
      <c r="A804" s="298">
        <v>36397</v>
      </c>
      <c r="B804" s="299" t="s">
        <v>3512</v>
      </c>
      <c r="C804" s="299">
        <v>10</v>
      </c>
      <c r="D804" s="299">
        <f t="shared" si="27"/>
        <v>8</v>
      </c>
      <c r="E804" s="299">
        <v>43</v>
      </c>
      <c r="F804" s="430" t="s">
        <v>3503</v>
      </c>
      <c r="G804" s="300" t="str">
        <f t="shared" si="28"/>
        <v>MummHolstein</v>
      </c>
    </row>
    <row r="805" spans="1:7" ht="12" customHeight="1">
      <c r="A805" s="298">
        <v>36162</v>
      </c>
      <c r="B805" s="299" t="s">
        <v>3512</v>
      </c>
      <c r="C805" s="299">
        <v>120</v>
      </c>
      <c r="D805" s="299">
        <f t="shared" si="27"/>
        <v>1</v>
      </c>
      <c r="E805" s="299">
        <v>36</v>
      </c>
      <c r="F805" s="430" t="s">
        <v>3497</v>
      </c>
      <c r="G805" s="300" t="str">
        <f t="shared" si="28"/>
        <v>MummNRW</v>
      </c>
    </row>
    <row r="806" spans="1:7" ht="12" customHeight="1">
      <c r="A806" s="298">
        <v>36169</v>
      </c>
      <c r="B806" s="299" t="s">
        <v>3512</v>
      </c>
      <c r="C806" s="299">
        <v>80</v>
      </c>
      <c r="D806" s="299">
        <f t="shared" si="27"/>
        <v>1</v>
      </c>
      <c r="E806" s="299">
        <v>41</v>
      </c>
      <c r="F806" s="430" t="s">
        <v>3497</v>
      </c>
      <c r="G806" s="300" t="str">
        <f t="shared" si="28"/>
        <v>MummNRW</v>
      </c>
    </row>
    <row r="807" spans="1:7" ht="12" customHeight="1">
      <c r="A807" s="298">
        <v>36179</v>
      </c>
      <c r="B807" s="299" t="s">
        <v>3512</v>
      </c>
      <c r="C807" s="299">
        <v>60</v>
      </c>
      <c r="D807" s="299">
        <f t="shared" si="27"/>
        <v>1</v>
      </c>
      <c r="E807" s="299">
        <v>38</v>
      </c>
      <c r="F807" s="430" t="s">
        <v>3497</v>
      </c>
      <c r="G807" s="300" t="str">
        <f t="shared" si="28"/>
        <v>MummNRW</v>
      </c>
    </row>
    <row r="808" spans="1:7" ht="12" customHeight="1">
      <c r="A808" s="298">
        <v>36193</v>
      </c>
      <c r="B808" s="299" t="s">
        <v>3512</v>
      </c>
      <c r="C808" s="299">
        <v>80</v>
      </c>
      <c r="D808" s="299">
        <f t="shared" si="27"/>
        <v>2</v>
      </c>
      <c r="E808" s="299">
        <v>38</v>
      </c>
      <c r="F808" s="430" t="s">
        <v>3497</v>
      </c>
      <c r="G808" s="300" t="str">
        <f t="shared" si="28"/>
        <v>MummNRW</v>
      </c>
    </row>
    <row r="809" spans="1:7" ht="12" customHeight="1">
      <c r="A809" s="298">
        <v>36196</v>
      </c>
      <c r="B809" s="299" t="s">
        <v>3512</v>
      </c>
      <c r="C809" s="299">
        <v>70</v>
      </c>
      <c r="D809" s="299">
        <f t="shared" si="27"/>
        <v>2</v>
      </c>
      <c r="E809" s="299">
        <v>43</v>
      </c>
      <c r="F809" s="430" t="s">
        <v>3497</v>
      </c>
      <c r="G809" s="300" t="str">
        <f t="shared" si="28"/>
        <v>MummNRW</v>
      </c>
    </row>
    <row r="810" spans="1:7" ht="12" customHeight="1">
      <c r="A810" s="298">
        <v>36199</v>
      </c>
      <c r="B810" s="299" t="s">
        <v>3512</v>
      </c>
      <c r="C810" s="299">
        <v>70</v>
      </c>
      <c r="D810" s="299">
        <f t="shared" si="27"/>
        <v>2</v>
      </c>
      <c r="E810" s="299">
        <v>41</v>
      </c>
      <c r="F810" s="430" t="s">
        <v>3497</v>
      </c>
      <c r="G810" s="300" t="str">
        <f t="shared" si="28"/>
        <v>MummNRW</v>
      </c>
    </row>
    <row r="811" spans="1:7" ht="12" customHeight="1">
      <c r="A811" s="298">
        <v>36204</v>
      </c>
      <c r="B811" s="299" t="s">
        <v>3512</v>
      </c>
      <c r="C811" s="299">
        <v>50</v>
      </c>
      <c r="D811" s="299">
        <f t="shared" si="27"/>
        <v>2</v>
      </c>
      <c r="E811" s="299">
        <v>43</v>
      </c>
      <c r="F811" s="430" t="s">
        <v>3497</v>
      </c>
      <c r="G811" s="300" t="str">
        <f t="shared" si="28"/>
        <v>MummNRW</v>
      </c>
    </row>
    <row r="812" spans="1:7" ht="12" customHeight="1">
      <c r="A812" s="298">
        <v>36211</v>
      </c>
      <c r="B812" s="299" t="s">
        <v>3512</v>
      </c>
      <c r="C812" s="299">
        <v>30</v>
      </c>
      <c r="D812" s="299">
        <f t="shared" si="27"/>
        <v>2</v>
      </c>
      <c r="E812" s="299">
        <v>38</v>
      </c>
      <c r="F812" s="430" t="s">
        <v>3497</v>
      </c>
      <c r="G812" s="300" t="str">
        <f t="shared" si="28"/>
        <v>MummNRW</v>
      </c>
    </row>
    <row r="813" spans="1:7" ht="12" customHeight="1">
      <c r="A813" s="298">
        <v>36211</v>
      </c>
      <c r="B813" s="299" t="s">
        <v>3512</v>
      </c>
      <c r="C813" s="299">
        <v>40</v>
      </c>
      <c r="D813" s="299">
        <f t="shared" si="27"/>
        <v>2</v>
      </c>
      <c r="E813" s="299">
        <v>41</v>
      </c>
      <c r="F813" s="430" t="s">
        <v>3497</v>
      </c>
      <c r="G813" s="300" t="str">
        <f t="shared" si="28"/>
        <v>MummNRW</v>
      </c>
    </row>
    <row r="814" spans="1:7" ht="12" customHeight="1">
      <c r="A814" s="298">
        <v>36214</v>
      </c>
      <c r="B814" s="299" t="s">
        <v>3512</v>
      </c>
      <c r="C814" s="299">
        <v>50</v>
      </c>
      <c r="D814" s="299">
        <f t="shared" si="27"/>
        <v>2</v>
      </c>
      <c r="E814" s="299">
        <v>36</v>
      </c>
      <c r="F814" s="430" t="s">
        <v>3497</v>
      </c>
      <c r="G814" s="300" t="str">
        <f t="shared" si="28"/>
        <v>MummNRW</v>
      </c>
    </row>
    <row r="815" spans="1:7" ht="12" customHeight="1">
      <c r="A815" s="298">
        <v>36214</v>
      </c>
      <c r="B815" s="299" t="s">
        <v>3512</v>
      </c>
      <c r="C815" s="299">
        <v>50</v>
      </c>
      <c r="D815" s="299">
        <f t="shared" si="27"/>
        <v>2</v>
      </c>
      <c r="E815" s="299">
        <v>38</v>
      </c>
      <c r="F815" s="430" t="s">
        <v>3497</v>
      </c>
      <c r="G815" s="300" t="str">
        <f t="shared" si="28"/>
        <v>MummNRW</v>
      </c>
    </row>
    <row r="816" spans="1:7" ht="12" customHeight="1">
      <c r="A816" s="298">
        <v>36217</v>
      </c>
      <c r="B816" s="299" t="s">
        <v>3512</v>
      </c>
      <c r="C816" s="299">
        <v>120</v>
      </c>
      <c r="D816" s="299">
        <f t="shared" si="27"/>
        <v>2</v>
      </c>
      <c r="E816" s="299">
        <v>38</v>
      </c>
      <c r="F816" s="430" t="s">
        <v>3497</v>
      </c>
      <c r="G816" s="300" t="str">
        <f t="shared" si="28"/>
        <v>MummNRW</v>
      </c>
    </row>
    <row r="817" spans="1:7" ht="12" customHeight="1">
      <c r="A817" s="298">
        <v>36225</v>
      </c>
      <c r="B817" s="299" t="s">
        <v>3512</v>
      </c>
      <c r="C817" s="299">
        <v>30</v>
      </c>
      <c r="D817" s="299">
        <f t="shared" si="27"/>
        <v>3</v>
      </c>
      <c r="E817" s="299">
        <v>36</v>
      </c>
      <c r="F817" s="430" t="s">
        <v>3497</v>
      </c>
      <c r="G817" s="300" t="str">
        <f t="shared" si="28"/>
        <v>MummNRW</v>
      </c>
    </row>
    <row r="818" spans="1:7" ht="12" customHeight="1">
      <c r="A818" s="298">
        <v>36239</v>
      </c>
      <c r="B818" s="299" t="s">
        <v>3512</v>
      </c>
      <c r="C818" s="299">
        <v>120</v>
      </c>
      <c r="D818" s="299">
        <f t="shared" si="27"/>
        <v>3</v>
      </c>
      <c r="E818" s="299">
        <v>37</v>
      </c>
      <c r="F818" s="430" t="s">
        <v>3497</v>
      </c>
      <c r="G818" s="300" t="str">
        <f t="shared" si="28"/>
        <v>MummNRW</v>
      </c>
    </row>
    <row r="819" spans="1:7" ht="12" customHeight="1">
      <c r="A819" s="298">
        <v>36245</v>
      </c>
      <c r="B819" s="299" t="s">
        <v>3512</v>
      </c>
      <c r="C819" s="299">
        <v>30</v>
      </c>
      <c r="D819" s="299">
        <f t="shared" si="27"/>
        <v>3</v>
      </c>
      <c r="E819" s="299">
        <v>36</v>
      </c>
      <c r="F819" s="430" t="s">
        <v>3497</v>
      </c>
      <c r="G819" s="300" t="str">
        <f t="shared" si="28"/>
        <v>MummNRW</v>
      </c>
    </row>
    <row r="820" spans="1:7" ht="12" customHeight="1">
      <c r="A820" s="298">
        <v>36252</v>
      </c>
      <c r="B820" s="299" t="s">
        <v>3512</v>
      </c>
      <c r="C820" s="299">
        <v>40</v>
      </c>
      <c r="D820" s="299">
        <f t="shared" si="27"/>
        <v>4</v>
      </c>
      <c r="E820" s="299">
        <v>36</v>
      </c>
      <c r="F820" s="430" t="s">
        <v>3497</v>
      </c>
      <c r="G820" s="300" t="str">
        <f t="shared" si="28"/>
        <v>MummNRW</v>
      </c>
    </row>
    <row r="821" spans="1:7" ht="12" customHeight="1">
      <c r="A821" s="298">
        <v>36254</v>
      </c>
      <c r="B821" s="299" t="s">
        <v>3512</v>
      </c>
      <c r="C821" s="299">
        <v>40</v>
      </c>
      <c r="D821" s="299">
        <f t="shared" si="27"/>
        <v>4</v>
      </c>
      <c r="E821" s="299">
        <v>36</v>
      </c>
      <c r="F821" s="430" t="s">
        <v>3497</v>
      </c>
      <c r="G821" s="300" t="str">
        <f t="shared" si="28"/>
        <v>MummNRW</v>
      </c>
    </row>
    <row r="822" spans="1:7" ht="12" customHeight="1">
      <c r="A822" s="298">
        <v>36256</v>
      </c>
      <c r="B822" s="299" t="s">
        <v>3512</v>
      </c>
      <c r="C822" s="299">
        <v>40</v>
      </c>
      <c r="D822" s="299">
        <f t="shared" si="27"/>
        <v>4</v>
      </c>
      <c r="E822" s="299">
        <v>42</v>
      </c>
      <c r="F822" s="430" t="s">
        <v>3497</v>
      </c>
      <c r="G822" s="300" t="str">
        <f t="shared" si="28"/>
        <v>MummNRW</v>
      </c>
    </row>
    <row r="823" spans="1:7" ht="12" customHeight="1">
      <c r="A823" s="298">
        <v>36256</v>
      </c>
      <c r="B823" s="299" t="s">
        <v>3512</v>
      </c>
      <c r="C823" s="299">
        <v>50</v>
      </c>
      <c r="D823" s="299">
        <f t="shared" si="27"/>
        <v>4</v>
      </c>
      <c r="E823" s="299">
        <v>43</v>
      </c>
      <c r="F823" s="430" t="s">
        <v>3497</v>
      </c>
      <c r="G823" s="300" t="str">
        <f t="shared" si="28"/>
        <v>MummNRW</v>
      </c>
    </row>
    <row r="824" spans="1:7" ht="12" customHeight="1">
      <c r="A824" s="298">
        <v>36258</v>
      </c>
      <c r="B824" s="299" t="s">
        <v>3512</v>
      </c>
      <c r="C824" s="299">
        <v>80</v>
      </c>
      <c r="D824" s="299">
        <f t="shared" si="27"/>
        <v>4</v>
      </c>
      <c r="E824" s="299">
        <v>39</v>
      </c>
      <c r="F824" s="430" t="s">
        <v>3497</v>
      </c>
      <c r="G824" s="300" t="str">
        <f t="shared" si="28"/>
        <v>MummNRW</v>
      </c>
    </row>
    <row r="825" spans="1:7" ht="12" customHeight="1">
      <c r="A825" s="298">
        <v>36260</v>
      </c>
      <c r="B825" s="299" t="s">
        <v>3512</v>
      </c>
      <c r="C825" s="299">
        <v>50</v>
      </c>
      <c r="D825" s="299">
        <f t="shared" si="27"/>
        <v>4</v>
      </c>
      <c r="E825" s="299">
        <v>36</v>
      </c>
      <c r="F825" s="430" t="s">
        <v>3497</v>
      </c>
      <c r="G825" s="300" t="str">
        <f t="shared" si="28"/>
        <v>MummNRW</v>
      </c>
    </row>
    <row r="826" spans="1:7" ht="12" customHeight="1">
      <c r="A826" s="298">
        <v>36262</v>
      </c>
      <c r="B826" s="299" t="s">
        <v>3512</v>
      </c>
      <c r="C826" s="299">
        <v>50</v>
      </c>
      <c r="D826" s="299">
        <f t="shared" si="27"/>
        <v>4</v>
      </c>
      <c r="E826" s="299">
        <v>37</v>
      </c>
      <c r="F826" s="430" t="s">
        <v>3497</v>
      </c>
      <c r="G826" s="300" t="str">
        <f t="shared" si="28"/>
        <v>MummNRW</v>
      </c>
    </row>
    <row r="827" spans="1:7" ht="12" customHeight="1">
      <c r="A827" s="298">
        <v>36263</v>
      </c>
      <c r="B827" s="299" t="s">
        <v>3512</v>
      </c>
      <c r="C827" s="299">
        <v>80</v>
      </c>
      <c r="D827" s="299">
        <f t="shared" si="27"/>
        <v>4</v>
      </c>
      <c r="E827" s="299">
        <v>42</v>
      </c>
      <c r="F827" s="430" t="s">
        <v>3497</v>
      </c>
      <c r="G827" s="300" t="str">
        <f t="shared" si="28"/>
        <v>MummNRW</v>
      </c>
    </row>
    <row r="828" spans="1:7" ht="12" customHeight="1">
      <c r="A828" s="298">
        <v>36273</v>
      </c>
      <c r="B828" s="299" t="s">
        <v>3512</v>
      </c>
      <c r="C828" s="299">
        <v>100</v>
      </c>
      <c r="D828" s="299">
        <f t="shared" si="27"/>
        <v>4</v>
      </c>
      <c r="E828" s="299">
        <v>37</v>
      </c>
      <c r="F828" s="430" t="s">
        <v>3497</v>
      </c>
      <c r="G828" s="300" t="str">
        <f t="shared" si="28"/>
        <v>MummNRW</v>
      </c>
    </row>
    <row r="829" spans="1:7" ht="12" customHeight="1">
      <c r="A829" s="298">
        <v>36275</v>
      </c>
      <c r="B829" s="299" t="s">
        <v>3512</v>
      </c>
      <c r="C829" s="299">
        <v>50</v>
      </c>
      <c r="D829" s="299">
        <f t="shared" si="27"/>
        <v>4</v>
      </c>
      <c r="E829" s="299">
        <v>42</v>
      </c>
      <c r="F829" s="430" t="s">
        <v>3497</v>
      </c>
      <c r="G829" s="300" t="str">
        <f t="shared" si="28"/>
        <v>MummNRW</v>
      </c>
    </row>
    <row r="830" spans="1:7" ht="12" customHeight="1">
      <c r="A830" s="298">
        <v>36282</v>
      </c>
      <c r="B830" s="299" t="s">
        <v>3512</v>
      </c>
      <c r="C830" s="299">
        <v>50</v>
      </c>
      <c r="D830" s="299">
        <f t="shared" si="27"/>
        <v>5</v>
      </c>
      <c r="E830" s="299">
        <v>35</v>
      </c>
      <c r="F830" s="430" t="s">
        <v>3497</v>
      </c>
      <c r="G830" s="300" t="str">
        <f t="shared" si="28"/>
        <v>MummNRW</v>
      </c>
    </row>
    <row r="831" spans="1:7" ht="12" customHeight="1">
      <c r="A831" s="298">
        <v>36285</v>
      </c>
      <c r="B831" s="299" t="s">
        <v>3512</v>
      </c>
      <c r="C831" s="299">
        <v>40</v>
      </c>
      <c r="D831" s="299">
        <f t="shared" si="27"/>
        <v>5</v>
      </c>
      <c r="E831" s="299">
        <v>41</v>
      </c>
      <c r="F831" s="430" t="s">
        <v>3497</v>
      </c>
      <c r="G831" s="300" t="str">
        <f t="shared" si="28"/>
        <v>MummNRW</v>
      </c>
    </row>
    <row r="832" spans="1:7" ht="12" customHeight="1">
      <c r="A832" s="298">
        <v>36286</v>
      </c>
      <c r="B832" s="299" t="s">
        <v>3512</v>
      </c>
      <c r="C832" s="299">
        <v>10</v>
      </c>
      <c r="D832" s="299">
        <f t="shared" si="27"/>
        <v>5</v>
      </c>
      <c r="E832" s="299">
        <v>41</v>
      </c>
      <c r="F832" s="430" t="s">
        <v>3497</v>
      </c>
      <c r="G832" s="300" t="str">
        <f t="shared" si="28"/>
        <v>MummNRW</v>
      </c>
    </row>
    <row r="833" spans="1:7" ht="12" customHeight="1">
      <c r="A833" s="298">
        <v>36287</v>
      </c>
      <c r="B833" s="299" t="s">
        <v>3512</v>
      </c>
      <c r="C833" s="299">
        <v>100</v>
      </c>
      <c r="D833" s="299">
        <f t="shared" si="27"/>
        <v>5</v>
      </c>
      <c r="E833" s="299">
        <v>43</v>
      </c>
      <c r="F833" s="430" t="s">
        <v>3497</v>
      </c>
      <c r="G833" s="300" t="str">
        <f t="shared" si="28"/>
        <v>MummNRW</v>
      </c>
    </row>
    <row r="834" spans="1:7" ht="12" customHeight="1">
      <c r="A834" s="298">
        <v>36298</v>
      </c>
      <c r="B834" s="299" t="s">
        <v>3512</v>
      </c>
      <c r="C834" s="299">
        <v>120</v>
      </c>
      <c r="D834" s="299">
        <f t="shared" si="27"/>
        <v>5</v>
      </c>
      <c r="E834" s="299">
        <v>42</v>
      </c>
      <c r="F834" s="430" t="s">
        <v>3497</v>
      </c>
      <c r="G834" s="300" t="str">
        <f t="shared" si="28"/>
        <v>MummNRW</v>
      </c>
    </row>
    <row r="835" spans="1:7" ht="12" customHeight="1">
      <c r="A835" s="298">
        <v>36298</v>
      </c>
      <c r="B835" s="299" t="s">
        <v>3512</v>
      </c>
      <c r="C835" s="299">
        <v>80</v>
      </c>
      <c r="D835" s="299">
        <f t="shared" si="27"/>
        <v>5</v>
      </c>
      <c r="E835" s="299">
        <v>43</v>
      </c>
      <c r="F835" s="430" t="s">
        <v>3497</v>
      </c>
      <c r="G835" s="300" t="str">
        <f t="shared" si="28"/>
        <v>MummNRW</v>
      </c>
    </row>
    <row r="836" spans="1:7" ht="12" customHeight="1">
      <c r="A836" s="298">
        <v>36299</v>
      </c>
      <c r="B836" s="299" t="s">
        <v>3512</v>
      </c>
      <c r="C836" s="299">
        <v>100</v>
      </c>
      <c r="D836" s="299">
        <f t="shared" si="27"/>
        <v>5</v>
      </c>
      <c r="E836" s="299">
        <v>37</v>
      </c>
      <c r="F836" s="430" t="s">
        <v>3497</v>
      </c>
      <c r="G836" s="300" t="str">
        <f t="shared" si="28"/>
        <v>MummNRW</v>
      </c>
    </row>
    <row r="837" spans="1:7" ht="12" customHeight="1">
      <c r="A837" s="298">
        <v>36301</v>
      </c>
      <c r="B837" s="299" t="s">
        <v>3512</v>
      </c>
      <c r="C837" s="299">
        <v>80</v>
      </c>
      <c r="D837" s="299">
        <f t="shared" si="27"/>
        <v>5</v>
      </c>
      <c r="E837" s="299">
        <v>35</v>
      </c>
      <c r="F837" s="430" t="s">
        <v>3497</v>
      </c>
      <c r="G837" s="300" t="str">
        <f t="shared" si="28"/>
        <v>MummNRW</v>
      </c>
    </row>
    <row r="838" spans="1:7" ht="12" customHeight="1">
      <c r="A838" s="298">
        <v>36301</v>
      </c>
      <c r="B838" s="299" t="s">
        <v>3512</v>
      </c>
      <c r="C838" s="299">
        <v>50</v>
      </c>
      <c r="D838" s="299">
        <f t="shared" ref="D838:D901" si="29">MONTH(A838)</f>
        <v>5</v>
      </c>
      <c r="E838" s="299">
        <v>43</v>
      </c>
      <c r="F838" s="430" t="s">
        <v>3497</v>
      </c>
      <c r="G838" s="300" t="str">
        <f t="shared" ref="G838:G901" si="30">B838&amp;F838</f>
        <v>MummNRW</v>
      </c>
    </row>
    <row r="839" spans="1:7" ht="12" customHeight="1">
      <c r="A839" s="298">
        <v>36303</v>
      </c>
      <c r="B839" s="299" t="s">
        <v>3512</v>
      </c>
      <c r="C839" s="299">
        <v>50</v>
      </c>
      <c r="D839" s="299">
        <f t="shared" si="29"/>
        <v>5</v>
      </c>
      <c r="E839" s="299">
        <v>37</v>
      </c>
      <c r="F839" s="430" t="s">
        <v>3497</v>
      </c>
      <c r="G839" s="300" t="str">
        <f t="shared" si="30"/>
        <v>MummNRW</v>
      </c>
    </row>
    <row r="840" spans="1:7" ht="12" customHeight="1">
      <c r="A840" s="298">
        <v>36307</v>
      </c>
      <c r="B840" s="299" t="s">
        <v>3512</v>
      </c>
      <c r="C840" s="299">
        <v>10</v>
      </c>
      <c r="D840" s="299">
        <f t="shared" si="29"/>
        <v>5</v>
      </c>
      <c r="E840" s="299">
        <v>43</v>
      </c>
      <c r="F840" s="430" t="s">
        <v>3497</v>
      </c>
      <c r="G840" s="300" t="str">
        <f t="shared" si="30"/>
        <v>MummNRW</v>
      </c>
    </row>
    <row r="841" spans="1:7" ht="12" customHeight="1">
      <c r="A841" s="298">
        <v>36308</v>
      </c>
      <c r="B841" s="299" t="s">
        <v>3512</v>
      </c>
      <c r="C841" s="299">
        <v>50</v>
      </c>
      <c r="D841" s="299">
        <f t="shared" si="29"/>
        <v>5</v>
      </c>
      <c r="E841" s="299">
        <v>37</v>
      </c>
      <c r="F841" s="430" t="s">
        <v>3497</v>
      </c>
      <c r="G841" s="300" t="str">
        <f t="shared" si="30"/>
        <v>MummNRW</v>
      </c>
    </row>
    <row r="842" spans="1:7" ht="12" customHeight="1">
      <c r="A842" s="298">
        <v>36309</v>
      </c>
      <c r="B842" s="299" t="s">
        <v>3512</v>
      </c>
      <c r="C842" s="299">
        <v>10</v>
      </c>
      <c r="D842" s="299">
        <f t="shared" si="29"/>
        <v>5</v>
      </c>
      <c r="E842" s="299">
        <v>37</v>
      </c>
      <c r="F842" s="430" t="s">
        <v>3497</v>
      </c>
      <c r="G842" s="300" t="str">
        <f t="shared" si="30"/>
        <v>MummNRW</v>
      </c>
    </row>
    <row r="843" spans="1:7" ht="12" customHeight="1">
      <c r="A843" s="298">
        <v>36312</v>
      </c>
      <c r="B843" s="299" t="s">
        <v>3512</v>
      </c>
      <c r="C843" s="299">
        <v>40</v>
      </c>
      <c r="D843" s="299">
        <f t="shared" si="29"/>
        <v>6</v>
      </c>
      <c r="E843" s="299">
        <v>42</v>
      </c>
      <c r="F843" s="430" t="s">
        <v>3497</v>
      </c>
      <c r="G843" s="300" t="str">
        <f t="shared" si="30"/>
        <v>MummNRW</v>
      </c>
    </row>
    <row r="844" spans="1:7" ht="12" customHeight="1">
      <c r="A844" s="298">
        <v>36316</v>
      </c>
      <c r="B844" s="299" t="s">
        <v>3512</v>
      </c>
      <c r="C844" s="299">
        <v>80</v>
      </c>
      <c r="D844" s="299">
        <f t="shared" si="29"/>
        <v>6</v>
      </c>
      <c r="E844" s="299">
        <v>43</v>
      </c>
      <c r="F844" s="430" t="s">
        <v>3497</v>
      </c>
      <c r="G844" s="300" t="str">
        <f t="shared" si="30"/>
        <v>MummNRW</v>
      </c>
    </row>
    <row r="845" spans="1:7" ht="12" customHeight="1">
      <c r="A845" s="298">
        <v>36319</v>
      </c>
      <c r="B845" s="299" t="s">
        <v>3512</v>
      </c>
      <c r="C845" s="299">
        <v>50</v>
      </c>
      <c r="D845" s="299">
        <f t="shared" si="29"/>
        <v>6</v>
      </c>
      <c r="E845" s="299">
        <v>43</v>
      </c>
      <c r="F845" s="430" t="s">
        <v>3497</v>
      </c>
      <c r="G845" s="300" t="str">
        <f t="shared" si="30"/>
        <v>MummNRW</v>
      </c>
    </row>
    <row r="846" spans="1:7" ht="12" customHeight="1">
      <c r="A846" s="298">
        <v>36320</v>
      </c>
      <c r="B846" s="299" t="s">
        <v>3512</v>
      </c>
      <c r="C846" s="299">
        <v>20</v>
      </c>
      <c r="D846" s="299">
        <f t="shared" si="29"/>
        <v>6</v>
      </c>
      <c r="E846" s="299">
        <v>36</v>
      </c>
      <c r="F846" s="430" t="s">
        <v>3497</v>
      </c>
      <c r="G846" s="300" t="str">
        <f t="shared" si="30"/>
        <v>MummNRW</v>
      </c>
    </row>
    <row r="847" spans="1:7" ht="12" customHeight="1">
      <c r="A847" s="298">
        <v>36321</v>
      </c>
      <c r="B847" s="299" t="s">
        <v>3512</v>
      </c>
      <c r="C847" s="299">
        <v>40</v>
      </c>
      <c r="D847" s="299">
        <f t="shared" si="29"/>
        <v>6</v>
      </c>
      <c r="E847" s="299">
        <v>42</v>
      </c>
      <c r="F847" s="430" t="s">
        <v>3497</v>
      </c>
      <c r="G847" s="300" t="str">
        <f t="shared" si="30"/>
        <v>MummNRW</v>
      </c>
    </row>
    <row r="848" spans="1:7" ht="12" customHeight="1">
      <c r="A848" s="298">
        <v>36321</v>
      </c>
      <c r="B848" s="299" t="s">
        <v>3512</v>
      </c>
      <c r="C848" s="299">
        <v>20</v>
      </c>
      <c r="D848" s="299">
        <f t="shared" si="29"/>
        <v>6</v>
      </c>
      <c r="E848" s="299">
        <v>35</v>
      </c>
      <c r="F848" s="430" t="s">
        <v>3497</v>
      </c>
      <c r="G848" s="300" t="str">
        <f t="shared" si="30"/>
        <v>MummNRW</v>
      </c>
    </row>
    <row r="849" spans="1:7" ht="12" customHeight="1">
      <c r="A849" s="298">
        <v>36325</v>
      </c>
      <c r="B849" s="299" t="s">
        <v>3512</v>
      </c>
      <c r="C849" s="299">
        <v>120</v>
      </c>
      <c r="D849" s="299">
        <f t="shared" si="29"/>
        <v>6</v>
      </c>
      <c r="E849" s="299">
        <v>43</v>
      </c>
      <c r="F849" s="430" t="s">
        <v>3497</v>
      </c>
      <c r="G849" s="300" t="str">
        <f t="shared" si="30"/>
        <v>MummNRW</v>
      </c>
    </row>
    <row r="850" spans="1:7" ht="12" customHeight="1">
      <c r="A850" s="298">
        <v>36327</v>
      </c>
      <c r="B850" s="299" t="s">
        <v>3512</v>
      </c>
      <c r="C850" s="299">
        <v>10</v>
      </c>
      <c r="D850" s="299">
        <f t="shared" si="29"/>
        <v>6</v>
      </c>
      <c r="E850" s="299">
        <v>39</v>
      </c>
      <c r="F850" s="430" t="s">
        <v>3497</v>
      </c>
      <c r="G850" s="300" t="str">
        <f t="shared" si="30"/>
        <v>MummNRW</v>
      </c>
    </row>
    <row r="851" spans="1:7" ht="12" customHeight="1">
      <c r="A851" s="298">
        <v>36332</v>
      </c>
      <c r="B851" s="299" t="s">
        <v>3512</v>
      </c>
      <c r="C851" s="299">
        <v>10</v>
      </c>
      <c r="D851" s="299">
        <f t="shared" si="29"/>
        <v>6</v>
      </c>
      <c r="E851" s="299">
        <v>35</v>
      </c>
      <c r="F851" s="430" t="s">
        <v>3497</v>
      </c>
      <c r="G851" s="300" t="str">
        <f t="shared" si="30"/>
        <v>MummNRW</v>
      </c>
    </row>
    <row r="852" spans="1:7" ht="12" customHeight="1">
      <c r="A852" s="298">
        <v>36332</v>
      </c>
      <c r="B852" s="299" t="s">
        <v>3512</v>
      </c>
      <c r="C852" s="299">
        <v>60</v>
      </c>
      <c r="D852" s="299">
        <f t="shared" si="29"/>
        <v>6</v>
      </c>
      <c r="E852" s="299">
        <v>36</v>
      </c>
      <c r="F852" s="430" t="s">
        <v>3497</v>
      </c>
      <c r="G852" s="300" t="str">
        <f t="shared" si="30"/>
        <v>MummNRW</v>
      </c>
    </row>
    <row r="853" spans="1:7" ht="12" customHeight="1">
      <c r="A853" s="298">
        <v>36343</v>
      </c>
      <c r="B853" s="299" t="s">
        <v>3512</v>
      </c>
      <c r="C853" s="299">
        <v>20</v>
      </c>
      <c r="D853" s="299">
        <f t="shared" si="29"/>
        <v>7</v>
      </c>
      <c r="E853" s="299">
        <v>43</v>
      </c>
      <c r="F853" s="430" t="s">
        <v>3497</v>
      </c>
      <c r="G853" s="300" t="str">
        <f t="shared" si="30"/>
        <v>MummNRW</v>
      </c>
    </row>
    <row r="854" spans="1:7" ht="12" customHeight="1">
      <c r="A854" s="298">
        <v>36345</v>
      </c>
      <c r="B854" s="299" t="s">
        <v>3512</v>
      </c>
      <c r="C854" s="299">
        <v>120</v>
      </c>
      <c r="D854" s="299">
        <f t="shared" si="29"/>
        <v>7</v>
      </c>
      <c r="E854" s="299">
        <v>36</v>
      </c>
      <c r="F854" s="430" t="s">
        <v>3497</v>
      </c>
      <c r="G854" s="300" t="str">
        <f t="shared" si="30"/>
        <v>MummNRW</v>
      </c>
    </row>
    <row r="855" spans="1:7" ht="12" customHeight="1">
      <c r="A855" s="298">
        <v>36348</v>
      </c>
      <c r="B855" s="299" t="s">
        <v>3512</v>
      </c>
      <c r="C855" s="299">
        <v>120</v>
      </c>
      <c r="D855" s="299">
        <f t="shared" si="29"/>
        <v>7</v>
      </c>
      <c r="E855" s="299">
        <v>41</v>
      </c>
      <c r="F855" s="430" t="s">
        <v>3497</v>
      </c>
      <c r="G855" s="300" t="str">
        <f t="shared" si="30"/>
        <v>MummNRW</v>
      </c>
    </row>
    <row r="856" spans="1:7" ht="12" customHeight="1">
      <c r="A856" s="298">
        <v>36354</v>
      </c>
      <c r="B856" s="299" t="s">
        <v>3512</v>
      </c>
      <c r="C856" s="299">
        <v>120</v>
      </c>
      <c r="D856" s="299">
        <f t="shared" si="29"/>
        <v>7</v>
      </c>
      <c r="E856" s="299">
        <v>43</v>
      </c>
      <c r="F856" s="430" t="s">
        <v>3497</v>
      </c>
      <c r="G856" s="300" t="str">
        <f t="shared" si="30"/>
        <v>MummNRW</v>
      </c>
    </row>
    <row r="857" spans="1:7" ht="12" customHeight="1">
      <c r="A857" s="298">
        <v>36363</v>
      </c>
      <c r="B857" s="299" t="s">
        <v>3512</v>
      </c>
      <c r="C857" s="299">
        <v>100</v>
      </c>
      <c r="D857" s="299">
        <f t="shared" si="29"/>
        <v>7</v>
      </c>
      <c r="E857" s="299">
        <v>41</v>
      </c>
      <c r="F857" s="430" t="s">
        <v>3497</v>
      </c>
      <c r="G857" s="300" t="str">
        <f t="shared" si="30"/>
        <v>MummNRW</v>
      </c>
    </row>
    <row r="858" spans="1:7" ht="12" customHeight="1">
      <c r="A858" s="298">
        <v>36366</v>
      </c>
      <c r="B858" s="299" t="s">
        <v>3512</v>
      </c>
      <c r="C858" s="299">
        <v>100</v>
      </c>
      <c r="D858" s="299">
        <f t="shared" si="29"/>
        <v>7</v>
      </c>
      <c r="E858" s="299">
        <v>42</v>
      </c>
      <c r="F858" s="430" t="s">
        <v>3497</v>
      </c>
      <c r="G858" s="300" t="str">
        <f t="shared" si="30"/>
        <v>MummNRW</v>
      </c>
    </row>
    <row r="859" spans="1:7" ht="12" customHeight="1">
      <c r="A859" s="298">
        <v>36369</v>
      </c>
      <c r="B859" s="299" t="s">
        <v>3512</v>
      </c>
      <c r="C859" s="299">
        <v>20</v>
      </c>
      <c r="D859" s="299">
        <f t="shared" si="29"/>
        <v>7</v>
      </c>
      <c r="E859" s="299">
        <v>41</v>
      </c>
      <c r="F859" s="430" t="s">
        <v>3497</v>
      </c>
      <c r="G859" s="300" t="str">
        <f t="shared" si="30"/>
        <v>MummNRW</v>
      </c>
    </row>
    <row r="860" spans="1:7" ht="12" customHeight="1">
      <c r="A860" s="298">
        <v>36373</v>
      </c>
      <c r="B860" s="299" t="s">
        <v>3512</v>
      </c>
      <c r="C860" s="299">
        <v>100</v>
      </c>
      <c r="D860" s="299">
        <f t="shared" si="29"/>
        <v>8</v>
      </c>
      <c r="E860" s="299">
        <v>43</v>
      </c>
      <c r="F860" s="430" t="s">
        <v>3497</v>
      </c>
      <c r="G860" s="300" t="str">
        <f t="shared" si="30"/>
        <v>MummNRW</v>
      </c>
    </row>
    <row r="861" spans="1:7" ht="12" customHeight="1">
      <c r="A861" s="298">
        <v>36375</v>
      </c>
      <c r="B861" s="299" t="s">
        <v>3512</v>
      </c>
      <c r="C861" s="299">
        <v>60</v>
      </c>
      <c r="D861" s="299">
        <f t="shared" si="29"/>
        <v>8</v>
      </c>
      <c r="E861" s="299">
        <v>38</v>
      </c>
      <c r="F861" s="430" t="s">
        <v>3497</v>
      </c>
      <c r="G861" s="300" t="str">
        <f t="shared" si="30"/>
        <v>MummNRW</v>
      </c>
    </row>
    <row r="862" spans="1:7" ht="12" customHeight="1">
      <c r="A862" s="298">
        <v>36375</v>
      </c>
      <c r="B862" s="299" t="s">
        <v>3512</v>
      </c>
      <c r="C862" s="299">
        <v>120</v>
      </c>
      <c r="D862" s="299">
        <f t="shared" si="29"/>
        <v>8</v>
      </c>
      <c r="E862" s="299">
        <v>36</v>
      </c>
      <c r="F862" s="430" t="s">
        <v>3497</v>
      </c>
      <c r="G862" s="300" t="str">
        <f t="shared" si="30"/>
        <v>MummNRW</v>
      </c>
    </row>
    <row r="863" spans="1:7" ht="12" customHeight="1">
      <c r="A863" s="298">
        <v>36376</v>
      </c>
      <c r="B863" s="299" t="s">
        <v>3512</v>
      </c>
      <c r="C863" s="299">
        <v>10</v>
      </c>
      <c r="D863" s="299">
        <f t="shared" si="29"/>
        <v>8</v>
      </c>
      <c r="E863" s="299">
        <v>35</v>
      </c>
      <c r="F863" s="430" t="s">
        <v>3497</v>
      </c>
      <c r="G863" s="300" t="str">
        <f t="shared" si="30"/>
        <v>MummNRW</v>
      </c>
    </row>
    <row r="864" spans="1:7" ht="12" customHeight="1">
      <c r="A864" s="298">
        <v>36378</v>
      </c>
      <c r="B864" s="299" t="s">
        <v>3512</v>
      </c>
      <c r="C864" s="299">
        <v>90</v>
      </c>
      <c r="D864" s="299">
        <f t="shared" si="29"/>
        <v>8</v>
      </c>
      <c r="E864" s="299">
        <v>41</v>
      </c>
      <c r="F864" s="430" t="s">
        <v>3497</v>
      </c>
      <c r="G864" s="300" t="str">
        <f t="shared" si="30"/>
        <v>MummNRW</v>
      </c>
    </row>
    <row r="865" spans="1:7" ht="12" customHeight="1">
      <c r="A865" s="298">
        <v>36382</v>
      </c>
      <c r="B865" s="299" t="s">
        <v>3512</v>
      </c>
      <c r="C865" s="299">
        <v>80</v>
      </c>
      <c r="D865" s="299">
        <f t="shared" si="29"/>
        <v>8</v>
      </c>
      <c r="E865" s="299">
        <v>43</v>
      </c>
      <c r="F865" s="430" t="s">
        <v>3497</v>
      </c>
      <c r="G865" s="300" t="str">
        <f t="shared" si="30"/>
        <v>MummNRW</v>
      </c>
    </row>
    <row r="866" spans="1:7" ht="12" customHeight="1">
      <c r="A866" s="298">
        <v>36384</v>
      </c>
      <c r="B866" s="299" t="s">
        <v>3512</v>
      </c>
      <c r="C866" s="299">
        <v>30</v>
      </c>
      <c r="D866" s="299">
        <f t="shared" si="29"/>
        <v>8</v>
      </c>
      <c r="E866" s="299">
        <v>43</v>
      </c>
      <c r="F866" s="430" t="s">
        <v>3497</v>
      </c>
      <c r="G866" s="300" t="str">
        <f t="shared" si="30"/>
        <v>MummNRW</v>
      </c>
    </row>
    <row r="867" spans="1:7" ht="12" customHeight="1">
      <c r="A867" s="298">
        <v>36385</v>
      </c>
      <c r="B867" s="299" t="s">
        <v>3512</v>
      </c>
      <c r="C867" s="299">
        <v>60</v>
      </c>
      <c r="D867" s="299">
        <f t="shared" si="29"/>
        <v>8</v>
      </c>
      <c r="E867" s="299">
        <v>36</v>
      </c>
      <c r="F867" s="430" t="s">
        <v>3497</v>
      </c>
      <c r="G867" s="300" t="str">
        <f t="shared" si="30"/>
        <v>MummNRW</v>
      </c>
    </row>
    <row r="868" spans="1:7" ht="12" customHeight="1">
      <c r="A868" s="298">
        <v>36386</v>
      </c>
      <c r="B868" s="299" t="s">
        <v>3512</v>
      </c>
      <c r="C868" s="299">
        <v>120</v>
      </c>
      <c r="D868" s="299">
        <f t="shared" si="29"/>
        <v>8</v>
      </c>
      <c r="E868" s="299">
        <v>42</v>
      </c>
      <c r="F868" s="430" t="s">
        <v>3497</v>
      </c>
      <c r="G868" s="300" t="str">
        <f t="shared" si="30"/>
        <v>MummNRW</v>
      </c>
    </row>
    <row r="869" spans="1:7" ht="12" customHeight="1">
      <c r="A869" s="298">
        <v>36389</v>
      </c>
      <c r="B869" s="299" t="s">
        <v>3512</v>
      </c>
      <c r="C869" s="299">
        <v>60</v>
      </c>
      <c r="D869" s="299">
        <f t="shared" si="29"/>
        <v>8</v>
      </c>
      <c r="E869" s="299">
        <v>43</v>
      </c>
      <c r="F869" s="430" t="s">
        <v>3497</v>
      </c>
      <c r="G869" s="300" t="str">
        <f t="shared" si="30"/>
        <v>MummNRW</v>
      </c>
    </row>
    <row r="870" spans="1:7" ht="12" customHeight="1">
      <c r="A870" s="298">
        <v>36390</v>
      </c>
      <c r="B870" s="299" t="s">
        <v>3512</v>
      </c>
      <c r="C870" s="299">
        <v>30</v>
      </c>
      <c r="D870" s="299">
        <f t="shared" si="29"/>
        <v>8</v>
      </c>
      <c r="E870" s="299">
        <v>36</v>
      </c>
      <c r="F870" s="430" t="s">
        <v>3497</v>
      </c>
      <c r="G870" s="300" t="str">
        <f t="shared" si="30"/>
        <v>MummNRW</v>
      </c>
    </row>
    <row r="871" spans="1:7" ht="12" customHeight="1">
      <c r="A871" s="298">
        <v>36394</v>
      </c>
      <c r="B871" s="299" t="s">
        <v>3512</v>
      </c>
      <c r="C871" s="299">
        <v>70</v>
      </c>
      <c r="D871" s="299">
        <f t="shared" si="29"/>
        <v>8</v>
      </c>
      <c r="E871" s="299">
        <v>35</v>
      </c>
      <c r="F871" s="430" t="s">
        <v>3497</v>
      </c>
      <c r="G871" s="300" t="str">
        <f t="shared" si="30"/>
        <v>MummNRW</v>
      </c>
    </row>
    <row r="872" spans="1:7" ht="12" customHeight="1">
      <c r="A872" s="298">
        <v>36395</v>
      </c>
      <c r="B872" s="299" t="s">
        <v>3512</v>
      </c>
      <c r="C872" s="299">
        <v>30</v>
      </c>
      <c r="D872" s="299">
        <f t="shared" si="29"/>
        <v>8</v>
      </c>
      <c r="E872" s="299">
        <v>42</v>
      </c>
      <c r="F872" s="430" t="s">
        <v>3497</v>
      </c>
      <c r="G872" s="300" t="str">
        <f t="shared" si="30"/>
        <v>MummNRW</v>
      </c>
    </row>
    <row r="873" spans="1:7" ht="12" customHeight="1">
      <c r="A873" s="298">
        <v>36395</v>
      </c>
      <c r="B873" s="299" t="s">
        <v>3512</v>
      </c>
      <c r="C873" s="299">
        <v>40</v>
      </c>
      <c r="D873" s="299">
        <f t="shared" si="29"/>
        <v>8</v>
      </c>
      <c r="E873" s="299">
        <v>35</v>
      </c>
      <c r="F873" s="430" t="s">
        <v>3497</v>
      </c>
      <c r="G873" s="300" t="str">
        <f t="shared" si="30"/>
        <v>MummNRW</v>
      </c>
    </row>
    <row r="874" spans="1:7" ht="12" customHeight="1">
      <c r="A874" s="298">
        <v>36396</v>
      </c>
      <c r="B874" s="299" t="s">
        <v>3512</v>
      </c>
      <c r="C874" s="299">
        <v>20</v>
      </c>
      <c r="D874" s="299">
        <f t="shared" si="29"/>
        <v>8</v>
      </c>
      <c r="E874" s="299">
        <v>36</v>
      </c>
      <c r="F874" s="430" t="s">
        <v>3497</v>
      </c>
      <c r="G874" s="300" t="str">
        <f t="shared" si="30"/>
        <v>MummNRW</v>
      </c>
    </row>
    <row r="875" spans="1:7" ht="12" customHeight="1">
      <c r="A875" s="298">
        <v>36399</v>
      </c>
      <c r="B875" s="299" t="s">
        <v>3512</v>
      </c>
      <c r="C875" s="299">
        <v>10</v>
      </c>
      <c r="D875" s="299">
        <f t="shared" si="29"/>
        <v>8</v>
      </c>
      <c r="E875" s="299">
        <v>37</v>
      </c>
      <c r="F875" s="430" t="s">
        <v>3497</v>
      </c>
      <c r="G875" s="300" t="str">
        <f t="shared" si="30"/>
        <v>MummNRW</v>
      </c>
    </row>
    <row r="876" spans="1:7" ht="12" customHeight="1">
      <c r="A876" s="298">
        <v>36408</v>
      </c>
      <c r="B876" s="299" t="s">
        <v>3512</v>
      </c>
      <c r="C876" s="299">
        <v>40</v>
      </c>
      <c r="D876" s="299">
        <f t="shared" si="29"/>
        <v>9</v>
      </c>
      <c r="E876" s="299">
        <v>36</v>
      </c>
      <c r="F876" s="430" t="s">
        <v>3497</v>
      </c>
      <c r="G876" s="300" t="str">
        <f t="shared" si="30"/>
        <v>MummNRW</v>
      </c>
    </row>
    <row r="877" spans="1:7" ht="12" customHeight="1">
      <c r="A877" s="298">
        <v>36420</v>
      </c>
      <c r="B877" s="299" t="s">
        <v>3512</v>
      </c>
      <c r="C877" s="299">
        <v>20</v>
      </c>
      <c r="D877" s="299">
        <f t="shared" si="29"/>
        <v>9</v>
      </c>
      <c r="E877" s="299">
        <v>36</v>
      </c>
      <c r="F877" s="430" t="s">
        <v>3497</v>
      </c>
      <c r="G877" s="300" t="str">
        <f t="shared" si="30"/>
        <v>MummNRW</v>
      </c>
    </row>
    <row r="878" spans="1:7" ht="12" customHeight="1">
      <c r="A878" s="298">
        <v>36426</v>
      </c>
      <c r="B878" s="299" t="s">
        <v>3512</v>
      </c>
      <c r="C878" s="299">
        <v>10</v>
      </c>
      <c r="D878" s="299">
        <f t="shared" si="29"/>
        <v>9</v>
      </c>
      <c r="E878" s="299">
        <v>38</v>
      </c>
      <c r="F878" s="430" t="s">
        <v>3497</v>
      </c>
      <c r="G878" s="300" t="str">
        <f t="shared" si="30"/>
        <v>MummNRW</v>
      </c>
    </row>
    <row r="879" spans="1:7" ht="12" customHeight="1">
      <c r="A879" s="298">
        <v>36440</v>
      </c>
      <c r="B879" s="299" t="s">
        <v>3512</v>
      </c>
      <c r="C879" s="299">
        <v>70</v>
      </c>
      <c r="D879" s="299">
        <f t="shared" si="29"/>
        <v>10</v>
      </c>
      <c r="E879" s="299">
        <v>43</v>
      </c>
      <c r="F879" s="430" t="s">
        <v>3497</v>
      </c>
      <c r="G879" s="300" t="str">
        <f t="shared" si="30"/>
        <v>MummNRW</v>
      </c>
    </row>
    <row r="880" spans="1:7" ht="12" customHeight="1">
      <c r="A880" s="298">
        <v>36445</v>
      </c>
      <c r="B880" s="299" t="s">
        <v>3512</v>
      </c>
      <c r="C880" s="299">
        <v>120</v>
      </c>
      <c r="D880" s="299">
        <f t="shared" si="29"/>
        <v>10</v>
      </c>
      <c r="E880" s="299">
        <v>43</v>
      </c>
      <c r="F880" s="430" t="s">
        <v>3497</v>
      </c>
      <c r="G880" s="300" t="str">
        <f t="shared" si="30"/>
        <v>MummNRW</v>
      </c>
    </row>
    <row r="881" spans="1:7" ht="12" customHeight="1">
      <c r="A881" s="298">
        <v>36446</v>
      </c>
      <c r="B881" s="299" t="s">
        <v>3512</v>
      </c>
      <c r="C881" s="299">
        <v>90</v>
      </c>
      <c r="D881" s="299">
        <f t="shared" si="29"/>
        <v>10</v>
      </c>
      <c r="E881" s="299">
        <v>35</v>
      </c>
      <c r="F881" s="430" t="s">
        <v>3497</v>
      </c>
      <c r="G881" s="300" t="str">
        <f t="shared" si="30"/>
        <v>MummNRW</v>
      </c>
    </row>
    <row r="882" spans="1:7" ht="12" customHeight="1">
      <c r="A882" s="298">
        <v>36446</v>
      </c>
      <c r="B882" s="299" t="s">
        <v>3512</v>
      </c>
      <c r="C882" s="299">
        <v>50</v>
      </c>
      <c r="D882" s="299">
        <f t="shared" si="29"/>
        <v>10</v>
      </c>
      <c r="E882" s="299">
        <v>43</v>
      </c>
      <c r="F882" s="430" t="s">
        <v>3497</v>
      </c>
      <c r="G882" s="300" t="str">
        <f t="shared" si="30"/>
        <v>MummNRW</v>
      </c>
    </row>
    <row r="883" spans="1:7" ht="12" customHeight="1">
      <c r="A883" s="298">
        <v>36453</v>
      </c>
      <c r="B883" s="299" t="s">
        <v>3512</v>
      </c>
      <c r="C883" s="299">
        <v>80</v>
      </c>
      <c r="D883" s="299">
        <f t="shared" si="29"/>
        <v>10</v>
      </c>
      <c r="E883" s="299">
        <v>43</v>
      </c>
      <c r="F883" s="430" t="s">
        <v>3497</v>
      </c>
      <c r="G883" s="300" t="str">
        <f t="shared" si="30"/>
        <v>MummNRW</v>
      </c>
    </row>
    <row r="884" spans="1:7" ht="12" customHeight="1">
      <c r="A884" s="298">
        <v>36462</v>
      </c>
      <c r="B884" s="299" t="s">
        <v>3512</v>
      </c>
      <c r="C884" s="299">
        <v>40</v>
      </c>
      <c r="D884" s="299">
        <f t="shared" si="29"/>
        <v>10</v>
      </c>
      <c r="E884" s="299">
        <v>43</v>
      </c>
      <c r="F884" s="430" t="s">
        <v>3497</v>
      </c>
      <c r="G884" s="300" t="str">
        <f t="shared" si="30"/>
        <v>MummNRW</v>
      </c>
    </row>
    <row r="885" spans="1:7" ht="12" customHeight="1">
      <c r="A885" s="298">
        <v>36475</v>
      </c>
      <c r="B885" s="299" t="s">
        <v>3512</v>
      </c>
      <c r="C885" s="299">
        <v>120</v>
      </c>
      <c r="D885" s="299">
        <f t="shared" si="29"/>
        <v>11</v>
      </c>
      <c r="E885" s="299">
        <v>39</v>
      </c>
      <c r="F885" s="430" t="s">
        <v>3497</v>
      </c>
      <c r="G885" s="300" t="str">
        <f t="shared" si="30"/>
        <v>MummNRW</v>
      </c>
    </row>
    <row r="886" spans="1:7" ht="12" customHeight="1">
      <c r="A886" s="298">
        <v>36498</v>
      </c>
      <c r="B886" s="299" t="s">
        <v>3512</v>
      </c>
      <c r="C886" s="299">
        <v>100</v>
      </c>
      <c r="D886" s="299">
        <f t="shared" si="29"/>
        <v>12</v>
      </c>
      <c r="E886" s="299">
        <v>39</v>
      </c>
      <c r="F886" s="430" t="s">
        <v>3497</v>
      </c>
      <c r="G886" s="300" t="str">
        <f t="shared" si="30"/>
        <v>MummNRW</v>
      </c>
    </row>
    <row r="887" spans="1:7" ht="12" customHeight="1">
      <c r="A887" s="298">
        <v>36502</v>
      </c>
      <c r="B887" s="299" t="s">
        <v>3512</v>
      </c>
      <c r="C887" s="299">
        <v>20</v>
      </c>
      <c r="D887" s="299">
        <f t="shared" si="29"/>
        <v>12</v>
      </c>
      <c r="E887" s="299">
        <v>36</v>
      </c>
      <c r="F887" s="430" t="s">
        <v>3497</v>
      </c>
      <c r="G887" s="300" t="str">
        <f t="shared" si="30"/>
        <v>MummNRW</v>
      </c>
    </row>
    <row r="888" spans="1:7" ht="12" customHeight="1">
      <c r="A888" s="298">
        <v>36505</v>
      </c>
      <c r="B888" s="299" t="s">
        <v>3512</v>
      </c>
      <c r="C888" s="299">
        <v>120</v>
      </c>
      <c r="D888" s="299">
        <f t="shared" si="29"/>
        <v>12</v>
      </c>
      <c r="E888" s="299">
        <v>39</v>
      </c>
      <c r="F888" s="430" t="s">
        <v>3497</v>
      </c>
      <c r="G888" s="300" t="str">
        <f t="shared" si="30"/>
        <v>MummNRW</v>
      </c>
    </row>
    <row r="889" spans="1:7" ht="12" customHeight="1">
      <c r="A889" s="298">
        <v>36510</v>
      </c>
      <c r="B889" s="299" t="s">
        <v>3512</v>
      </c>
      <c r="C889" s="299">
        <v>160</v>
      </c>
      <c r="D889" s="299">
        <f t="shared" si="29"/>
        <v>12</v>
      </c>
      <c r="E889" s="299">
        <v>42</v>
      </c>
      <c r="F889" s="430" t="s">
        <v>3497</v>
      </c>
      <c r="G889" s="300" t="str">
        <f t="shared" si="30"/>
        <v>MummNRW</v>
      </c>
    </row>
    <row r="890" spans="1:7" ht="12" customHeight="1">
      <c r="A890" s="298">
        <v>36512</v>
      </c>
      <c r="B890" s="299" t="s">
        <v>3512</v>
      </c>
      <c r="C890" s="299">
        <v>40</v>
      </c>
      <c r="D890" s="299">
        <f t="shared" si="29"/>
        <v>12</v>
      </c>
      <c r="E890" s="299">
        <v>43</v>
      </c>
      <c r="F890" s="430" t="s">
        <v>3497</v>
      </c>
      <c r="G890" s="300" t="str">
        <f t="shared" si="30"/>
        <v>MummNRW</v>
      </c>
    </row>
    <row r="891" spans="1:7" ht="12" customHeight="1">
      <c r="A891" s="298">
        <v>36521</v>
      </c>
      <c r="B891" s="299" t="s">
        <v>3512</v>
      </c>
      <c r="C891" s="299">
        <v>30</v>
      </c>
      <c r="D891" s="299">
        <f t="shared" si="29"/>
        <v>12</v>
      </c>
      <c r="E891" s="299">
        <v>43</v>
      </c>
      <c r="F891" s="430" t="s">
        <v>3497</v>
      </c>
      <c r="G891" s="300" t="str">
        <f t="shared" si="30"/>
        <v>MummNRW</v>
      </c>
    </row>
    <row r="892" spans="1:7" ht="12" customHeight="1">
      <c r="A892" s="298">
        <v>36523</v>
      </c>
      <c r="B892" s="299" t="s">
        <v>3512</v>
      </c>
      <c r="C892" s="299">
        <v>120</v>
      </c>
      <c r="D892" s="299">
        <f t="shared" si="29"/>
        <v>12</v>
      </c>
      <c r="E892" s="299">
        <v>36</v>
      </c>
      <c r="F892" s="430" t="s">
        <v>3497</v>
      </c>
      <c r="G892" s="300" t="str">
        <f t="shared" si="30"/>
        <v>MummNRW</v>
      </c>
    </row>
    <row r="893" spans="1:7" ht="12" customHeight="1">
      <c r="A893" s="298">
        <v>36169</v>
      </c>
      <c r="B893" s="299" t="s">
        <v>3512</v>
      </c>
      <c r="C893" s="299">
        <v>80</v>
      </c>
      <c r="D893" s="299">
        <f t="shared" si="29"/>
        <v>1</v>
      </c>
      <c r="E893" s="299">
        <v>38</v>
      </c>
      <c r="F893" s="430" t="s">
        <v>3499</v>
      </c>
      <c r="G893" s="300" t="str">
        <f t="shared" si="30"/>
        <v>MummPfalz</v>
      </c>
    </row>
    <row r="894" spans="1:7" ht="12" customHeight="1">
      <c r="A894" s="298">
        <v>36184</v>
      </c>
      <c r="B894" s="299" t="s">
        <v>3512</v>
      </c>
      <c r="C894" s="299">
        <v>70</v>
      </c>
      <c r="D894" s="299">
        <f t="shared" si="29"/>
        <v>1</v>
      </c>
      <c r="E894" s="299">
        <v>38</v>
      </c>
      <c r="F894" s="430" t="s">
        <v>3499</v>
      </c>
      <c r="G894" s="300" t="str">
        <f t="shared" si="30"/>
        <v>MummPfalz</v>
      </c>
    </row>
    <row r="895" spans="1:7" ht="12" customHeight="1">
      <c r="A895" s="298">
        <v>36242</v>
      </c>
      <c r="B895" s="299" t="s">
        <v>3512</v>
      </c>
      <c r="C895" s="299">
        <v>120</v>
      </c>
      <c r="D895" s="299">
        <f t="shared" si="29"/>
        <v>3</v>
      </c>
      <c r="E895" s="299">
        <v>42</v>
      </c>
      <c r="F895" s="430" t="s">
        <v>3499</v>
      </c>
      <c r="G895" s="300" t="str">
        <f t="shared" si="30"/>
        <v>MummPfalz</v>
      </c>
    </row>
    <row r="896" spans="1:7" ht="12" customHeight="1">
      <c r="A896" s="298">
        <v>36245</v>
      </c>
      <c r="B896" s="299" t="s">
        <v>3512</v>
      </c>
      <c r="C896" s="299">
        <v>40</v>
      </c>
      <c r="D896" s="299">
        <f t="shared" si="29"/>
        <v>3</v>
      </c>
      <c r="E896" s="299">
        <v>42</v>
      </c>
      <c r="F896" s="430" t="s">
        <v>3499</v>
      </c>
      <c r="G896" s="300" t="str">
        <f t="shared" si="30"/>
        <v>MummPfalz</v>
      </c>
    </row>
    <row r="897" spans="1:7" ht="12" customHeight="1">
      <c r="A897" s="298">
        <v>36293</v>
      </c>
      <c r="B897" s="299" t="s">
        <v>3512</v>
      </c>
      <c r="C897" s="299">
        <v>100</v>
      </c>
      <c r="D897" s="299">
        <f t="shared" si="29"/>
        <v>5</v>
      </c>
      <c r="E897" s="299">
        <v>38</v>
      </c>
      <c r="F897" s="430" t="s">
        <v>3499</v>
      </c>
      <c r="G897" s="300" t="str">
        <f t="shared" si="30"/>
        <v>MummPfalz</v>
      </c>
    </row>
    <row r="898" spans="1:7" ht="12" customHeight="1">
      <c r="A898" s="298">
        <v>36294</v>
      </c>
      <c r="B898" s="299" t="s">
        <v>3512</v>
      </c>
      <c r="C898" s="299">
        <v>160</v>
      </c>
      <c r="D898" s="299">
        <f t="shared" si="29"/>
        <v>5</v>
      </c>
      <c r="E898" s="299">
        <v>38</v>
      </c>
      <c r="F898" s="430" t="s">
        <v>3499</v>
      </c>
      <c r="G898" s="300" t="str">
        <f t="shared" si="30"/>
        <v>MummPfalz</v>
      </c>
    </row>
    <row r="899" spans="1:7" ht="12" customHeight="1">
      <c r="A899" s="298">
        <v>36294</v>
      </c>
      <c r="B899" s="299" t="s">
        <v>3512</v>
      </c>
      <c r="C899" s="299">
        <v>80</v>
      </c>
      <c r="D899" s="299">
        <f t="shared" si="29"/>
        <v>5</v>
      </c>
      <c r="E899" s="299">
        <v>35</v>
      </c>
      <c r="F899" s="430" t="s">
        <v>3499</v>
      </c>
      <c r="G899" s="300" t="str">
        <f t="shared" si="30"/>
        <v>MummPfalz</v>
      </c>
    </row>
    <row r="900" spans="1:7" ht="12" customHeight="1">
      <c r="A900" s="298">
        <v>36296</v>
      </c>
      <c r="B900" s="299" t="s">
        <v>3512</v>
      </c>
      <c r="C900" s="299">
        <v>20</v>
      </c>
      <c r="D900" s="299">
        <f t="shared" si="29"/>
        <v>5</v>
      </c>
      <c r="E900" s="299">
        <v>44</v>
      </c>
      <c r="F900" s="430" t="s">
        <v>3499</v>
      </c>
      <c r="G900" s="300" t="str">
        <f t="shared" si="30"/>
        <v>MummPfalz</v>
      </c>
    </row>
    <row r="901" spans="1:7" ht="12" customHeight="1">
      <c r="A901" s="298">
        <v>36304</v>
      </c>
      <c r="B901" s="299" t="s">
        <v>3512</v>
      </c>
      <c r="C901" s="299">
        <v>40</v>
      </c>
      <c r="D901" s="299">
        <f t="shared" si="29"/>
        <v>5</v>
      </c>
      <c r="E901" s="299">
        <v>38</v>
      </c>
      <c r="F901" s="430" t="s">
        <v>3499</v>
      </c>
      <c r="G901" s="300" t="str">
        <f t="shared" si="30"/>
        <v>MummPfalz</v>
      </c>
    </row>
    <row r="902" spans="1:7" ht="12" customHeight="1">
      <c r="A902" s="298">
        <v>36309</v>
      </c>
      <c r="B902" s="299" t="s">
        <v>3512</v>
      </c>
      <c r="C902" s="299">
        <v>80</v>
      </c>
      <c r="D902" s="299">
        <f t="shared" ref="D902:D965" si="31">MONTH(A902)</f>
        <v>5</v>
      </c>
      <c r="E902" s="299">
        <v>44</v>
      </c>
      <c r="F902" s="430" t="s">
        <v>3499</v>
      </c>
      <c r="G902" s="300" t="str">
        <f t="shared" ref="G902:G965" si="32">B902&amp;F902</f>
        <v>MummPfalz</v>
      </c>
    </row>
    <row r="903" spans="1:7" ht="12" customHeight="1">
      <c r="A903" s="298">
        <v>36310</v>
      </c>
      <c r="B903" s="299" t="s">
        <v>3512</v>
      </c>
      <c r="C903" s="299">
        <v>80</v>
      </c>
      <c r="D903" s="299">
        <f t="shared" si="31"/>
        <v>5</v>
      </c>
      <c r="E903" s="299">
        <v>35</v>
      </c>
      <c r="F903" s="430" t="s">
        <v>3499</v>
      </c>
      <c r="G903" s="300" t="str">
        <f t="shared" si="32"/>
        <v>MummPfalz</v>
      </c>
    </row>
    <row r="904" spans="1:7" ht="12" customHeight="1">
      <c r="A904" s="298">
        <v>36340</v>
      </c>
      <c r="B904" s="299" t="s">
        <v>3512</v>
      </c>
      <c r="C904" s="299">
        <v>60</v>
      </c>
      <c r="D904" s="299">
        <f t="shared" si="31"/>
        <v>6</v>
      </c>
      <c r="E904" s="299">
        <v>42</v>
      </c>
      <c r="F904" s="430" t="s">
        <v>3499</v>
      </c>
      <c r="G904" s="300" t="str">
        <f t="shared" si="32"/>
        <v>MummPfalz</v>
      </c>
    </row>
    <row r="905" spans="1:7" ht="12" customHeight="1">
      <c r="A905" s="298">
        <v>36374</v>
      </c>
      <c r="B905" s="299" t="s">
        <v>3512</v>
      </c>
      <c r="C905" s="299">
        <v>60</v>
      </c>
      <c r="D905" s="299">
        <f t="shared" si="31"/>
        <v>8</v>
      </c>
      <c r="E905" s="299">
        <v>38</v>
      </c>
      <c r="F905" s="430" t="s">
        <v>3499</v>
      </c>
      <c r="G905" s="300" t="str">
        <f t="shared" si="32"/>
        <v>MummPfalz</v>
      </c>
    </row>
    <row r="906" spans="1:7" ht="12" customHeight="1">
      <c r="A906" s="298">
        <v>36385</v>
      </c>
      <c r="B906" s="299" t="s">
        <v>3512</v>
      </c>
      <c r="C906" s="299">
        <v>20</v>
      </c>
      <c r="D906" s="299">
        <f t="shared" si="31"/>
        <v>8</v>
      </c>
      <c r="E906" s="299">
        <v>38</v>
      </c>
      <c r="F906" s="430" t="s">
        <v>3499</v>
      </c>
      <c r="G906" s="300" t="str">
        <f t="shared" si="32"/>
        <v>MummPfalz</v>
      </c>
    </row>
    <row r="907" spans="1:7" ht="12" customHeight="1">
      <c r="A907" s="298">
        <v>36387</v>
      </c>
      <c r="B907" s="299" t="s">
        <v>3512</v>
      </c>
      <c r="C907" s="299">
        <v>100</v>
      </c>
      <c r="D907" s="299">
        <f t="shared" si="31"/>
        <v>8</v>
      </c>
      <c r="E907" s="299">
        <v>38</v>
      </c>
      <c r="F907" s="430" t="s">
        <v>3499</v>
      </c>
      <c r="G907" s="300" t="str">
        <f t="shared" si="32"/>
        <v>MummPfalz</v>
      </c>
    </row>
    <row r="908" spans="1:7" ht="12" customHeight="1">
      <c r="A908" s="298">
        <v>36402</v>
      </c>
      <c r="B908" s="299" t="s">
        <v>3512</v>
      </c>
      <c r="C908" s="299">
        <v>20</v>
      </c>
      <c r="D908" s="299">
        <f t="shared" si="31"/>
        <v>8</v>
      </c>
      <c r="E908" s="299">
        <v>38</v>
      </c>
      <c r="F908" s="430" t="s">
        <v>3499</v>
      </c>
      <c r="G908" s="300" t="str">
        <f t="shared" si="32"/>
        <v>MummPfalz</v>
      </c>
    </row>
    <row r="909" spans="1:7" ht="12" customHeight="1">
      <c r="A909" s="298">
        <v>36408</v>
      </c>
      <c r="B909" s="299" t="s">
        <v>3512</v>
      </c>
      <c r="C909" s="299">
        <v>30</v>
      </c>
      <c r="D909" s="299">
        <f t="shared" si="31"/>
        <v>9</v>
      </c>
      <c r="E909" s="299">
        <v>42</v>
      </c>
      <c r="F909" s="430" t="s">
        <v>3499</v>
      </c>
      <c r="G909" s="300" t="str">
        <f t="shared" si="32"/>
        <v>MummPfalz</v>
      </c>
    </row>
    <row r="910" spans="1:7" ht="12" customHeight="1">
      <c r="A910" s="298">
        <v>36410</v>
      </c>
      <c r="B910" s="299" t="s">
        <v>3512</v>
      </c>
      <c r="C910" s="299">
        <v>30</v>
      </c>
      <c r="D910" s="299">
        <f t="shared" si="31"/>
        <v>9</v>
      </c>
      <c r="E910" s="299">
        <v>42</v>
      </c>
      <c r="F910" s="430" t="s">
        <v>3499</v>
      </c>
      <c r="G910" s="300" t="str">
        <f t="shared" si="32"/>
        <v>MummPfalz</v>
      </c>
    </row>
    <row r="911" spans="1:7" ht="12" customHeight="1">
      <c r="A911" s="298">
        <v>36416</v>
      </c>
      <c r="B911" s="299" t="s">
        <v>3512</v>
      </c>
      <c r="C911" s="299">
        <v>80</v>
      </c>
      <c r="D911" s="299">
        <f t="shared" si="31"/>
        <v>9</v>
      </c>
      <c r="E911" s="299">
        <v>42</v>
      </c>
      <c r="F911" s="430" t="s">
        <v>3499</v>
      </c>
      <c r="G911" s="300" t="str">
        <f t="shared" si="32"/>
        <v>MummPfalz</v>
      </c>
    </row>
    <row r="912" spans="1:7" ht="12" customHeight="1">
      <c r="A912" s="298">
        <v>36421</v>
      </c>
      <c r="B912" s="299" t="s">
        <v>3512</v>
      </c>
      <c r="C912" s="299">
        <v>10</v>
      </c>
      <c r="D912" s="299">
        <f t="shared" si="31"/>
        <v>9</v>
      </c>
      <c r="E912" s="299">
        <v>42</v>
      </c>
      <c r="F912" s="430" t="s">
        <v>3499</v>
      </c>
      <c r="G912" s="300" t="str">
        <f t="shared" si="32"/>
        <v>MummPfalz</v>
      </c>
    </row>
    <row r="913" spans="1:7" ht="12" customHeight="1">
      <c r="A913" s="298">
        <v>36476</v>
      </c>
      <c r="B913" s="299" t="s">
        <v>3512</v>
      </c>
      <c r="C913" s="299">
        <v>10</v>
      </c>
      <c r="D913" s="299">
        <f t="shared" si="31"/>
        <v>11</v>
      </c>
      <c r="E913" s="299">
        <v>44</v>
      </c>
      <c r="F913" s="430" t="s">
        <v>3499</v>
      </c>
      <c r="G913" s="300" t="str">
        <f t="shared" si="32"/>
        <v>MummPfalz</v>
      </c>
    </row>
    <row r="914" spans="1:7" ht="12" customHeight="1">
      <c r="A914" s="298">
        <v>36512</v>
      </c>
      <c r="B914" s="299" t="s">
        <v>3512</v>
      </c>
      <c r="C914" s="299">
        <v>60</v>
      </c>
      <c r="D914" s="299">
        <f t="shared" si="31"/>
        <v>12</v>
      </c>
      <c r="E914" s="299">
        <v>42</v>
      </c>
      <c r="F914" s="430" t="s">
        <v>3499</v>
      </c>
      <c r="G914" s="300" t="str">
        <f t="shared" si="32"/>
        <v>MummPfalz</v>
      </c>
    </row>
    <row r="915" spans="1:7" ht="12" customHeight="1">
      <c r="A915" s="298">
        <v>36520</v>
      </c>
      <c r="B915" s="299" t="s">
        <v>3512</v>
      </c>
      <c r="C915" s="299">
        <v>100</v>
      </c>
      <c r="D915" s="299">
        <f t="shared" si="31"/>
        <v>12</v>
      </c>
      <c r="E915" s="299">
        <v>42</v>
      </c>
      <c r="F915" s="430" t="s">
        <v>3499</v>
      </c>
      <c r="G915" s="300" t="str">
        <f t="shared" si="32"/>
        <v>MummPfalz</v>
      </c>
    </row>
    <row r="916" spans="1:7" ht="12" customHeight="1">
      <c r="A916" s="298">
        <v>36192</v>
      </c>
      <c r="B916" s="299" t="s">
        <v>3512</v>
      </c>
      <c r="C916" s="299">
        <v>40</v>
      </c>
      <c r="D916" s="299">
        <f t="shared" si="31"/>
        <v>2</v>
      </c>
      <c r="E916" s="299">
        <v>37</v>
      </c>
      <c r="F916" s="430" t="s">
        <v>3500</v>
      </c>
      <c r="G916" s="300" t="str">
        <f t="shared" si="32"/>
        <v>MummSaarland</v>
      </c>
    </row>
    <row r="917" spans="1:7" ht="12" customHeight="1">
      <c r="A917" s="298">
        <v>36259</v>
      </c>
      <c r="B917" s="299" t="s">
        <v>3512</v>
      </c>
      <c r="C917" s="299">
        <v>40</v>
      </c>
      <c r="D917" s="299">
        <f t="shared" si="31"/>
        <v>4</v>
      </c>
      <c r="E917" s="299">
        <v>44</v>
      </c>
      <c r="F917" s="430" t="s">
        <v>3500</v>
      </c>
      <c r="G917" s="300" t="str">
        <f t="shared" si="32"/>
        <v>MummSaarland</v>
      </c>
    </row>
    <row r="918" spans="1:7" ht="12" customHeight="1">
      <c r="A918" s="298">
        <v>36267</v>
      </c>
      <c r="B918" s="299" t="s">
        <v>3512</v>
      </c>
      <c r="C918" s="299">
        <v>40</v>
      </c>
      <c r="D918" s="299">
        <f t="shared" si="31"/>
        <v>4</v>
      </c>
      <c r="E918" s="299">
        <v>44</v>
      </c>
      <c r="F918" s="430" t="s">
        <v>3500</v>
      </c>
      <c r="G918" s="300" t="str">
        <f t="shared" si="32"/>
        <v>MummSaarland</v>
      </c>
    </row>
    <row r="919" spans="1:7" ht="12" customHeight="1">
      <c r="A919" s="298">
        <v>36269</v>
      </c>
      <c r="B919" s="299" t="s">
        <v>3512</v>
      </c>
      <c r="C919" s="299">
        <v>80</v>
      </c>
      <c r="D919" s="299">
        <f t="shared" si="31"/>
        <v>4</v>
      </c>
      <c r="E919" s="299">
        <v>44</v>
      </c>
      <c r="F919" s="430" t="s">
        <v>3500</v>
      </c>
      <c r="G919" s="300" t="str">
        <f t="shared" si="32"/>
        <v>MummSaarland</v>
      </c>
    </row>
    <row r="920" spans="1:7" ht="12" customHeight="1">
      <c r="A920" s="298">
        <v>36377</v>
      </c>
      <c r="B920" s="299" t="s">
        <v>3512</v>
      </c>
      <c r="C920" s="299">
        <v>60</v>
      </c>
      <c r="D920" s="299">
        <f t="shared" si="31"/>
        <v>8</v>
      </c>
      <c r="E920" s="299">
        <v>42</v>
      </c>
      <c r="F920" s="430" t="s">
        <v>3500</v>
      </c>
      <c r="G920" s="300" t="str">
        <f t="shared" si="32"/>
        <v>MummSaarland</v>
      </c>
    </row>
    <row r="921" spans="1:7" ht="12" customHeight="1">
      <c r="A921" s="298">
        <v>36415</v>
      </c>
      <c r="B921" s="299" t="s">
        <v>3512</v>
      </c>
      <c r="C921" s="299">
        <v>70</v>
      </c>
      <c r="D921" s="299">
        <f t="shared" si="31"/>
        <v>9</v>
      </c>
      <c r="E921" s="299">
        <v>38</v>
      </c>
      <c r="F921" s="430" t="s">
        <v>3500</v>
      </c>
      <c r="G921" s="300" t="str">
        <f t="shared" si="32"/>
        <v>MummSaarland</v>
      </c>
    </row>
    <row r="922" spans="1:7" ht="12" customHeight="1">
      <c r="A922" s="298">
        <v>36416</v>
      </c>
      <c r="B922" s="299" t="s">
        <v>3512</v>
      </c>
      <c r="C922" s="299">
        <v>10</v>
      </c>
      <c r="D922" s="299">
        <f t="shared" si="31"/>
        <v>9</v>
      </c>
      <c r="E922" s="299">
        <v>38</v>
      </c>
      <c r="F922" s="430" t="s">
        <v>3500</v>
      </c>
      <c r="G922" s="300" t="str">
        <f t="shared" si="32"/>
        <v>MummSaarland</v>
      </c>
    </row>
    <row r="923" spans="1:7" ht="12" customHeight="1">
      <c r="A923" s="298">
        <v>36505</v>
      </c>
      <c r="B923" s="299" t="s">
        <v>3512</v>
      </c>
      <c r="C923" s="299">
        <v>120</v>
      </c>
      <c r="D923" s="299">
        <f t="shared" si="31"/>
        <v>12</v>
      </c>
      <c r="E923" s="299">
        <v>44</v>
      </c>
      <c r="F923" s="430" t="s">
        <v>3500</v>
      </c>
      <c r="G923" s="300" t="str">
        <f t="shared" si="32"/>
        <v>MummSaarland</v>
      </c>
    </row>
    <row r="924" spans="1:7" ht="12" customHeight="1">
      <c r="A924" s="298">
        <v>36515</v>
      </c>
      <c r="B924" s="299" t="s">
        <v>3512</v>
      </c>
      <c r="C924" s="299">
        <v>160</v>
      </c>
      <c r="D924" s="299">
        <f t="shared" si="31"/>
        <v>12</v>
      </c>
      <c r="E924" s="299">
        <v>35</v>
      </c>
      <c r="F924" s="430" t="s">
        <v>3500</v>
      </c>
      <c r="G924" s="300" t="str">
        <f t="shared" si="32"/>
        <v>MummSaarland</v>
      </c>
    </row>
    <row r="925" spans="1:7" ht="12" customHeight="1">
      <c r="A925" s="298">
        <v>36196</v>
      </c>
      <c r="B925" s="299" t="s">
        <v>3513</v>
      </c>
      <c r="C925" s="299">
        <v>50</v>
      </c>
      <c r="D925" s="299">
        <f t="shared" si="31"/>
        <v>2</v>
      </c>
      <c r="E925" s="299">
        <v>37</v>
      </c>
      <c r="F925" s="430" t="s">
        <v>3504</v>
      </c>
      <c r="G925" s="300" t="str">
        <f t="shared" si="32"/>
        <v>RieslingBayern</v>
      </c>
    </row>
    <row r="926" spans="1:7" ht="12" customHeight="1">
      <c r="A926" s="298">
        <v>36221</v>
      </c>
      <c r="B926" s="299" t="s">
        <v>3513</v>
      </c>
      <c r="C926" s="299">
        <v>60</v>
      </c>
      <c r="D926" s="299">
        <f t="shared" si="31"/>
        <v>3</v>
      </c>
      <c r="E926" s="299">
        <v>41</v>
      </c>
      <c r="F926" s="430" t="s">
        <v>3504</v>
      </c>
      <c r="G926" s="300" t="str">
        <f t="shared" si="32"/>
        <v>RieslingBayern</v>
      </c>
    </row>
    <row r="927" spans="1:7" ht="12" customHeight="1">
      <c r="A927" s="298">
        <v>36222</v>
      </c>
      <c r="B927" s="299" t="s">
        <v>3513</v>
      </c>
      <c r="C927" s="299">
        <v>150</v>
      </c>
      <c r="D927" s="299">
        <f t="shared" si="31"/>
        <v>3</v>
      </c>
      <c r="E927" s="299">
        <v>37</v>
      </c>
      <c r="F927" s="430" t="s">
        <v>3504</v>
      </c>
      <c r="G927" s="300" t="str">
        <f t="shared" si="32"/>
        <v>RieslingBayern</v>
      </c>
    </row>
    <row r="928" spans="1:7" ht="12" customHeight="1">
      <c r="A928" s="298">
        <v>36235</v>
      </c>
      <c r="B928" s="299" t="s">
        <v>3513</v>
      </c>
      <c r="C928" s="299">
        <v>30</v>
      </c>
      <c r="D928" s="299">
        <f t="shared" si="31"/>
        <v>3</v>
      </c>
      <c r="E928" s="299">
        <v>41</v>
      </c>
      <c r="F928" s="430" t="s">
        <v>3504</v>
      </c>
      <c r="G928" s="300" t="str">
        <f t="shared" si="32"/>
        <v>RieslingBayern</v>
      </c>
    </row>
    <row r="929" spans="1:7" ht="12" customHeight="1">
      <c r="A929" s="298">
        <v>36252</v>
      </c>
      <c r="B929" s="299" t="s">
        <v>3513</v>
      </c>
      <c r="C929" s="299">
        <v>20</v>
      </c>
      <c r="D929" s="299">
        <f t="shared" si="31"/>
        <v>4</v>
      </c>
      <c r="E929" s="299">
        <v>45</v>
      </c>
      <c r="F929" s="430" t="s">
        <v>3501</v>
      </c>
      <c r="G929" s="300" t="str">
        <f t="shared" si="32"/>
        <v>RieslingBW</v>
      </c>
    </row>
    <row r="930" spans="1:7" ht="12" customHeight="1">
      <c r="A930" s="298">
        <v>36312</v>
      </c>
      <c r="B930" s="299" t="s">
        <v>3513</v>
      </c>
      <c r="C930" s="299">
        <v>80</v>
      </c>
      <c r="D930" s="299">
        <f t="shared" si="31"/>
        <v>6</v>
      </c>
      <c r="E930" s="299">
        <v>44</v>
      </c>
      <c r="F930" s="430" t="s">
        <v>3501</v>
      </c>
      <c r="G930" s="300" t="str">
        <f t="shared" si="32"/>
        <v>RieslingBW</v>
      </c>
    </row>
    <row r="931" spans="1:7" ht="12" customHeight="1">
      <c r="A931" s="298">
        <v>36328</v>
      </c>
      <c r="B931" s="299" t="s">
        <v>3513</v>
      </c>
      <c r="C931" s="299">
        <v>120</v>
      </c>
      <c r="D931" s="299">
        <f t="shared" si="31"/>
        <v>6</v>
      </c>
      <c r="E931" s="299">
        <v>44</v>
      </c>
      <c r="F931" s="430" t="s">
        <v>3501</v>
      </c>
      <c r="G931" s="300" t="str">
        <f t="shared" si="32"/>
        <v>RieslingBW</v>
      </c>
    </row>
    <row r="932" spans="1:7" ht="12" customHeight="1">
      <c r="A932" s="298">
        <v>36404</v>
      </c>
      <c r="B932" s="299" t="s">
        <v>3513</v>
      </c>
      <c r="C932" s="299">
        <v>60</v>
      </c>
      <c r="D932" s="299">
        <f t="shared" si="31"/>
        <v>9</v>
      </c>
      <c r="E932" s="299">
        <v>39</v>
      </c>
      <c r="F932" s="430" t="s">
        <v>3501</v>
      </c>
      <c r="G932" s="300" t="str">
        <f t="shared" si="32"/>
        <v>RieslingBW</v>
      </c>
    </row>
    <row r="933" spans="1:7" ht="12" customHeight="1">
      <c r="A933" s="298">
        <v>36429</v>
      </c>
      <c r="B933" s="299" t="s">
        <v>3513</v>
      </c>
      <c r="C933" s="299">
        <v>120</v>
      </c>
      <c r="D933" s="299">
        <f t="shared" si="31"/>
        <v>9</v>
      </c>
      <c r="E933" s="299">
        <v>36</v>
      </c>
      <c r="F933" s="430" t="s">
        <v>3501</v>
      </c>
      <c r="G933" s="300" t="str">
        <f t="shared" si="32"/>
        <v>RieslingBW</v>
      </c>
    </row>
    <row r="934" spans="1:7" ht="12" customHeight="1">
      <c r="A934" s="298">
        <v>36446</v>
      </c>
      <c r="B934" s="299" t="s">
        <v>3513</v>
      </c>
      <c r="C934" s="299">
        <v>100</v>
      </c>
      <c r="D934" s="299">
        <f t="shared" si="31"/>
        <v>10</v>
      </c>
      <c r="E934" s="299">
        <v>39</v>
      </c>
      <c r="F934" s="430" t="s">
        <v>3501</v>
      </c>
      <c r="G934" s="300" t="str">
        <f t="shared" si="32"/>
        <v>RieslingBW</v>
      </c>
    </row>
    <row r="935" spans="1:7" ht="12" customHeight="1">
      <c r="A935" s="298">
        <v>36314</v>
      </c>
      <c r="B935" s="299" t="s">
        <v>3513</v>
      </c>
      <c r="C935" s="299">
        <v>80</v>
      </c>
      <c r="D935" s="299">
        <f t="shared" si="31"/>
        <v>6</v>
      </c>
      <c r="E935" s="299">
        <v>35</v>
      </c>
      <c r="F935" s="430" t="s">
        <v>3502</v>
      </c>
      <c r="G935" s="300" t="str">
        <f t="shared" si="32"/>
        <v>RieslingHessen</v>
      </c>
    </row>
    <row r="936" spans="1:7" ht="12" customHeight="1">
      <c r="A936" s="298">
        <v>36327</v>
      </c>
      <c r="B936" s="299" t="s">
        <v>3513</v>
      </c>
      <c r="C936" s="299">
        <v>20</v>
      </c>
      <c r="D936" s="299">
        <f t="shared" si="31"/>
        <v>6</v>
      </c>
      <c r="E936" s="299">
        <v>35</v>
      </c>
      <c r="F936" s="430" t="s">
        <v>3502</v>
      </c>
      <c r="G936" s="300" t="str">
        <f t="shared" si="32"/>
        <v>RieslingHessen</v>
      </c>
    </row>
    <row r="937" spans="1:7" ht="12" customHeight="1">
      <c r="A937" s="298">
        <v>36332</v>
      </c>
      <c r="B937" s="299" t="s">
        <v>3513</v>
      </c>
      <c r="C937" s="299">
        <v>30</v>
      </c>
      <c r="D937" s="299">
        <f t="shared" si="31"/>
        <v>6</v>
      </c>
      <c r="E937" s="299">
        <v>36</v>
      </c>
      <c r="F937" s="430" t="s">
        <v>3502</v>
      </c>
      <c r="G937" s="300" t="str">
        <f t="shared" si="32"/>
        <v>RieslingHessen</v>
      </c>
    </row>
    <row r="938" spans="1:7" ht="12" customHeight="1">
      <c r="A938" s="298">
        <v>36338</v>
      </c>
      <c r="B938" s="299" t="s">
        <v>3513</v>
      </c>
      <c r="C938" s="299">
        <v>90</v>
      </c>
      <c r="D938" s="299">
        <f t="shared" si="31"/>
        <v>6</v>
      </c>
      <c r="E938" s="299">
        <v>35</v>
      </c>
      <c r="F938" s="430" t="s">
        <v>3502</v>
      </c>
      <c r="G938" s="300" t="str">
        <f t="shared" si="32"/>
        <v>RieslingHessen</v>
      </c>
    </row>
    <row r="939" spans="1:7" ht="12" customHeight="1">
      <c r="A939" s="298">
        <v>36226</v>
      </c>
      <c r="B939" s="299" t="s">
        <v>3513</v>
      </c>
      <c r="C939" s="299">
        <v>70</v>
      </c>
      <c r="D939" s="299">
        <f t="shared" si="31"/>
        <v>3</v>
      </c>
      <c r="E939" s="299">
        <v>41</v>
      </c>
      <c r="F939" s="430" t="s">
        <v>3503</v>
      </c>
      <c r="G939" s="300" t="str">
        <f t="shared" si="32"/>
        <v>RieslingHolstein</v>
      </c>
    </row>
    <row r="940" spans="1:7" ht="12" customHeight="1">
      <c r="A940" s="298">
        <v>36320</v>
      </c>
      <c r="B940" s="299" t="s">
        <v>3513</v>
      </c>
      <c r="C940" s="299">
        <v>100</v>
      </c>
      <c r="D940" s="299">
        <f t="shared" si="31"/>
        <v>6</v>
      </c>
      <c r="E940" s="299">
        <v>43</v>
      </c>
      <c r="F940" s="430" t="s">
        <v>3503</v>
      </c>
      <c r="G940" s="300" t="str">
        <f t="shared" si="32"/>
        <v>RieslingHolstein</v>
      </c>
    </row>
    <row r="941" spans="1:7" ht="12" customHeight="1">
      <c r="A941" s="298">
        <v>36177</v>
      </c>
      <c r="B941" s="299" t="s">
        <v>3513</v>
      </c>
      <c r="C941" s="299">
        <v>180</v>
      </c>
      <c r="D941" s="299">
        <f t="shared" si="31"/>
        <v>1</v>
      </c>
      <c r="E941" s="299">
        <v>37</v>
      </c>
      <c r="F941" s="430" t="s">
        <v>3497</v>
      </c>
      <c r="G941" s="300" t="str">
        <f t="shared" si="32"/>
        <v>RieslingNRW</v>
      </c>
    </row>
    <row r="942" spans="1:7" ht="12" customHeight="1">
      <c r="A942" s="298">
        <v>36179</v>
      </c>
      <c r="B942" s="299" t="s">
        <v>3513</v>
      </c>
      <c r="C942" s="299">
        <v>90</v>
      </c>
      <c r="D942" s="299">
        <f t="shared" si="31"/>
        <v>1</v>
      </c>
      <c r="E942" s="299">
        <v>36</v>
      </c>
      <c r="F942" s="430" t="s">
        <v>3497</v>
      </c>
      <c r="G942" s="300" t="str">
        <f t="shared" si="32"/>
        <v>RieslingNRW</v>
      </c>
    </row>
    <row r="943" spans="1:7" ht="12" customHeight="1">
      <c r="A943" s="298">
        <v>36188</v>
      </c>
      <c r="B943" s="299" t="s">
        <v>3513</v>
      </c>
      <c r="C943" s="299">
        <v>100</v>
      </c>
      <c r="D943" s="299">
        <f t="shared" si="31"/>
        <v>1</v>
      </c>
      <c r="E943" s="299">
        <v>37</v>
      </c>
      <c r="F943" s="430" t="s">
        <v>3497</v>
      </c>
      <c r="G943" s="300" t="str">
        <f t="shared" si="32"/>
        <v>RieslingNRW</v>
      </c>
    </row>
    <row r="944" spans="1:7" ht="12" customHeight="1">
      <c r="A944" s="298">
        <v>36207</v>
      </c>
      <c r="B944" s="299" t="s">
        <v>3513</v>
      </c>
      <c r="C944" s="299">
        <v>110</v>
      </c>
      <c r="D944" s="299">
        <f t="shared" si="31"/>
        <v>2</v>
      </c>
      <c r="E944" s="299">
        <v>36</v>
      </c>
      <c r="F944" s="430" t="s">
        <v>3497</v>
      </c>
      <c r="G944" s="300" t="str">
        <f t="shared" si="32"/>
        <v>RieslingNRW</v>
      </c>
    </row>
    <row r="945" spans="1:7" ht="12" customHeight="1">
      <c r="A945" s="298">
        <v>36220</v>
      </c>
      <c r="B945" s="299" t="s">
        <v>3513</v>
      </c>
      <c r="C945" s="299">
        <v>210</v>
      </c>
      <c r="D945" s="299">
        <f t="shared" si="31"/>
        <v>3</v>
      </c>
      <c r="E945" s="299">
        <v>43</v>
      </c>
      <c r="F945" s="430" t="s">
        <v>3497</v>
      </c>
      <c r="G945" s="300" t="str">
        <f t="shared" si="32"/>
        <v>RieslingNRW</v>
      </c>
    </row>
    <row r="946" spans="1:7" ht="12" customHeight="1">
      <c r="A946" s="298">
        <v>36220</v>
      </c>
      <c r="B946" s="299" t="s">
        <v>3513</v>
      </c>
      <c r="C946" s="299">
        <v>110</v>
      </c>
      <c r="D946" s="299">
        <f t="shared" si="31"/>
        <v>3</v>
      </c>
      <c r="E946" s="299">
        <v>43</v>
      </c>
      <c r="F946" s="430" t="s">
        <v>3497</v>
      </c>
      <c r="G946" s="300" t="str">
        <f t="shared" si="32"/>
        <v>RieslingNRW</v>
      </c>
    </row>
    <row r="947" spans="1:7" ht="12" customHeight="1">
      <c r="A947" s="298">
        <v>36222</v>
      </c>
      <c r="B947" s="299" t="s">
        <v>3513</v>
      </c>
      <c r="C947" s="299">
        <v>90</v>
      </c>
      <c r="D947" s="299">
        <f t="shared" si="31"/>
        <v>3</v>
      </c>
      <c r="E947" s="299">
        <v>43</v>
      </c>
      <c r="F947" s="430" t="s">
        <v>3497</v>
      </c>
      <c r="G947" s="300" t="str">
        <f t="shared" si="32"/>
        <v>RieslingNRW</v>
      </c>
    </row>
    <row r="948" spans="1:7" ht="12" customHeight="1">
      <c r="A948" s="298">
        <v>36224</v>
      </c>
      <c r="B948" s="299" t="s">
        <v>3513</v>
      </c>
      <c r="C948" s="299">
        <v>80</v>
      </c>
      <c r="D948" s="299">
        <f t="shared" si="31"/>
        <v>3</v>
      </c>
      <c r="E948" s="299">
        <v>35</v>
      </c>
      <c r="F948" s="430" t="s">
        <v>3497</v>
      </c>
      <c r="G948" s="300" t="str">
        <f t="shared" si="32"/>
        <v>RieslingNRW</v>
      </c>
    </row>
    <row r="949" spans="1:7" ht="12" customHeight="1">
      <c r="A949" s="298">
        <v>36231</v>
      </c>
      <c r="B949" s="299" t="s">
        <v>3513</v>
      </c>
      <c r="C949" s="299">
        <v>180</v>
      </c>
      <c r="D949" s="299">
        <f t="shared" si="31"/>
        <v>3</v>
      </c>
      <c r="E949" s="299">
        <v>41</v>
      </c>
      <c r="F949" s="430" t="s">
        <v>3497</v>
      </c>
      <c r="G949" s="300" t="str">
        <f t="shared" si="32"/>
        <v>RieslingNRW</v>
      </c>
    </row>
    <row r="950" spans="1:7" ht="12" customHeight="1">
      <c r="A950" s="298">
        <v>36231</v>
      </c>
      <c r="B950" s="299" t="s">
        <v>3513</v>
      </c>
      <c r="C950" s="299">
        <v>50</v>
      </c>
      <c r="D950" s="299">
        <f t="shared" si="31"/>
        <v>3</v>
      </c>
      <c r="E950" s="299">
        <v>42</v>
      </c>
      <c r="F950" s="430" t="s">
        <v>3497</v>
      </c>
      <c r="G950" s="300" t="str">
        <f t="shared" si="32"/>
        <v>RieslingNRW</v>
      </c>
    </row>
    <row r="951" spans="1:7" ht="12" customHeight="1">
      <c r="A951" s="298">
        <v>36231</v>
      </c>
      <c r="B951" s="299" t="s">
        <v>3513</v>
      </c>
      <c r="C951" s="299">
        <v>50</v>
      </c>
      <c r="D951" s="299">
        <f t="shared" si="31"/>
        <v>3</v>
      </c>
      <c r="E951" s="299">
        <v>43</v>
      </c>
      <c r="F951" s="430" t="s">
        <v>3497</v>
      </c>
      <c r="G951" s="300" t="str">
        <f t="shared" si="32"/>
        <v>RieslingNRW</v>
      </c>
    </row>
    <row r="952" spans="1:7" ht="12" customHeight="1">
      <c r="A952" s="298">
        <v>36235</v>
      </c>
      <c r="B952" s="299" t="s">
        <v>3513</v>
      </c>
      <c r="C952" s="299">
        <v>70</v>
      </c>
      <c r="D952" s="299">
        <f t="shared" si="31"/>
        <v>3</v>
      </c>
      <c r="E952" s="299">
        <v>42</v>
      </c>
      <c r="F952" s="430" t="s">
        <v>3497</v>
      </c>
      <c r="G952" s="300" t="str">
        <f t="shared" si="32"/>
        <v>RieslingNRW</v>
      </c>
    </row>
    <row r="953" spans="1:7" ht="12" customHeight="1">
      <c r="A953" s="298">
        <v>36237</v>
      </c>
      <c r="B953" s="299" t="s">
        <v>3513</v>
      </c>
      <c r="C953" s="299">
        <v>100</v>
      </c>
      <c r="D953" s="299">
        <f t="shared" si="31"/>
        <v>3</v>
      </c>
      <c r="E953" s="299">
        <v>41</v>
      </c>
      <c r="F953" s="430" t="s">
        <v>3497</v>
      </c>
      <c r="G953" s="300" t="str">
        <f t="shared" si="32"/>
        <v>RieslingNRW</v>
      </c>
    </row>
    <row r="954" spans="1:7" ht="12" customHeight="1">
      <c r="A954" s="298">
        <v>36242</v>
      </c>
      <c r="B954" s="299" t="s">
        <v>3513</v>
      </c>
      <c r="C954" s="299">
        <v>150</v>
      </c>
      <c r="D954" s="299">
        <f t="shared" si="31"/>
        <v>3</v>
      </c>
      <c r="E954" s="299">
        <v>39</v>
      </c>
      <c r="F954" s="430" t="s">
        <v>3497</v>
      </c>
      <c r="G954" s="300" t="str">
        <f t="shared" si="32"/>
        <v>RieslingNRW</v>
      </c>
    </row>
    <row r="955" spans="1:7" ht="12" customHeight="1">
      <c r="A955" s="298">
        <v>36244</v>
      </c>
      <c r="B955" s="299" t="s">
        <v>3513</v>
      </c>
      <c r="C955" s="299">
        <v>50</v>
      </c>
      <c r="D955" s="299">
        <f t="shared" si="31"/>
        <v>3</v>
      </c>
      <c r="E955" s="299">
        <v>41</v>
      </c>
      <c r="F955" s="430" t="s">
        <v>3497</v>
      </c>
      <c r="G955" s="300" t="str">
        <f t="shared" si="32"/>
        <v>RieslingNRW</v>
      </c>
    </row>
    <row r="956" spans="1:7" ht="12" customHeight="1">
      <c r="A956" s="298">
        <v>36253</v>
      </c>
      <c r="B956" s="299" t="s">
        <v>3513</v>
      </c>
      <c r="C956" s="299">
        <v>180</v>
      </c>
      <c r="D956" s="299">
        <f t="shared" si="31"/>
        <v>4</v>
      </c>
      <c r="E956" s="299">
        <v>42</v>
      </c>
      <c r="F956" s="430" t="s">
        <v>3497</v>
      </c>
      <c r="G956" s="300" t="str">
        <f t="shared" si="32"/>
        <v>RieslingNRW</v>
      </c>
    </row>
    <row r="957" spans="1:7" ht="12" customHeight="1">
      <c r="A957" s="298">
        <v>36260</v>
      </c>
      <c r="B957" s="299" t="s">
        <v>3513</v>
      </c>
      <c r="C957" s="299">
        <v>90</v>
      </c>
      <c r="D957" s="299">
        <f t="shared" si="31"/>
        <v>4</v>
      </c>
      <c r="E957" s="299">
        <v>36</v>
      </c>
      <c r="F957" s="430" t="s">
        <v>3497</v>
      </c>
      <c r="G957" s="300" t="str">
        <f t="shared" si="32"/>
        <v>RieslingNRW</v>
      </c>
    </row>
    <row r="958" spans="1:7" ht="12" customHeight="1">
      <c r="A958" s="298">
        <v>36271</v>
      </c>
      <c r="B958" s="299" t="s">
        <v>3513</v>
      </c>
      <c r="C958" s="299">
        <v>80</v>
      </c>
      <c r="D958" s="299">
        <f t="shared" si="31"/>
        <v>4</v>
      </c>
      <c r="E958" s="299">
        <v>42</v>
      </c>
      <c r="F958" s="430" t="s">
        <v>3497</v>
      </c>
      <c r="G958" s="300" t="str">
        <f t="shared" si="32"/>
        <v>RieslingNRW</v>
      </c>
    </row>
    <row r="959" spans="1:7" ht="12" customHeight="1">
      <c r="A959" s="298">
        <v>36275</v>
      </c>
      <c r="B959" s="299" t="s">
        <v>3513</v>
      </c>
      <c r="C959" s="299">
        <v>80</v>
      </c>
      <c r="D959" s="299">
        <f t="shared" si="31"/>
        <v>4</v>
      </c>
      <c r="E959" s="299">
        <v>43</v>
      </c>
      <c r="F959" s="430" t="s">
        <v>3497</v>
      </c>
      <c r="G959" s="300" t="str">
        <f t="shared" si="32"/>
        <v>RieslingNRW</v>
      </c>
    </row>
    <row r="960" spans="1:7" ht="12" customHeight="1">
      <c r="A960" s="298">
        <v>36277</v>
      </c>
      <c r="B960" s="299" t="s">
        <v>3513</v>
      </c>
      <c r="C960" s="299">
        <v>120</v>
      </c>
      <c r="D960" s="299">
        <f t="shared" si="31"/>
        <v>4</v>
      </c>
      <c r="E960" s="299">
        <v>38</v>
      </c>
      <c r="F960" s="430" t="s">
        <v>3497</v>
      </c>
      <c r="G960" s="300" t="str">
        <f t="shared" si="32"/>
        <v>RieslingNRW</v>
      </c>
    </row>
    <row r="961" spans="1:7" ht="12" customHeight="1">
      <c r="A961" s="298">
        <v>36279</v>
      </c>
      <c r="B961" s="299" t="s">
        <v>3513</v>
      </c>
      <c r="C961" s="299">
        <v>120</v>
      </c>
      <c r="D961" s="299">
        <f t="shared" si="31"/>
        <v>4</v>
      </c>
      <c r="E961" s="299">
        <v>36</v>
      </c>
      <c r="F961" s="430" t="s">
        <v>3497</v>
      </c>
      <c r="G961" s="300" t="str">
        <f t="shared" si="32"/>
        <v>RieslingNRW</v>
      </c>
    </row>
    <row r="962" spans="1:7" ht="12" customHeight="1">
      <c r="A962" s="298">
        <v>36300</v>
      </c>
      <c r="B962" s="299" t="s">
        <v>3513</v>
      </c>
      <c r="C962" s="299">
        <v>120</v>
      </c>
      <c r="D962" s="299">
        <f t="shared" si="31"/>
        <v>5</v>
      </c>
      <c r="E962" s="299">
        <v>43</v>
      </c>
      <c r="F962" s="430" t="s">
        <v>3497</v>
      </c>
      <c r="G962" s="300" t="str">
        <f t="shared" si="32"/>
        <v>RieslingNRW</v>
      </c>
    </row>
    <row r="963" spans="1:7" ht="12" customHeight="1">
      <c r="A963" s="298">
        <v>36305</v>
      </c>
      <c r="B963" s="299" t="s">
        <v>3513</v>
      </c>
      <c r="C963" s="299">
        <v>120</v>
      </c>
      <c r="D963" s="299">
        <f t="shared" si="31"/>
        <v>5</v>
      </c>
      <c r="E963" s="299">
        <v>43</v>
      </c>
      <c r="F963" s="430" t="s">
        <v>3497</v>
      </c>
      <c r="G963" s="300" t="str">
        <f t="shared" si="32"/>
        <v>RieslingNRW</v>
      </c>
    </row>
    <row r="964" spans="1:7" ht="12" customHeight="1">
      <c r="A964" s="298">
        <v>36308</v>
      </c>
      <c r="B964" s="299" t="s">
        <v>3513</v>
      </c>
      <c r="C964" s="299">
        <v>90</v>
      </c>
      <c r="D964" s="299">
        <f t="shared" si="31"/>
        <v>5</v>
      </c>
      <c r="E964" s="299">
        <v>43</v>
      </c>
      <c r="F964" s="430" t="s">
        <v>3497</v>
      </c>
      <c r="G964" s="300" t="str">
        <f t="shared" si="32"/>
        <v>RieslingNRW</v>
      </c>
    </row>
    <row r="965" spans="1:7" ht="12" customHeight="1">
      <c r="A965" s="298">
        <v>36312</v>
      </c>
      <c r="B965" s="299" t="s">
        <v>3513</v>
      </c>
      <c r="C965" s="299">
        <v>40</v>
      </c>
      <c r="D965" s="299">
        <f t="shared" si="31"/>
        <v>6</v>
      </c>
      <c r="E965" s="299">
        <v>43</v>
      </c>
      <c r="F965" s="430" t="s">
        <v>3497</v>
      </c>
      <c r="G965" s="300" t="str">
        <f t="shared" si="32"/>
        <v>RieslingNRW</v>
      </c>
    </row>
    <row r="966" spans="1:7" ht="12" customHeight="1">
      <c r="A966" s="298">
        <v>36312</v>
      </c>
      <c r="B966" s="299" t="s">
        <v>3513</v>
      </c>
      <c r="C966" s="299">
        <v>30</v>
      </c>
      <c r="D966" s="299">
        <f t="shared" ref="D966:D1029" si="33">MONTH(A966)</f>
        <v>6</v>
      </c>
      <c r="E966" s="299">
        <v>38</v>
      </c>
      <c r="F966" s="430" t="s">
        <v>3497</v>
      </c>
      <c r="G966" s="300" t="str">
        <f t="shared" ref="G966:G1029" si="34">B966&amp;F966</f>
        <v>RieslingNRW</v>
      </c>
    </row>
    <row r="967" spans="1:7" ht="12" customHeight="1">
      <c r="A967" s="298">
        <v>36321</v>
      </c>
      <c r="B967" s="299" t="s">
        <v>3513</v>
      </c>
      <c r="C967" s="299">
        <v>100</v>
      </c>
      <c r="D967" s="299">
        <f t="shared" si="33"/>
        <v>6</v>
      </c>
      <c r="E967" s="299">
        <v>41</v>
      </c>
      <c r="F967" s="430" t="s">
        <v>3497</v>
      </c>
      <c r="G967" s="300" t="str">
        <f t="shared" si="34"/>
        <v>RieslingNRW</v>
      </c>
    </row>
    <row r="968" spans="1:7" ht="12" customHeight="1">
      <c r="A968" s="298">
        <v>36322</v>
      </c>
      <c r="B968" s="299" t="s">
        <v>3513</v>
      </c>
      <c r="C968" s="299">
        <v>110</v>
      </c>
      <c r="D968" s="299">
        <f t="shared" si="33"/>
        <v>6</v>
      </c>
      <c r="E968" s="299">
        <v>43</v>
      </c>
      <c r="F968" s="430" t="s">
        <v>3497</v>
      </c>
      <c r="G968" s="300" t="str">
        <f t="shared" si="34"/>
        <v>RieslingNRW</v>
      </c>
    </row>
    <row r="969" spans="1:7" ht="12" customHeight="1">
      <c r="A969" s="298">
        <v>36329</v>
      </c>
      <c r="B969" s="299" t="s">
        <v>3513</v>
      </c>
      <c r="C969" s="299">
        <v>60</v>
      </c>
      <c r="D969" s="299">
        <f t="shared" si="33"/>
        <v>6</v>
      </c>
      <c r="E969" s="299">
        <v>36</v>
      </c>
      <c r="F969" s="430" t="s">
        <v>3497</v>
      </c>
      <c r="G969" s="300" t="str">
        <f t="shared" si="34"/>
        <v>RieslingNRW</v>
      </c>
    </row>
    <row r="970" spans="1:7" ht="12" customHeight="1">
      <c r="A970" s="298">
        <v>36340</v>
      </c>
      <c r="B970" s="299" t="s">
        <v>3513</v>
      </c>
      <c r="C970" s="299">
        <v>50</v>
      </c>
      <c r="D970" s="299">
        <f t="shared" si="33"/>
        <v>6</v>
      </c>
      <c r="E970" s="299">
        <v>41</v>
      </c>
      <c r="F970" s="430" t="s">
        <v>3497</v>
      </c>
      <c r="G970" s="300" t="str">
        <f t="shared" si="34"/>
        <v>RieslingNRW</v>
      </c>
    </row>
    <row r="971" spans="1:7" ht="12" customHeight="1">
      <c r="A971" s="298">
        <v>36344</v>
      </c>
      <c r="B971" s="299" t="s">
        <v>3513</v>
      </c>
      <c r="C971" s="299">
        <v>10</v>
      </c>
      <c r="D971" s="299">
        <f t="shared" si="33"/>
        <v>7</v>
      </c>
      <c r="E971" s="299">
        <v>35</v>
      </c>
      <c r="F971" s="430" t="s">
        <v>3497</v>
      </c>
      <c r="G971" s="300" t="str">
        <f t="shared" si="34"/>
        <v>RieslingNRW</v>
      </c>
    </row>
    <row r="972" spans="1:7" ht="12" customHeight="1">
      <c r="A972" s="298">
        <v>36345</v>
      </c>
      <c r="B972" s="299" t="s">
        <v>3513</v>
      </c>
      <c r="C972" s="299">
        <v>180</v>
      </c>
      <c r="D972" s="299">
        <f t="shared" si="33"/>
        <v>7</v>
      </c>
      <c r="E972" s="299">
        <v>37</v>
      </c>
      <c r="F972" s="430" t="s">
        <v>3497</v>
      </c>
      <c r="G972" s="300" t="str">
        <f t="shared" si="34"/>
        <v>RieslingNRW</v>
      </c>
    </row>
    <row r="973" spans="1:7" ht="12" customHeight="1">
      <c r="A973" s="298">
        <v>36347</v>
      </c>
      <c r="B973" s="299" t="s">
        <v>3513</v>
      </c>
      <c r="C973" s="299">
        <v>50</v>
      </c>
      <c r="D973" s="299">
        <f t="shared" si="33"/>
        <v>7</v>
      </c>
      <c r="E973" s="299">
        <v>36</v>
      </c>
      <c r="F973" s="430" t="s">
        <v>3497</v>
      </c>
      <c r="G973" s="300" t="str">
        <f t="shared" si="34"/>
        <v>RieslingNRW</v>
      </c>
    </row>
    <row r="974" spans="1:7" ht="12" customHeight="1">
      <c r="A974" s="298">
        <v>36347</v>
      </c>
      <c r="B974" s="299" t="s">
        <v>3513</v>
      </c>
      <c r="C974" s="299">
        <v>20</v>
      </c>
      <c r="D974" s="299">
        <f t="shared" si="33"/>
        <v>7</v>
      </c>
      <c r="E974" s="299">
        <v>36</v>
      </c>
      <c r="F974" s="430" t="s">
        <v>3497</v>
      </c>
      <c r="G974" s="300" t="str">
        <f t="shared" si="34"/>
        <v>RieslingNRW</v>
      </c>
    </row>
    <row r="975" spans="1:7" ht="12" customHeight="1">
      <c r="A975" s="298">
        <v>36349</v>
      </c>
      <c r="B975" s="299" t="s">
        <v>3513</v>
      </c>
      <c r="C975" s="299">
        <v>50</v>
      </c>
      <c r="D975" s="299">
        <f t="shared" si="33"/>
        <v>7</v>
      </c>
      <c r="E975" s="299">
        <v>36</v>
      </c>
      <c r="F975" s="430" t="s">
        <v>3497</v>
      </c>
      <c r="G975" s="300" t="str">
        <f t="shared" si="34"/>
        <v>RieslingNRW</v>
      </c>
    </row>
    <row r="976" spans="1:7" ht="12" customHeight="1">
      <c r="A976" s="298">
        <v>36350</v>
      </c>
      <c r="B976" s="299" t="s">
        <v>3513</v>
      </c>
      <c r="C976" s="299">
        <v>50</v>
      </c>
      <c r="D976" s="299">
        <f t="shared" si="33"/>
        <v>7</v>
      </c>
      <c r="E976" s="299">
        <v>41</v>
      </c>
      <c r="F976" s="430" t="s">
        <v>3497</v>
      </c>
      <c r="G976" s="300" t="str">
        <f t="shared" si="34"/>
        <v>RieslingNRW</v>
      </c>
    </row>
    <row r="977" spans="1:7" ht="12" customHeight="1">
      <c r="A977" s="298">
        <v>36351</v>
      </c>
      <c r="B977" s="299" t="s">
        <v>3513</v>
      </c>
      <c r="C977" s="299">
        <v>40</v>
      </c>
      <c r="D977" s="299">
        <f t="shared" si="33"/>
        <v>7</v>
      </c>
      <c r="E977" s="299">
        <v>36</v>
      </c>
      <c r="F977" s="430" t="s">
        <v>3497</v>
      </c>
      <c r="G977" s="300" t="str">
        <f t="shared" si="34"/>
        <v>RieslingNRW</v>
      </c>
    </row>
    <row r="978" spans="1:7" ht="12" customHeight="1">
      <c r="A978" s="298">
        <v>36356</v>
      </c>
      <c r="B978" s="299" t="s">
        <v>3513</v>
      </c>
      <c r="C978" s="299">
        <v>150</v>
      </c>
      <c r="D978" s="299">
        <f t="shared" si="33"/>
        <v>7</v>
      </c>
      <c r="E978" s="299">
        <v>41</v>
      </c>
      <c r="F978" s="430" t="s">
        <v>3497</v>
      </c>
      <c r="G978" s="300" t="str">
        <f t="shared" si="34"/>
        <v>RieslingNRW</v>
      </c>
    </row>
    <row r="979" spans="1:7" ht="12" customHeight="1">
      <c r="A979" s="298">
        <v>36358</v>
      </c>
      <c r="B979" s="299" t="s">
        <v>3513</v>
      </c>
      <c r="C979" s="299">
        <v>110</v>
      </c>
      <c r="D979" s="299">
        <f t="shared" si="33"/>
        <v>7</v>
      </c>
      <c r="E979" s="299">
        <v>39</v>
      </c>
      <c r="F979" s="430" t="s">
        <v>3497</v>
      </c>
      <c r="G979" s="300" t="str">
        <f t="shared" si="34"/>
        <v>RieslingNRW</v>
      </c>
    </row>
    <row r="980" spans="1:7" ht="12" customHeight="1">
      <c r="A980" s="298">
        <v>36362</v>
      </c>
      <c r="B980" s="299" t="s">
        <v>3513</v>
      </c>
      <c r="C980" s="299">
        <v>210</v>
      </c>
      <c r="D980" s="299">
        <f t="shared" si="33"/>
        <v>7</v>
      </c>
      <c r="E980" s="299">
        <v>36</v>
      </c>
      <c r="F980" s="430" t="s">
        <v>3497</v>
      </c>
      <c r="G980" s="300" t="str">
        <f t="shared" si="34"/>
        <v>RieslingNRW</v>
      </c>
    </row>
    <row r="981" spans="1:7" ht="12" customHeight="1">
      <c r="A981" s="298">
        <v>36366</v>
      </c>
      <c r="B981" s="299" t="s">
        <v>3513</v>
      </c>
      <c r="C981" s="299">
        <v>240</v>
      </c>
      <c r="D981" s="299">
        <f t="shared" si="33"/>
        <v>7</v>
      </c>
      <c r="E981" s="299">
        <v>37</v>
      </c>
      <c r="F981" s="430" t="s">
        <v>3497</v>
      </c>
      <c r="G981" s="300" t="str">
        <f t="shared" si="34"/>
        <v>RieslingNRW</v>
      </c>
    </row>
    <row r="982" spans="1:7" ht="12" customHeight="1">
      <c r="A982" s="298">
        <v>36366</v>
      </c>
      <c r="B982" s="299" t="s">
        <v>3513</v>
      </c>
      <c r="C982" s="299">
        <v>210</v>
      </c>
      <c r="D982" s="299">
        <f t="shared" si="33"/>
        <v>7</v>
      </c>
      <c r="E982" s="299">
        <v>41</v>
      </c>
      <c r="F982" s="430" t="s">
        <v>3497</v>
      </c>
      <c r="G982" s="300" t="str">
        <f t="shared" si="34"/>
        <v>RieslingNRW</v>
      </c>
    </row>
    <row r="983" spans="1:7" ht="12" customHeight="1">
      <c r="A983" s="298">
        <v>36368</v>
      </c>
      <c r="B983" s="299" t="s">
        <v>3513</v>
      </c>
      <c r="C983" s="299">
        <v>150</v>
      </c>
      <c r="D983" s="299">
        <f t="shared" si="33"/>
        <v>7</v>
      </c>
      <c r="E983" s="299">
        <v>36</v>
      </c>
      <c r="F983" s="430" t="s">
        <v>3497</v>
      </c>
      <c r="G983" s="300" t="str">
        <f t="shared" si="34"/>
        <v>RieslingNRW</v>
      </c>
    </row>
    <row r="984" spans="1:7" ht="12" customHeight="1">
      <c r="A984" s="298">
        <v>36386</v>
      </c>
      <c r="B984" s="299" t="s">
        <v>3513</v>
      </c>
      <c r="C984" s="299">
        <v>80</v>
      </c>
      <c r="D984" s="299">
        <f t="shared" si="33"/>
        <v>8</v>
      </c>
      <c r="E984" s="299">
        <v>37</v>
      </c>
      <c r="F984" s="430" t="s">
        <v>3497</v>
      </c>
      <c r="G984" s="300" t="str">
        <f t="shared" si="34"/>
        <v>RieslingNRW</v>
      </c>
    </row>
    <row r="985" spans="1:7" ht="12" customHeight="1">
      <c r="A985" s="298">
        <v>36390</v>
      </c>
      <c r="B985" s="299" t="s">
        <v>3513</v>
      </c>
      <c r="C985" s="299">
        <v>90</v>
      </c>
      <c r="D985" s="299">
        <f t="shared" si="33"/>
        <v>8</v>
      </c>
      <c r="E985" s="299">
        <v>39</v>
      </c>
      <c r="F985" s="430" t="s">
        <v>3497</v>
      </c>
      <c r="G985" s="300" t="str">
        <f t="shared" si="34"/>
        <v>RieslingNRW</v>
      </c>
    </row>
    <row r="986" spans="1:7" ht="12" customHeight="1">
      <c r="A986" s="298">
        <v>36392</v>
      </c>
      <c r="B986" s="299" t="s">
        <v>3513</v>
      </c>
      <c r="C986" s="299">
        <v>70</v>
      </c>
      <c r="D986" s="299">
        <f t="shared" si="33"/>
        <v>8</v>
      </c>
      <c r="E986" s="299">
        <v>41</v>
      </c>
      <c r="F986" s="430" t="s">
        <v>3497</v>
      </c>
      <c r="G986" s="300" t="str">
        <f t="shared" si="34"/>
        <v>RieslingNRW</v>
      </c>
    </row>
    <row r="987" spans="1:7" ht="12" customHeight="1">
      <c r="A987" s="298">
        <v>36392</v>
      </c>
      <c r="B987" s="299" t="s">
        <v>3513</v>
      </c>
      <c r="C987" s="299">
        <v>90</v>
      </c>
      <c r="D987" s="299">
        <f t="shared" si="33"/>
        <v>8</v>
      </c>
      <c r="E987" s="299">
        <v>36</v>
      </c>
      <c r="F987" s="430" t="s">
        <v>3497</v>
      </c>
      <c r="G987" s="300" t="str">
        <f t="shared" si="34"/>
        <v>RieslingNRW</v>
      </c>
    </row>
    <row r="988" spans="1:7" ht="12" customHeight="1">
      <c r="A988" s="298">
        <v>36395</v>
      </c>
      <c r="B988" s="299" t="s">
        <v>3513</v>
      </c>
      <c r="C988" s="299">
        <v>60</v>
      </c>
      <c r="D988" s="299">
        <f t="shared" si="33"/>
        <v>8</v>
      </c>
      <c r="E988" s="299">
        <v>41</v>
      </c>
      <c r="F988" s="430" t="s">
        <v>3497</v>
      </c>
      <c r="G988" s="300" t="str">
        <f t="shared" si="34"/>
        <v>RieslingNRW</v>
      </c>
    </row>
    <row r="989" spans="1:7" ht="12" customHeight="1">
      <c r="A989" s="298">
        <v>36421</v>
      </c>
      <c r="B989" s="299" t="s">
        <v>3513</v>
      </c>
      <c r="C989" s="299">
        <v>150</v>
      </c>
      <c r="D989" s="299">
        <f t="shared" si="33"/>
        <v>9</v>
      </c>
      <c r="E989" s="299">
        <v>41</v>
      </c>
      <c r="F989" s="430" t="s">
        <v>3497</v>
      </c>
      <c r="G989" s="300" t="str">
        <f t="shared" si="34"/>
        <v>RieslingNRW</v>
      </c>
    </row>
    <row r="990" spans="1:7" ht="12" customHeight="1">
      <c r="A990" s="298">
        <v>36434</v>
      </c>
      <c r="B990" s="299" t="s">
        <v>3513</v>
      </c>
      <c r="C990" s="299">
        <v>210</v>
      </c>
      <c r="D990" s="299">
        <f t="shared" si="33"/>
        <v>10</v>
      </c>
      <c r="E990" s="299">
        <v>42</v>
      </c>
      <c r="F990" s="430" t="s">
        <v>3497</v>
      </c>
      <c r="G990" s="300" t="str">
        <f t="shared" si="34"/>
        <v>RieslingNRW</v>
      </c>
    </row>
    <row r="991" spans="1:7" ht="12" customHeight="1">
      <c r="A991" s="298">
        <v>36439</v>
      </c>
      <c r="B991" s="299" t="s">
        <v>3513</v>
      </c>
      <c r="C991" s="299">
        <v>120</v>
      </c>
      <c r="D991" s="299">
        <f t="shared" si="33"/>
        <v>10</v>
      </c>
      <c r="E991" s="299">
        <v>41</v>
      </c>
      <c r="F991" s="430" t="s">
        <v>3497</v>
      </c>
      <c r="G991" s="300" t="str">
        <f t="shared" si="34"/>
        <v>RieslingNRW</v>
      </c>
    </row>
    <row r="992" spans="1:7" ht="12" customHeight="1">
      <c r="A992" s="298">
        <v>36443</v>
      </c>
      <c r="B992" s="299" t="s">
        <v>3513</v>
      </c>
      <c r="C992" s="299">
        <v>10</v>
      </c>
      <c r="D992" s="299">
        <f t="shared" si="33"/>
        <v>10</v>
      </c>
      <c r="E992" s="299">
        <v>39</v>
      </c>
      <c r="F992" s="430" t="s">
        <v>3497</v>
      </c>
      <c r="G992" s="300" t="str">
        <f t="shared" si="34"/>
        <v>RieslingNRW</v>
      </c>
    </row>
    <row r="993" spans="1:7" ht="12" customHeight="1">
      <c r="A993" s="298">
        <v>36458</v>
      </c>
      <c r="B993" s="299" t="s">
        <v>3513</v>
      </c>
      <c r="C993" s="299">
        <v>80</v>
      </c>
      <c r="D993" s="299">
        <f t="shared" si="33"/>
        <v>10</v>
      </c>
      <c r="E993" s="299">
        <v>36</v>
      </c>
      <c r="F993" s="430" t="s">
        <v>3497</v>
      </c>
      <c r="G993" s="300" t="str">
        <f t="shared" si="34"/>
        <v>RieslingNRW</v>
      </c>
    </row>
    <row r="994" spans="1:7" ht="12" customHeight="1">
      <c r="A994" s="298">
        <v>36462</v>
      </c>
      <c r="B994" s="299" t="s">
        <v>3513</v>
      </c>
      <c r="C994" s="299">
        <v>90</v>
      </c>
      <c r="D994" s="299">
        <f t="shared" si="33"/>
        <v>10</v>
      </c>
      <c r="E994" s="299">
        <v>42</v>
      </c>
      <c r="F994" s="430" t="s">
        <v>3497</v>
      </c>
      <c r="G994" s="300" t="str">
        <f t="shared" si="34"/>
        <v>RieslingNRW</v>
      </c>
    </row>
    <row r="995" spans="1:7" ht="12" customHeight="1">
      <c r="A995" s="298">
        <v>36470</v>
      </c>
      <c r="B995" s="299" t="s">
        <v>3513</v>
      </c>
      <c r="C995" s="299">
        <v>210</v>
      </c>
      <c r="D995" s="299">
        <f t="shared" si="33"/>
        <v>11</v>
      </c>
      <c r="E995" s="299">
        <v>43</v>
      </c>
      <c r="F995" s="430" t="s">
        <v>3497</v>
      </c>
      <c r="G995" s="300" t="str">
        <f t="shared" si="34"/>
        <v>RieslingNRW</v>
      </c>
    </row>
    <row r="996" spans="1:7" ht="12" customHeight="1">
      <c r="A996" s="298">
        <v>36497</v>
      </c>
      <c r="B996" s="299" t="s">
        <v>3513</v>
      </c>
      <c r="C996" s="299">
        <v>60</v>
      </c>
      <c r="D996" s="299">
        <f t="shared" si="33"/>
        <v>12</v>
      </c>
      <c r="E996" s="299">
        <v>42</v>
      </c>
      <c r="F996" s="430" t="s">
        <v>3497</v>
      </c>
      <c r="G996" s="300" t="str">
        <f t="shared" si="34"/>
        <v>RieslingNRW</v>
      </c>
    </row>
    <row r="997" spans="1:7" ht="12" customHeight="1">
      <c r="A997" s="298">
        <v>36499</v>
      </c>
      <c r="B997" s="299" t="s">
        <v>3513</v>
      </c>
      <c r="C997" s="299">
        <v>240</v>
      </c>
      <c r="D997" s="299">
        <f t="shared" si="33"/>
        <v>12</v>
      </c>
      <c r="E997" s="299">
        <v>36</v>
      </c>
      <c r="F997" s="430" t="s">
        <v>3497</v>
      </c>
      <c r="G997" s="300" t="str">
        <f t="shared" si="34"/>
        <v>RieslingNRW</v>
      </c>
    </row>
    <row r="998" spans="1:7" ht="12" customHeight="1">
      <c r="A998" s="298">
        <v>36502</v>
      </c>
      <c r="B998" s="299" t="s">
        <v>3513</v>
      </c>
      <c r="C998" s="299">
        <v>150</v>
      </c>
      <c r="D998" s="299">
        <f t="shared" si="33"/>
        <v>12</v>
      </c>
      <c r="E998" s="299">
        <v>38</v>
      </c>
      <c r="F998" s="430" t="s">
        <v>3497</v>
      </c>
      <c r="G998" s="300" t="str">
        <f t="shared" si="34"/>
        <v>RieslingNRW</v>
      </c>
    </row>
    <row r="999" spans="1:7" ht="12" customHeight="1">
      <c r="A999" s="298">
        <v>36505</v>
      </c>
      <c r="B999" s="299" t="s">
        <v>3513</v>
      </c>
      <c r="C999" s="299">
        <v>80</v>
      </c>
      <c r="D999" s="299">
        <f t="shared" si="33"/>
        <v>12</v>
      </c>
      <c r="E999" s="299">
        <v>36</v>
      </c>
      <c r="F999" s="430" t="s">
        <v>3497</v>
      </c>
      <c r="G999" s="300" t="str">
        <f t="shared" si="34"/>
        <v>RieslingNRW</v>
      </c>
    </row>
    <row r="1000" spans="1:7" ht="12" customHeight="1">
      <c r="A1000" s="298">
        <v>36516</v>
      </c>
      <c r="B1000" s="299" t="s">
        <v>3513</v>
      </c>
      <c r="C1000" s="299">
        <v>100</v>
      </c>
      <c r="D1000" s="299">
        <f t="shared" si="33"/>
        <v>12</v>
      </c>
      <c r="E1000" s="299">
        <v>36</v>
      </c>
      <c r="F1000" s="430" t="s">
        <v>3497</v>
      </c>
      <c r="G1000" s="300" t="str">
        <f t="shared" si="34"/>
        <v>RieslingNRW</v>
      </c>
    </row>
    <row r="1001" spans="1:7" ht="12" customHeight="1">
      <c r="A1001" s="298">
        <v>36186</v>
      </c>
      <c r="B1001" s="299" t="s">
        <v>3513</v>
      </c>
      <c r="C1001" s="299">
        <v>150</v>
      </c>
      <c r="D1001" s="299">
        <f t="shared" si="33"/>
        <v>1</v>
      </c>
      <c r="E1001" s="299">
        <v>42</v>
      </c>
      <c r="F1001" s="430" t="s">
        <v>3499</v>
      </c>
      <c r="G1001" s="300" t="str">
        <f t="shared" si="34"/>
        <v>RieslingPfalz</v>
      </c>
    </row>
    <row r="1002" spans="1:7" ht="12" customHeight="1">
      <c r="A1002" s="298">
        <v>36212</v>
      </c>
      <c r="B1002" s="299" t="s">
        <v>3513</v>
      </c>
      <c r="C1002" s="299">
        <v>210</v>
      </c>
      <c r="D1002" s="299">
        <f t="shared" si="33"/>
        <v>2</v>
      </c>
      <c r="E1002" s="299">
        <v>42</v>
      </c>
      <c r="F1002" s="430" t="s">
        <v>3499</v>
      </c>
      <c r="G1002" s="300" t="str">
        <f t="shared" si="34"/>
        <v>RieslingPfalz</v>
      </c>
    </row>
    <row r="1003" spans="1:7" ht="12" customHeight="1">
      <c r="A1003" s="298">
        <v>36219</v>
      </c>
      <c r="B1003" s="299" t="s">
        <v>3513</v>
      </c>
      <c r="C1003" s="299">
        <v>50</v>
      </c>
      <c r="D1003" s="299">
        <f t="shared" si="33"/>
        <v>2</v>
      </c>
      <c r="E1003" s="299">
        <v>38</v>
      </c>
      <c r="F1003" s="430" t="s">
        <v>3499</v>
      </c>
      <c r="G1003" s="300" t="str">
        <f t="shared" si="34"/>
        <v>RieslingPfalz</v>
      </c>
    </row>
    <row r="1004" spans="1:7" ht="12" customHeight="1">
      <c r="A1004" s="298">
        <v>36228</v>
      </c>
      <c r="B1004" s="299" t="s">
        <v>3513</v>
      </c>
      <c r="C1004" s="299">
        <v>60</v>
      </c>
      <c r="D1004" s="299">
        <f t="shared" si="33"/>
        <v>3</v>
      </c>
      <c r="E1004" s="299">
        <v>44</v>
      </c>
      <c r="F1004" s="430" t="s">
        <v>3499</v>
      </c>
      <c r="G1004" s="300" t="str">
        <f t="shared" si="34"/>
        <v>RieslingPfalz</v>
      </c>
    </row>
    <row r="1005" spans="1:7" ht="12" customHeight="1">
      <c r="A1005" s="298">
        <v>36233</v>
      </c>
      <c r="B1005" s="299" t="s">
        <v>3513</v>
      </c>
      <c r="C1005" s="299">
        <v>100</v>
      </c>
      <c r="D1005" s="299">
        <f t="shared" si="33"/>
        <v>3</v>
      </c>
      <c r="E1005" s="299">
        <v>44</v>
      </c>
      <c r="F1005" s="430" t="s">
        <v>3499</v>
      </c>
      <c r="G1005" s="300" t="str">
        <f t="shared" si="34"/>
        <v>RieslingPfalz</v>
      </c>
    </row>
    <row r="1006" spans="1:7" ht="12" customHeight="1">
      <c r="A1006" s="298">
        <v>36240</v>
      </c>
      <c r="B1006" s="299" t="s">
        <v>3513</v>
      </c>
      <c r="C1006" s="299">
        <v>50</v>
      </c>
      <c r="D1006" s="299">
        <f t="shared" si="33"/>
        <v>3</v>
      </c>
      <c r="E1006" s="299">
        <v>44</v>
      </c>
      <c r="F1006" s="430" t="s">
        <v>3499</v>
      </c>
      <c r="G1006" s="300" t="str">
        <f t="shared" si="34"/>
        <v>RieslingPfalz</v>
      </c>
    </row>
    <row r="1007" spans="1:7" ht="12" customHeight="1">
      <c r="A1007" s="298">
        <v>36259</v>
      </c>
      <c r="B1007" s="299" t="s">
        <v>3513</v>
      </c>
      <c r="C1007" s="299">
        <v>120</v>
      </c>
      <c r="D1007" s="299">
        <f t="shared" si="33"/>
        <v>4</v>
      </c>
      <c r="E1007" s="299">
        <v>44</v>
      </c>
      <c r="F1007" s="430" t="s">
        <v>3499</v>
      </c>
      <c r="G1007" s="300" t="str">
        <f t="shared" si="34"/>
        <v>RieslingPfalz</v>
      </c>
    </row>
    <row r="1008" spans="1:7" ht="12" customHeight="1">
      <c r="A1008" s="298">
        <v>36260</v>
      </c>
      <c r="B1008" s="299" t="s">
        <v>3513</v>
      </c>
      <c r="C1008" s="299">
        <v>150</v>
      </c>
      <c r="D1008" s="299">
        <f t="shared" si="33"/>
        <v>4</v>
      </c>
      <c r="E1008" s="299">
        <v>42</v>
      </c>
      <c r="F1008" s="430" t="s">
        <v>3499</v>
      </c>
      <c r="G1008" s="300" t="str">
        <f t="shared" si="34"/>
        <v>RieslingPfalz</v>
      </c>
    </row>
    <row r="1009" spans="1:7" ht="12" customHeight="1">
      <c r="A1009" s="298">
        <v>36262</v>
      </c>
      <c r="B1009" s="299" t="s">
        <v>3513</v>
      </c>
      <c r="C1009" s="299">
        <v>90</v>
      </c>
      <c r="D1009" s="299">
        <f t="shared" si="33"/>
        <v>4</v>
      </c>
      <c r="E1009" s="299">
        <v>35</v>
      </c>
      <c r="F1009" s="430" t="s">
        <v>3499</v>
      </c>
      <c r="G1009" s="300" t="str">
        <f t="shared" si="34"/>
        <v>RieslingPfalz</v>
      </c>
    </row>
    <row r="1010" spans="1:7" ht="12" customHeight="1">
      <c r="A1010" s="298">
        <v>36291</v>
      </c>
      <c r="B1010" s="299" t="s">
        <v>3513</v>
      </c>
      <c r="C1010" s="299">
        <v>110</v>
      </c>
      <c r="D1010" s="299">
        <f t="shared" si="33"/>
        <v>5</v>
      </c>
      <c r="E1010" s="299">
        <v>44</v>
      </c>
      <c r="F1010" s="430" t="s">
        <v>3499</v>
      </c>
      <c r="G1010" s="300" t="str">
        <f t="shared" si="34"/>
        <v>RieslingPfalz</v>
      </c>
    </row>
    <row r="1011" spans="1:7" ht="12" customHeight="1">
      <c r="A1011" s="298">
        <v>36303</v>
      </c>
      <c r="B1011" s="299" t="s">
        <v>3513</v>
      </c>
      <c r="C1011" s="299">
        <v>180</v>
      </c>
      <c r="D1011" s="299">
        <f t="shared" si="33"/>
        <v>5</v>
      </c>
      <c r="E1011" s="299">
        <v>44</v>
      </c>
      <c r="F1011" s="430" t="s">
        <v>3499</v>
      </c>
      <c r="G1011" s="300" t="str">
        <f t="shared" si="34"/>
        <v>RieslingPfalz</v>
      </c>
    </row>
    <row r="1012" spans="1:7" ht="12" customHeight="1">
      <c r="A1012" s="298">
        <v>36320</v>
      </c>
      <c r="B1012" s="299" t="s">
        <v>3513</v>
      </c>
      <c r="C1012" s="299">
        <v>60</v>
      </c>
      <c r="D1012" s="299">
        <f t="shared" si="33"/>
        <v>6</v>
      </c>
      <c r="E1012" s="299">
        <v>38</v>
      </c>
      <c r="F1012" s="430" t="s">
        <v>3499</v>
      </c>
      <c r="G1012" s="300" t="str">
        <f t="shared" si="34"/>
        <v>RieslingPfalz</v>
      </c>
    </row>
    <row r="1013" spans="1:7" ht="12" customHeight="1">
      <c r="A1013" s="298">
        <v>36350</v>
      </c>
      <c r="B1013" s="299" t="s">
        <v>3513</v>
      </c>
      <c r="C1013" s="299">
        <v>10</v>
      </c>
      <c r="D1013" s="299">
        <f t="shared" si="33"/>
        <v>7</v>
      </c>
      <c r="E1013" s="299">
        <v>38</v>
      </c>
      <c r="F1013" s="430" t="s">
        <v>3499</v>
      </c>
      <c r="G1013" s="300" t="str">
        <f t="shared" si="34"/>
        <v>RieslingPfalz</v>
      </c>
    </row>
    <row r="1014" spans="1:7" ht="12" customHeight="1">
      <c r="A1014" s="298">
        <v>36358</v>
      </c>
      <c r="B1014" s="299" t="s">
        <v>3513</v>
      </c>
      <c r="C1014" s="299">
        <v>150</v>
      </c>
      <c r="D1014" s="299">
        <f t="shared" si="33"/>
        <v>7</v>
      </c>
      <c r="E1014" s="299">
        <v>44</v>
      </c>
      <c r="F1014" s="430" t="s">
        <v>3499</v>
      </c>
      <c r="G1014" s="300" t="str">
        <f t="shared" si="34"/>
        <v>RieslingPfalz</v>
      </c>
    </row>
    <row r="1015" spans="1:7" ht="12" customHeight="1">
      <c r="A1015" s="298">
        <v>36366</v>
      </c>
      <c r="B1015" s="299" t="s">
        <v>3513</v>
      </c>
      <c r="C1015" s="299">
        <v>10</v>
      </c>
      <c r="D1015" s="299">
        <f t="shared" si="33"/>
        <v>7</v>
      </c>
      <c r="E1015" s="299">
        <v>35</v>
      </c>
      <c r="F1015" s="430" t="s">
        <v>3499</v>
      </c>
      <c r="G1015" s="300" t="str">
        <f t="shared" si="34"/>
        <v>RieslingPfalz</v>
      </c>
    </row>
    <row r="1016" spans="1:7" ht="12" customHeight="1">
      <c r="A1016" s="298">
        <v>36374</v>
      </c>
      <c r="B1016" s="299" t="s">
        <v>3513</v>
      </c>
      <c r="C1016" s="299">
        <v>60</v>
      </c>
      <c r="D1016" s="299">
        <f t="shared" si="33"/>
        <v>8</v>
      </c>
      <c r="E1016" s="299">
        <v>35</v>
      </c>
      <c r="F1016" s="430" t="s">
        <v>3499</v>
      </c>
      <c r="G1016" s="300" t="str">
        <f t="shared" si="34"/>
        <v>RieslingPfalz</v>
      </c>
    </row>
    <row r="1017" spans="1:7" ht="12" customHeight="1">
      <c r="A1017" s="298">
        <v>36377</v>
      </c>
      <c r="B1017" s="299" t="s">
        <v>3513</v>
      </c>
      <c r="C1017" s="299">
        <v>80</v>
      </c>
      <c r="D1017" s="299">
        <f t="shared" si="33"/>
        <v>8</v>
      </c>
      <c r="E1017" s="299">
        <v>35</v>
      </c>
      <c r="F1017" s="430" t="s">
        <v>3499</v>
      </c>
      <c r="G1017" s="300" t="str">
        <f t="shared" si="34"/>
        <v>RieslingPfalz</v>
      </c>
    </row>
    <row r="1018" spans="1:7" ht="12" customHeight="1">
      <c r="A1018" s="298">
        <v>36396</v>
      </c>
      <c r="B1018" s="299" t="s">
        <v>3513</v>
      </c>
      <c r="C1018" s="299">
        <v>100</v>
      </c>
      <c r="D1018" s="299">
        <f t="shared" si="33"/>
        <v>8</v>
      </c>
      <c r="E1018" s="299">
        <v>42</v>
      </c>
      <c r="F1018" s="430" t="s">
        <v>3499</v>
      </c>
      <c r="G1018" s="300" t="str">
        <f t="shared" si="34"/>
        <v>RieslingPfalz</v>
      </c>
    </row>
    <row r="1019" spans="1:7" ht="12" customHeight="1">
      <c r="A1019" s="298">
        <v>36404</v>
      </c>
      <c r="B1019" s="299" t="s">
        <v>3513</v>
      </c>
      <c r="C1019" s="299">
        <v>40</v>
      </c>
      <c r="D1019" s="299">
        <f t="shared" si="33"/>
        <v>9</v>
      </c>
      <c r="E1019" s="299">
        <v>35</v>
      </c>
      <c r="F1019" s="430" t="s">
        <v>3499</v>
      </c>
      <c r="G1019" s="300" t="str">
        <f t="shared" si="34"/>
        <v>RieslingPfalz</v>
      </c>
    </row>
    <row r="1020" spans="1:7" ht="12" customHeight="1">
      <c r="A1020" s="298">
        <v>36417</v>
      </c>
      <c r="B1020" s="299" t="s">
        <v>3513</v>
      </c>
      <c r="C1020" s="299">
        <v>100</v>
      </c>
      <c r="D1020" s="299">
        <f t="shared" si="33"/>
        <v>9</v>
      </c>
      <c r="E1020" s="299">
        <v>35</v>
      </c>
      <c r="F1020" s="430" t="s">
        <v>3499</v>
      </c>
      <c r="G1020" s="300" t="str">
        <f t="shared" si="34"/>
        <v>RieslingPfalz</v>
      </c>
    </row>
    <row r="1021" spans="1:7" ht="12" customHeight="1">
      <c r="A1021" s="298">
        <v>36447</v>
      </c>
      <c r="B1021" s="299" t="s">
        <v>3513</v>
      </c>
      <c r="C1021" s="299">
        <v>120</v>
      </c>
      <c r="D1021" s="299">
        <f t="shared" si="33"/>
        <v>10</v>
      </c>
      <c r="E1021" s="299">
        <v>42</v>
      </c>
      <c r="F1021" s="430" t="s">
        <v>3499</v>
      </c>
      <c r="G1021" s="300" t="str">
        <f t="shared" si="34"/>
        <v>RieslingPfalz</v>
      </c>
    </row>
    <row r="1022" spans="1:7" ht="12" customHeight="1">
      <c r="A1022" s="298">
        <v>36451</v>
      </c>
      <c r="B1022" s="299" t="s">
        <v>3513</v>
      </c>
      <c r="C1022" s="299">
        <v>20</v>
      </c>
      <c r="D1022" s="299">
        <f t="shared" si="33"/>
        <v>10</v>
      </c>
      <c r="E1022" s="299">
        <v>38</v>
      </c>
      <c r="F1022" s="430" t="s">
        <v>3499</v>
      </c>
      <c r="G1022" s="300" t="str">
        <f t="shared" si="34"/>
        <v>RieslingPfalz</v>
      </c>
    </row>
    <row r="1023" spans="1:7" ht="12" customHeight="1">
      <c r="A1023" s="298">
        <v>36498</v>
      </c>
      <c r="B1023" s="299" t="s">
        <v>3513</v>
      </c>
      <c r="C1023" s="299">
        <v>180</v>
      </c>
      <c r="D1023" s="299">
        <f t="shared" si="33"/>
        <v>12</v>
      </c>
      <c r="E1023" s="299">
        <v>44</v>
      </c>
      <c r="F1023" s="430" t="s">
        <v>3499</v>
      </c>
      <c r="G1023" s="300" t="str">
        <f t="shared" si="34"/>
        <v>RieslingPfalz</v>
      </c>
    </row>
    <row r="1024" spans="1:7" ht="12" customHeight="1">
      <c r="A1024" s="298">
        <v>36162</v>
      </c>
      <c r="B1024" s="299" t="s">
        <v>3513</v>
      </c>
      <c r="C1024" s="299">
        <v>150</v>
      </c>
      <c r="D1024" s="299">
        <f t="shared" si="33"/>
        <v>1</v>
      </c>
      <c r="E1024" s="299">
        <v>37</v>
      </c>
      <c r="F1024" s="430" t="s">
        <v>3500</v>
      </c>
      <c r="G1024" s="300" t="str">
        <f t="shared" si="34"/>
        <v>RieslingSaarland</v>
      </c>
    </row>
    <row r="1025" spans="1:7" ht="12" customHeight="1">
      <c r="A1025" s="298">
        <v>36184</v>
      </c>
      <c r="B1025" s="299" t="s">
        <v>3513</v>
      </c>
      <c r="C1025" s="299">
        <v>110</v>
      </c>
      <c r="D1025" s="299">
        <f t="shared" si="33"/>
        <v>1</v>
      </c>
      <c r="E1025" s="299">
        <v>43</v>
      </c>
      <c r="F1025" s="430" t="s">
        <v>3500</v>
      </c>
      <c r="G1025" s="300" t="str">
        <f t="shared" si="34"/>
        <v>RieslingSaarland</v>
      </c>
    </row>
    <row r="1026" spans="1:7" ht="12" customHeight="1">
      <c r="A1026" s="298">
        <v>36263</v>
      </c>
      <c r="B1026" s="299" t="s">
        <v>3513</v>
      </c>
      <c r="C1026" s="299">
        <v>100</v>
      </c>
      <c r="D1026" s="299">
        <f t="shared" si="33"/>
        <v>4</v>
      </c>
      <c r="E1026" s="299">
        <v>37</v>
      </c>
      <c r="F1026" s="430" t="s">
        <v>3500</v>
      </c>
      <c r="G1026" s="300" t="str">
        <f t="shared" si="34"/>
        <v>RieslingSaarland</v>
      </c>
    </row>
    <row r="1027" spans="1:7" ht="12" customHeight="1">
      <c r="A1027" s="298">
        <v>36268</v>
      </c>
      <c r="B1027" s="299" t="s">
        <v>3513</v>
      </c>
      <c r="C1027" s="299">
        <v>30</v>
      </c>
      <c r="D1027" s="299">
        <f t="shared" si="33"/>
        <v>4</v>
      </c>
      <c r="E1027" s="299">
        <v>43</v>
      </c>
      <c r="F1027" s="430" t="s">
        <v>3500</v>
      </c>
      <c r="G1027" s="300" t="str">
        <f t="shared" si="34"/>
        <v>RieslingSaarland</v>
      </c>
    </row>
    <row r="1028" spans="1:7" ht="12" customHeight="1">
      <c r="A1028" s="298">
        <v>36273</v>
      </c>
      <c r="B1028" s="299" t="s">
        <v>3513</v>
      </c>
      <c r="C1028" s="299">
        <v>10</v>
      </c>
      <c r="D1028" s="299">
        <f t="shared" si="33"/>
        <v>4</v>
      </c>
      <c r="E1028" s="299">
        <v>43</v>
      </c>
      <c r="F1028" s="430" t="s">
        <v>3500</v>
      </c>
      <c r="G1028" s="300" t="str">
        <f t="shared" si="34"/>
        <v>RieslingSaarland</v>
      </c>
    </row>
    <row r="1029" spans="1:7" ht="12" customHeight="1">
      <c r="A1029" s="298">
        <v>36276</v>
      </c>
      <c r="B1029" s="299" t="s">
        <v>3513</v>
      </c>
      <c r="C1029" s="299">
        <v>90</v>
      </c>
      <c r="D1029" s="299">
        <f t="shared" si="33"/>
        <v>4</v>
      </c>
      <c r="E1029" s="299">
        <v>44</v>
      </c>
      <c r="F1029" s="430" t="s">
        <v>3500</v>
      </c>
      <c r="G1029" s="300" t="str">
        <f t="shared" si="34"/>
        <v>RieslingSaarland</v>
      </c>
    </row>
    <row r="1030" spans="1:7" ht="12" customHeight="1">
      <c r="A1030" s="298">
        <v>36279</v>
      </c>
      <c r="B1030" s="299" t="s">
        <v>3513</v>
      </c>
      <c r="C1030" s="299">
        <v>70</v>
      </c>
      <c r="D1030" s="299">
        <f t="shared" ref="D1030:D1093" si="35">MONTH(A1030)</f>
        <v>4</v>
      </c>
      <c r="E1030" s="299">
        <v>44</v>
      </c>
      <c r="F1030" s="430" t="s">
        <v>3500</v>
      </c>
      <c r="G1030" s="300" t="str">
        <f t="shared" ref="G1030:G1093" si="36">B1030&amp;F1030</f>
        <v>RieslingSaarland</v>
      </c>
    </row>
    <row r="1031" spans="1:7" ht="12" customHeight="1">
      <c r="A1031" s="298">
        <v>36290</v>
      </c>
      <c r="B1031" s="299" t="s">
        <v>3513</v>
      </c>
      <c r="C1031" s="299">
        <v>150</v>
      </c>
      <c r="D1031" s="299">
        <f t="shared" si="35"/>
        <v>5</v>
      </c>
      <c r="E1031" s="299">
        <v>37</v>
      </c>
      <c r="F1031" s="430" t="s">
        <v>3500</v>
      </c>
      <c r="G1031" s="300" t="str">
        <f t="shared" si="36"/>
        <v>RieslingSaarland</v>
      </c>
    </row>
    <row r="1032" spans="1:7" ht="12" customHeight="1">
      <c r="A1032" s="298">
        <v>36290</v>
      </c>
      <c r="B1032" s="299" t="s">
        <v>3513</v>
      </c>
      <c r="C1032" s="299">
        <v>20</v>
      </c>
      <c r="D1032" s="299">
        <f t="shared" si="35"/>
        <v>5</v>
      </c>
      <c r="E1032" s="299">
        <v>43</v>
      </c>
      <c r="F1032" s="430" t="s">
        <v>3500</v>
      </c>
      <c r="G1032" s="300" t="str">
        <f t="shared" si="36"/>
        <v>RieslingSaarland</v>
      </c>
    </row>
    <row r="1033" spans="1:7" ht="12" customHeight="1">
      <c r="A1033" s="298">
        <v>36313</v>
      </c>
      <c r="B1033" s="299" t="s">
        <v>3513</v>
      </c>
      <c r="C1033" s="299">
        <v>90</v>
      </c>
      <c r="D1033" s="299">
        <f t="shared" si="35"/>
        <v>6</v>
      </c>
      <c r="E1033" s="299">
        <v>37</v>
      </c>
      <c r="F1033" s="430" t="s">
        <v>3500</v>
      </c>
      <c r="G1033" s="300" t="str">
        <f t="shared" si="36"/>
        <v>RieslingSaarland</v>
      </c>
    </row>
    <row r="1034" spans="1:7" ht="12" customHeight="1">
      <c r="A1034" s="298">
        <v>36315</v>
      </c>
      <c r="B1034" s="299" t="s">
        <v>3513</v>
      </c>
      <c r="C1034" s="299">
        <v>210</v>
      </c>
      <c r="D1034" s="299">
        <f t="shared" si="35"/>
        <v>6</v>
      </c>
      <c r="E1034" s="299">
        <v>38</v>
      </c>
      <c r="F1034" s="430" t="s">
        <v>3500</v>
      </c>
      <c r="G1034" s="300" t="str">
        <f t="shared" si="36"/>
        <v>RieslingSaarland</v>
      </c>
    </row>
    <row r="1035" spans="1:7" ht="12" customHeight="1">
      <c r="A1035" s="298">
        <v>36317</v>
      </c>
      <c r="B1035" s="299" t="s">
        <v>3513</v>
      </c>
      <c r="C1035" s="299">
        <v>210</v>
      </c>
      <c r="D1035" s="299">
        <f t="shared" si="35"/>
        <v>6</v>
      </c>
      <c r="E1035" s="299">
        <v>35</v>
      </c>
      <c r="F1035" s="430" t="s">
        <v>3500</v>
      </c>
      <c r="G1035" s="300" t="str">
        <f t="shared" si="36"/>
        <v>RieslingSaarland</v>
      </c>
    </row>
    <row r="1036" spans="1:7" ht="12" customHeight="1">
      <c r="A1036" s="298">
        <v>36318</v>
      </c>
      <c r="B1036" s="299" t="s">
        <v>3513</v>
      </c>
      <c r="C1036" s="299">
        <v>60</v>
      </c>
      <c r="D1036" s="299">
        <f t="shared" si="35"/>
        <v>6</v>
      </c>
      <c r="E1036" s="299">
        <v>37</v>
      </c>
      <c r="F1036" s="430" t="s">
        <v>3500</v>
      </c>
      <c r="G1036" s="300" t="str">
        <f t="shared" si="36"/>
        <v>RieslingSaarland</v>
      </c>
    </row>
    <row r="1037" spans="1:7" ht="12" customHeight="1">
      <c r="A1037" s="298">
        <v>36320</v>
      </c>
      <c r="B1037" s="299" t="s">
        <v>3513</v>
      </c>
      <c r="C1037" s="299">
        <v>60</v>
      </c>
      <c r="D1037" s="299">
        <f t="shared" si="35"/>
        <v>6</v>
      </c>
      <c r="E1037" s="299">
        <v>37</v>
      </c>
      <c r="F1037" s="430" t="s">
        <v>3500</v>
      </c>
      <c r="G1037" s="300" t="str">
        <f t="shared" si="36"/>
        <v>RieslingSaarland</v>
      </c>
    </row>
    <row r="1038" spans="1:7" ht="12" customHeight="1">
      <c r="A1038" s="298">
        <v>36322</v>
      </c>
      <c r="B1038" s="299" t="s">
        <v>3513</v>
      </c>
      <c r="C1038" s="299">
        <v>90</v>
      </c>
      <c r="D1038" s="299">
        <f t="shared" si="35"/>
        <v>6</v>
      </c>
      <c r="E1038" s="299">
        <v>37</v>
      </c>
      <c r="F1038" s="430" t="s">
        <v>3500</v>
      </c>
      <c r="G1038" s="300" t="str">
        <f t="shared" si="36"/>
        <v>RieslingSaarland</v>
      </c>
    </row>
    <row r="1039" spans="1:7" ht="12" customHeight="1">
      <c r="A1039" s="298">
        <v>36329</v>
      </c>
      <c r="B1039" s="299" t="s">
        <v>3513</v>
      </c>
      <c r="C1039" s="299">
        <v>180</v>
      </c>
      <c r="D1039" s="299">
        <f t="shared" si="35"/>
        <v>6</v>
      </c>
      <c r="E1039" s="299">
        <v>44</v>
      </c>
      <c r="F1039" s="430" t="s">
        <v>3500</v>
      </c>
      <c r="G1039" s="300" t="str">
        <f t="shared" si="36"/>
        <v>RieslingSaarland</v>
      </c>
    </row>
    <row r="1040" spans="1:7" ht="12" customHeight="1">
      <c r="A1040" s="298">
        <v>36331</v>
      </c>
      <c r="B1040" s="299" t="s">
        <v>3513</v>
      </c>
      <c r="C1040" s="299">
        <v>70</v>
      </c>
      <c r="D1040" s="299">
        <f t="shared" si="35"/>
        <v>6</v>
      </c>
      <c r="E1040" s="299">
        <v>38</v>
      </c>
      <c r="F1040" s="430" t="s">
        <v>3500</v>
      </c>
      <c r="G1040" s="300" t="str">
        <f t="shared" si="36"/>
        <v>RieslingSaarland</v>
      </c>
    </row>
    <row r="1041" spans="1:7" ht="12" customHeight="1">
      <c r="A1041" s="298">
        <v>36335</v>
      </c>
      <c r="B1041" s="299" t="s">
        <v>3513</v>
      </c>
      <c r="C1041" s="299">
        <v>50</v>
      </c>
      <c r="D1041" s="299">
        <f t="shared" si="35"/>
        <v>6</v>
      </c>
      <c r="E1041" s="299">
        <v>37</v>
      </c>
      <c r="F1041" s="430" t="s">
        <v>3500</v>
      </c>
      <c r="G1041" s="300" t="str">
        <f t="shared" si="36"/>
        <v>RieslingSaarland</v>
      </c>
    </row>
    <row r="1042" spans="1:7" ht="12" customHeight="1">
      <c r="A1042" s="298">
        <v>36345</v>
      </c>
      <c r="B1042" s="299" t="s">
        <v>3513</v>
      </c>
      <c r="C1042" s="299">
        <v>60</v>
      </c>
      <c r="D1042" s="299">
        <f t="shared" si="35"/>
        <v>7</v>
      </c>
      <c r="E1042" s="299">
        <v>38</v>
      </c>
      <c r="F1042" s="430" t="s">
        <v>3500</v>
      </c>
      <c r="G1042" s="300" t="str">
        <f t="shared" si="36"/>
        <v>RieslingSaarland</v>
      </c>
    </row>
    <row r="1043" spans="1:7" ht="12" customHeight="1">
      <c r="A1043" s="298">
        <v>36348</v>
      </c>
      <c r="B1043" s="299" t="s">
        <v>3513</v>
      </c>
      <c r="C1043" s="299">
        <v>110</v>
      </c>
      <c r="D1043" s="299">
        <f t="shared" si="35"/>
        <v>7</v>
      </c>
      <c r="E1043" s="299">
        <v>37</v>
      </c>
      <c r="F1043" s="430" t="s">
        <v>3500</v>
      </c>
      <c r="G1043" s="300" t="str">
        <f t="shared" si="36"/>
        <v>RieslingSaarland</v>
      </c>
    </row>
    <row r="1044" spans="1:7" ht="12" customHeight="1">
      <c r="A1044" s="298">
        <v>36371</v>
      </c>
      <c r="B1044" s="299" t="s">
        <v>3513</v>
      </c>
      <c r="C1044" s="299">
        <v>110</v>
      </c>
      <c r="D1044" s="299">
        <f t="shared" si="35"/>
        <v>7</v>
      </c>
      <c r="E1044" s="299">
        <v>35</v>
      </c>
      <c r="F1044" s="430" t="s">
        <v>3500</v>
      </c>
      <c r="G1044" s="300" t="str">
        <f t="shared" si="36"/>
        <v>RieslingSaarland</v>
      </c>
    </row>
    <row r="1045" spans="1:7" ht="12" customHeight="1">
      <c r="A1045" s="298">
        <v>36378</v>
      </c>
      <c r="B1045" s="299" t="s">
        <v>3513</v>
      </c>
      <c r="C1045" s="299">
        <v>210</v>
      </c>
      <c r="D1045" s="299">
        <f t="shared" si="35"/>
        <v>8</v>
      </c>
      <c r="E1045" s="299">
        <v>38</v>
      </c>
      <c r="F1045" s="430" t="s">
        <v>3500</v>
      </c>
      <c r="G1045" s="300" t="str">
        <f t="shared" si="36"/>
        <v>RieslingSaarland</v>
      </c>
    </row>
    <row r="1046" spans="1:7" ht="12" customHeight="1">
      <c r="A1046" s="298">
        <v>36387</v>
      </c>
      <c r="B1046" s="299" t="s">
        <v>3513</v>
      </c>
      <c r="C1046" s="299">
        <v>210</v>
      </c>
      <c r="D1046" s="299">
        <f t="shared" si="35"/>
        <v>8</v>
      </c>
      <c r="E1046" s="299">
        <v>42</v>
      </c>
      <c r="F1046" s="430" t="s">
        <v>3500</v>
      </c>
      <c r="G1046" s="300" t="str">
        <f t="shared" si="36"/>
        <v>RieslingSaarland</v>
      </c>
    </row>
    <row r="1047" spans="1:7" ht="12" customHeight="1">
      <c r="A1047" s="298">
        <v>36393</v>
      </c>
      <c r="B1047" s="299" t="s">
        <v>3513</v>
      </c>
      <c r="C1047" s="299">
        <v>30</v>
      </c>
      <c r="D1047" s="299">
        <f t="shared" si="35"/>
        <v>8</v>
      </c>
      <c r="E1047" s="299">
        <v>44</v>
      </c>
      <c r="F1047" s="430" t="s">
        <v>3500</v>
      </c>
      <c r="G1047" s="300" t="str">
        <f t="shared" si="36"/>
        <v>RieslingSaarland</v>
      </c>
    </row>
    <row r="1048" spans="1:7" ht="12" customHeight="1">
      <c r="A1048" s="298">
        <v>36400</v>
      </c>
      <c r="B1048" s="299" t="s">
        <v>3513</v>
      </c>
      <c r="C1048" s="299">
        <v>240</v>
      </c>
      <c r="D1048" s="299">
        <f t="shared" si="35"/>
        <v>8</v>
      </c>
      <c r="E1048" s="299">
        <v>38</v>
      </c>
      <c r="F1048" s="430" t="s">
        <v>3500</v>
      </c>
      <c r="G1048" s="300" t="str">
        <f t="shared" si="36"/>
        <v>RieslingSaarland</v>
      </c>
    </row>
    <row r="1049" spans="1:7" ht="12" customHeight="1">
      <c r="A1049" s="298">
        <v>36430</v>
      </c>
      <c r="B1049" s="299" t="s">
        <v>3513</v>
      </c>
      <c r="C1049" s="299">
        <v>80</v>
      </c>
      <c r="D1049" s="299">
        <f t="shared" si="35"/>
        <v>9</v>
      </c>
      <c r="E1049" s="299">
        <v>44</v>
      </c>
      <c r="F1049" s="430" t="s">
        <v>3500</v>
      </c>
      <c r="G1049" s="300" t="str">
        <f t="shared" si="36"/>
        <v>RieslingSaarland</v>
      </c>
    </row>
    <row r="1050" spans="1:7" ht="12" customHeight="1">
      <c r="A1050" s="298">
        <v>36437</v>
      </c>
      <c r="B1050" s="299" t="s">
        <v>3513</v>
      </c>
      <c r="C1050" s="299">
        <v>80</v>
      </c>
      <c r="D1050" s="299">
        <f t="shared" si="35"/>
        <v>10</v>
      </c>
      <c r="E1050" s="299">
        <v>35</v>
      </c>
      <c r="F1050" s="430" t="s">
        <v>3500</v>
      </c>
      <c r="G1050" s="300" t="str">
        <f t="shared" si="36"/>
        <v>RieslingSaarland</v>
      </c>
    </row>
    <row r="1051" spans="1:7" ht="12" customHeight="1">
      <c r="A1051" s="298">
        <v>36471</v>
      </c>
      <c r="B1051" s="299" t="s">
        <v>3513</v>
      </c>
      <c r="C1051" s="299">
        <v>60</v>
      </c>
      <c r="D1051" s="299">
        <f t="shared" si="35"/>
        <v>11</v>
      </c>
      <c r="E1051" s="299">
        <v>43</v>
      </c>
      <c r="F1051" s="430" t="s">
        <v>3500</v>
      </c>
      <c r="G1051" s="300" t="str">
        <f t="shared" si="36"/>
        <v>RieslingSaarland</v>
      </c>
    </row>
    <row r="1052" spans="1:7" ht="12" customHeight="1">
      <c r="A1052" s="298">
        <v>36480</v>
      </c>
      <c r="B1052" s="299" t="s">
        <v>3513</v>
      </c>
      <c r="C1052" s="299">
        <v>240</v>
      </c>
      <c r="D1052" s="299">
        <f t="shared" si="35"/>
        <v>11</v>
      </c>
      <c r="E1052" s="299">
        <v>44</v>
      </c>
      <c r="F1052" s="430" t="s">
        <v>3500</v>
      </c>
      <c r="G1052" s="300" t="str">
        <f t="shared" si="36"/>
        <v>RieslingSaarland</v>
      </c>
    </row>
    <row r="1053" spans="1:7" ht="12" customHeight="1">
      <c r="A1053" s="298">
        <v>36493</v>
      </c>
      <c r="B1053" s="299" t="s">
        <v>3513</v>
      </c>
      <c r="C1053" s="299">
        <v>100</v>
      </c>
      <c r="D1053" s="299">
        <f t="shared" si="35"/>
        <v>11</v>
      </c>
      <c r="E1053" s="299">
        <v>42</v>
      </c>
      <c r="F1053" s="430" t="s">
        <v>3500</v>
      </c>
      <c r="G1053" s="300" t="str">
        <f t="shared" si="36"/>
        <v>RieslingSaarland</v>
      </c>
    </row>
    <row r="1054" spans="1:7" ht="12" customHeight="1">
      <c r="A1054" s="298">
        <v>36506</v>
      </c>
      <c r="B1054" s="299" t="s">
        <v>3513</v>
      </c>
      <c r="C1054" s="299">
        <v>20</v>
      </c>
      <c r="D1054" s="299">
        <f t="shared" si="35"/>
        <v>12</v>
      </c>
      <c r="E1054" s="299">
        <v>37</v>
      </c>
      <c r="F1054" s="430" t="s">
        <v>3500</v>
      </c>
      <c r="G1054" s="300" t="str">
        <f t="shared" si="36"/>
        <v>RieslingSaarland</v>
      </c>
    </row>
    <row r="1055" spans="1:7" ht="12" customHeight="1">
      <c r="A1055" s="298">
        <v>36508</v>
      </c>
      <c r="B1055" s="299" t="s">
        <v>3513</v>
      </c>
      <c r="C1055" s="299">
        <v>50</v>
      </c>
      <c r="D1055" s="299">
        <f t="shared" si="35"/>
        <v>12</v>
      </c>
      <c r="E1055" s="299">
        <v>37</v>
      </c>
      <c r="F1055" s="430" t="s">
        <v>3500</v>
      </c>
      <c r="G1055" s="300" t="str">
        <f t="shared" si="36"/>
        <v>RieslingSaarland</v>
      </c>
    </row>
    <row r="1056" spans="1:7" ht="12" customHeight="1">
      <c r="A1056" s="298">
        <v>36509</v>
      </c>
      <c r="B1056" s="299" t="s">
        <v>3513</v>
      </c>
      <c r="C1056" s="299">
        <v>100</v>
      </c>
      <c r="D1056" s="299">
        <f t="shared" si="35"/>
        <v>12</v>
      </c>
      <c r="E1056" s="299">
        <v>37</v>
      </c>
      <c r="F1056" s="430" t="s">
        <v>3500</v>
      </c>
      <c r="G1056" s="300" t="str">
        <f t="shared" si="36"/>
        <v>RieslingSaarland</v>
      </c>
    </row>
    <row r="1057" spans="1:7" ht="12" customHeight="1">
      <c r="A1057" s="298">
        <v>36513</v>
      </c>
      <c r="B1057" s="299" t="s">
        <v>3513</v>
      </c>
      <c r="C1057" s="299">
        <v>210</v>
      </c>
      <c r="D1057" s="299">
        <f t="shared" si="35"/>
        <v>12</v>
      </c>
      <c r="E1057" s="299">
        <v>42</v>
      </c>
      <c r="F1057" s="430" t="s">
        <v>3500</v>
      </c>
      <c r="G1057" s="300" t="str">
        <f t="shared" si="36"/>
        <v>RieslingSaarland</v>
      </c>
    </row>
    <row r="1058" spans="1:7" ht="12" customHeight="1">
      <c r="A1058" s="298">
        <v>36524</v>
      </c>
      <c r="B1058" s="299" t="s">
        <v>3513</v>
      </c>
      <c r="C1058" s="299">
        <v>60</v>
      </c>
      <c r="D1058" s="299">
        <f t="shared" si="35"/>
        <v>12</v>
      </c>
      <c r="E1058" s="299">
        <v>37</v>
      </c>
      <c r="F1058" s="430" t="s">
        <v>3500</v>
      </c>
      <c r="G1058" s="300" t="str">
        <f t="shared" si="36"/>
        <v>RieslingSaarland</v>
      </c>
    </row>
    <row r="1059" spans="1:7" ht="12" customHeight="1">
      <c r="A1059" s="298">
        <v>36288</v>
      </c>
      <c r="B1059" s="299" t="s">
        <v>3514</v>
      </c>
      <c r="C1059" s="299">
        <v>120</v>
      </c>
      <c r="D1059" s="299">
        <f t="shared" si="35"/>
        <v>5</v>
      </c>
      <c r="E1059" s="299">
        <v>38</v>
      </c>
      <c r="F1059" s="430" t="s">
        <v>3504</v>
      </c>
      <c r="G1059" s="300" t="str">
        <f t="shared" si="36"/>
        <v>RiojaBayern</v>
      </c>
    </row>
    <row r="1060" spans="1:7" ht="12" customHeight="1">
      <c r="A1060" s="298">
        <v>36289</v>
      </c>
      <c r="B1060" s="299" t="s">
        <v>3514</v>
      </c>
      <c r="C1060" s="299">
        <v>50</v>
      </c>
      <c r="D1060" s="299">
        <f t="shared" si="35"/>
        <v>5</v>
      </c>
      <c r="E1060" s="299">
        <v>38</v>
      </c>
      <c r="F1060" s="430" t="s">
        <v>3504</v>
      </c>
      <c r="G1060" s="300" t="str">
        <f t="shared" si="36"/>
        <v>RiojaBayern</v>
      </c>
    </row>
    <row r="1061" spans="1:7" ht="12" customHeight="1">
      <c r="A1061" s="298">
        <v>36310</v>
      </c>
      <c r="B1061" s="299" t="s">
        <v>3514</v>
      </c>
      <c r="C1061" s="299">
        <v>100</v>
      </c>
      <c r="D1061" s="299">
        <f t="shared" si="35"/>
        <v>5</v>
      </c>
      <c r="E1061" s="299">
        <v>38</v>
      </c>
      <c r="F1061" s="430" t="s">
        <v>3504</v>
      </c>
      <c r="G1061" s="300" t="str">
        <f t="shared" si="36"/>
        <v>RiojaBayern</v>
      </c>
    </row>
    <row r="1062" spans="1:7" ht="12" customHeight="1">
      <c r="A1062" s="298">
        <v>36444</v>
      </c>
      <c r="B1062" s="299" t="s">
        <v>3514</v>
      </c>
      <c r="C1062" s="299">
        <v>90</v>
      </c>
      <c r="D1062" s="299">
        <f t="shared" si="35"/>
        <v>10</v>
      </c>
      <c r="E1062" s="299">
        <v>37</v>
      </c>
      <c r="F1062" s="430" t="s">
        <v>3504</v>
      </c>
      <c r="G1062" s="300" t="str">
        <f t="shared" si="36"/>
        <v>RiojaBayern</v>
      </c>
    </row>
    <row r="1063" spans="1:7" ht="12" customHeight="1">
      <c r="A1063" s="298">
        <v>36463</v>
      </c>
      <c r="B1063" s="299" t="s">
        <v>3514</v>
      </c>
      <c r="C1063" s="299">
        <v>10</v>
      </c>
      <c r="D1063" s="299">
        <f t="shared" si="35"/>
        <v>10</v>
      </c>
      <c r="E1063" s="299">
        <v>40</v>
      </c>
      <c r="F1063" s="430" t="s">
        <v>3504</v>
      </c>
      <c r="G1063" s="300" t="str">
        <f t="shared" si="36"/>
        <v>RiojaBayern</v>
      </c>
    </row>
    <row r="1064" spans="1:7" ht="12" customHeight="1">
      <c r="A1064" s="298">
        <v>36471</v>
      </c>
      <c r="B1064" s="299" t="s">
        <v>3514</v>
      </c>
      <c r="C1064" s="299">
        <v>10</v>
      </c>
      <c r="D1064" s="299">
        <f t="shared" si="35"/>
        <v>11</v>
      </c>
      <c r="E1064" s="299">
        <v>41</v>
      </c>
      <c r="F1064" s="430" t="s">
        <v>3504</v>
      </c>
      <c r="G1064" s="300" t="str">
        <f t="shared" si="36"/>
        <v>RiojaBayern</v>
      </c>
    </row>
    <row r="1065" spans="1:7" ht="12" customHeight="1">
      <c r="A1065" s="298">
        <v>36283</v>
      </c>
      <c r="B1065" s="299" t="s">
        <v>3514</v>
      </c>
      <c r="C1065" s="299">
        <v>180</v>
      </c>
      <c r="D1065" s="299">
        <f t="shared" si="35"/>
        <v>5</v>
      </c>
      <c r="E1065" s="299">
        <v>37</v>
      </c>
      <c r="F1065" s="430" t="s">
        <v>3501</v>
      </c>
      <c r="G1065" s="300" t="str">
        <f t="shared" si="36"/>
        <v>RiojaBW</v>
      </c>
    </row>
    <row r="1066" spans="1:7" ht="12" customHeight="1">
      <c r="A1066" s="298">
        <v>36298</v>
      </c>
      <c r="B1066" s="299" t="s">
        <v>3514</v>
      </c>
      <c r="C1066" s="299">
        <v>110</v>
      </c>
      <c r="D1066" s="299">
        <f t="shared" si="35"/>
        <v>5</v>
      </c>
      <c r="E1066" s="299">
        <v>37</v>
      </c>
      <c r="F1066" s="430" t="s">
        <v>3501</v>
      </c>
      <c r="G1066" s="300" t="str">
        <f t="shared" si="36"/>
        <v>RiojaBW</v>
      </c>
    </row>
    <row r="1067" spans="1:7" ht="12" customHeight="1">
      <c r="A1067" s="298">
        <v>36310</v>
      </c>
      <c r="B1067" s="299" t="s">
        <v>3514</v>
      </c>
      <c r="C1067" s="299">
        <v>60</v>
      </c>
      <c r="D1067" s="299">
        <f t="shared" si="35"/>
        <v>5</v>
      </c>
      <c r="E1067" s="299">
        <v>37</v>
      </c>
      <c r="F1067" s="430" t="s">
        <v>3501</v>
      </c>
      <c r="G1067" s="300" t="str">
        <f t="shared" si="36"/>
        <v>RiojaBW</v>
      </c>
    </row>
    <row r="1068" spans="1:7" ht="12" customHeight="1">
      <c r="A1068" s="298">
        <v>36320</v>
      </c>
      <c r="B1068" s="299" t="s">
        <v>3514</v>
      </c>
      <c r="C1068" s="299">
        <v>60</v>
      </c>
      <c r="D1068" s="299">
        <f t="shared" si="35"/>
        <v>6</v>
      </c>
      <c r="E1068" s="299">
        <v>41</v>
      </c>
      <c r="F1068" s="430" t="s">
        <v>3501</v>
      </c>
      <c r="G1068" s="300" t="str">
        <f t="shared" si="36"/>
        <v>RiojaBW</v>
      </c>
    </row>
    <row r="1069" spans="1:7" ht="12" customHeight="1">
      <c r="A1069" s="298">
        <v>36324</v>
      </c>
      <c r="B1069" s="299" t="s">
        <v>3514</v>
      </c>
      <c r="C1069" s="299">
        <v>80</v>
      </c>
      <c r="D1069" s="299">
        <f t="shared" si="35"/>
        <v>6</v>
      </c>
      <c r="E1069" s="299">
        <v>41</v>
      </c>
      <c r="F1069" s="430" t="s">
        <v>3501</v>
      </c>
      <c r="G1069" s="300" t="str">
        <f t="shared" si="36"/>
        <v>RiojaBW</v>
      </c>
    </row>
    <row r="1070" spans="1:7" ht="12" customHeight="1">
      <c r="A1070" s="298">
        <v>36359</v>
      </c>
      <c r="B1070" s="299" t="s">
        <v>3514</v>
      </c>
      <c r="C1070" s="299">
        <v>210</v>
      </c>
      <c r="D1070" s="299">
        <f t="shared" si="35"/>
        <v>7</v>
      </c>
      <c r="E1070" s="299">
        <v>43</v>
      </c>
      <c r="F1070" s="430" t="s">
        <v>3501</v>
      </c>
      <c r="G1070" s="300" t="str">
        <f t="shared" si="36"/>
        <v>RiojaBW</v>
      </c>
    </row>
    <row r="1071" spans="1:7" ht="12" customHeight="1">
      <c r="A1071" s="298">
        <v>36364</v>
      </c>
      <c r="B1071" s="299" t="s">
        <v>3514</v>
      </c>
      <c r="C1071" s="299">
        <v>10</v>
      </c>
      <c r="D1071" s="299">
        <f t="shared" si="35"/>
        <v>7</v>
      </c>
      <c r="E1071" s="299">
        <v>43</v>
      </c>
      <c r="F1071" s="430" t="s">
        <v>3501</v>
      </c>
      <c r="G1071" s="300" t="str">
        <f t="shared" si="36"/>
        <v>RiojaBW</v>
      </c>
    </row>
    <row r="1072" spans="1:7" ht="12" customHeight="1">
      <c r="A1072" s="298">
        <v>36369</v>
      </c>
      <c r="B1072" s="299" t="s">
        <v>3514</v>
      </c>
      <c r="C1072" s="299">
        <v>60</v>
      </c>
      <c r="D1072" s="299">
        <f t="shared" si="35"/>
        <v>7</v>
      </c>
      <c r="E1072" s="299">
        <v>43</v>
      </c>
      <c r="F1072" s="430" t="s">
        <v>3501</v>
      </c>
      <c r="G1072" s="300" t="str">
        <f t="shared" si="36"/>
        <v>RiojaBW</v>
      </c>
    </row>
    <row r="1073" spans="1:7" ht="12" customHeight="1">
      <c r="A1073" s="298">
        <v>36376</v>
      </c>
      <c r="B1073" s="299" t="s">
        <v>3514</v>
      </c>
      <c r="C1073" s="299">
        <v>10</v>
      </c>
      <c r="D1073" s="299">
        <f t="shared" si="35"/>
        <v>8</v>
      </c>
      <c r="E1073" s="299">
        <v>36</v>
      </c>
      <c r="F1073" s="430" t="s">
        <v>3501</v>
      </c>
      <c r="G1073" s="300" t="str">
        <f t="shared" si="36"/>
        <v>RiojaBW</v>
      </c>
    </row>
    <row r="1074" spans="1:7" ht="12" customHeight="1">
      <c r="A1074" s="298">
        <v>36221</v>
      </c>
      <c r="B1074" s="299" t="s">
        <v>3514</v>
      </c>
      <c r="C1074" s="299">
        <v>180</v>
      </c>
      <c r="D1074" s="299">
        <f t="shared" si="35"/>
        <v>3</v>
      </c>
      <c r="E1074" s="299">
        <v>42</v>
      </c>
      <c r="F1074" s="430" t="s">
        <v>3502</v>
      </c>
      <c r="G1074" s="300" t="str">
        <f t="shared" si="36"/>
        <v>RiojaHessen</v>
      </c>
    </row>
    <row r="1075" spans="1:7" ht="12" customHeight="1">
      <c r="A1075" s="298">
        <v>36223</v>
      </c>
      <c r="B1075" s="299" t="s">
        <v>3514</v>
      </c>
      <c r="C1075" s="299">
        <v>30</v>
      </c>
      <c r="D1075" s="299">
        <f t="shared" si="35"/>
        <v>3</v>
      </c>
      <c r="E1075" s="299">
        <v>42</v>
      </c>
      <c r="F1075" s="430" t="s">
        <v>3502</v>
      </c>
      <c r="G1075" s="300" t="str">
        <f t="shared" si="36"/>
        <v>RiojaHessen</v>
      </c>
    </row>
    <row r="1076" spans="1:7" ht="12" customHeight="1">
      <c r="A1076" s="298">
        <v>36232</v>
      </c>
      <c r="B1076" s="299" t="s">
        <v>3514</v>
      </c>
      <c r="C1076" s="299">
        <v>240</v>
      </c>
      <c r="D1076" s="299">
        <f t="shared" si="35"/>
        <v>3</v>
      </c>
      <c r="E1076" s="299">
        <v>42</v>
      </c>
      <c r="F1076" s="430" t="s">
        <v>3502</v>
      </c>
      <c r="G1076" s="300" t="str">
        <f t="shared" si="36"/>
        <v>RiojaHessen</v>
      </c>
    </row>
    <row r="1077" spans="1:7" ht="12" customHeight="1">
      <c r="A1077" s="298">
        <v>36239</v>
      </c>
      <c r="B1077" s="299" t="s">
        <v>3514</v>
      </c>
      <c r="C1077" s="299">
        <v>90</v>
      </c>
      <c r="D1077" s="299">
        <f t="shared" si="35"/>
        <v>3</v>
      </c>
      <c r="E1077" s="299">
        <v>42</v>
      </c>
      <c r="F1077" s="430" t="s">
        <v>3502</v>
      </c>
      <c r="G1077" s="300" t="str">
        <f t="shared" si="36"/>
        <v>RiojaHessen</v>
      </c>
    </row>
    <row r="1078" spans="1:7" ht="12" customHeight="1">
      <c r="A1078" s="298">
        <v>36308</v>
      </c>
      <c r="B1078" s="299" t="s">
        <v>3514</v>
      </c>
      <c r="C1078" s="299">
        <v>60</v>
      </c>
      <c r="D1078" s="299">
        <f t="shared" si="35"/>
        <v>5</v>
      </c>
      <c r="E1078" s="299">
        <v>39</v>
      </c>
      <c r="F1078" s="430" t="s">
        <v>3502</v>
      </c>
      <c r="G1078" s="300" t="str">
        <f t="shared" si="36"/>
        <v>RiojaHessen</v>
      </c>
    </row>
    <row r="1079" spans="1:7" ht="12" customHeight="1">
      <c r="A1079" s="298">
        <v>36327</v>
      </c>
      <c r="B1079" s="299" t="s">
        <v>3514</v>
      </c>
      <c r="C1079" s="299">
        <v>20</v>
      </c>
      <c r="D1079" s="299">
        <f t="shared" si="35"/>
        <v>6</v>
      </c>
      <c r="E1079" s="299">
        <v>37</v>
      </c>
      <c r="F1079" s="430" t="s">
        <v>3502</v>
      </c>
      <c r="G1079" s="300" t="str">
        <f t="shared" si="36"/>
        <v>RiojaHessen</v>
      </c>
    </row>
    <row r="1080" spans="1:7" ht="12" customHeight="1">
      <c r="A1080" s="298">
        <v>36341</v>
      </c>
      <c r="B1080" s="299" t="s">
        <v>3514</v>
      </c>
      <c r="C1080" s="299">
        <v>80</v>
      </c>
      <c r="D1080" s="299">
        <f t="shared" si="35"/>
        <v>6</v>
      </c>
      <c r="E1080" s="299">
        <v>42</v>
      </c>
      <c r="F1080" s="430" t="s">
        <v>3502</v>
      </c>
      <c r="G1080" s="300" t="str">
        <f t="shared" si="36"/>
        <v>RiojaHessen</v>
      </c>
    </row>
    <row r="1081" spans="1:7" ht="12" customHeight="1">
      <c r="A1081" s="298">
        <v>36365</v>
      </c>
      <c r="B1081" s="299" t="s">
        <v>3514</v>
      </c>
      <c r="C1081" s="299">
        <v>30</v>
      </c>
      <c r="D1081" s="299">
        <f t="shared" si="35"/>
        <v>7</v>
      </c>
      <c r="E1081" s="299">
        <v>35</v>
      </c>
      <c r="F1081" s="430" t="s">
        <v>3502</v>
      </c>
      <c r="G1081" s="300" t="str">
        <f t="shared" si="36"/>
        <v>RiojaHessen</v>
      </c>
    </row>
    <row r="1082" spans="1:7" ht="12" customHeight="1">
      <c r="A1082" s="298">
        <v>36366</v>
      </c>
      <c r="B1082" s="299" t="s">
        <v>3514</v>
      </c>
      <c r="C1082" s="299">
        <v>240</v>
      </c>
      <c r="D1082" s="299">
        <f t="shared" si="35"/>
        <v>7</v>
      </c>
      <c r="E1082" s="299">
        <v>36</v>
      </c>
      <c r="F1082" s="430" t="s">
        <v>3502</v>
      </c>
      <c r="G1082" s="300" t="str">
        <f t="shared" si="36"/>
        <v>RiojaHessen</v>
      </c>
    </row>
    <row r="1083" spans="1:7" ht="12" customHeight="1">
      <c r="A1083" s="298">
        <v>36399</v>
      </c>
      <c r="B1083" s="299" t="s">
        <v>3514</v>
      </c>
      <c r="C1083" s="299">
        <v>90</v>
      </c>
      <c r="D1083" s="299">
        <f t="shared" si="35"/>
        <v>8</v>
      </c>
      <c r="E1083" s="299">
        <v>36</v>
      </c>
      <c r="F1083" s="430" t="s">
        <v>3502</v>
      </c>
      <c r="G1083" s="300" t="str">
        <f t="shared" si="36"/>
        <v>RiojaHessen</v>
      </c>
    </row>
    <row r="1084" spans="1:7" ht="12" customHeight="1">
      <c r="A1084" s="298">
        <v>36405</v>
      </c>
      <c r="B1084" s="299" t="s">
        <v>3514</v>
      </c>
      <c r="C1084" s="299">
        <v>110</v>
      </c>
      <c r="D1084" s="299">
        <f t="shared" si="35"/>
        <v>9</v>
      </c>
      <c r="E1084" s="299">
        <v>39</v>
      </c>
      <c r="F1084" s="430" t="s">
        <v>3502</v>
      </c>
      <c r="G1084" s="300" t="str">
        <f t="shared" si="36"/>
        <v>RiojaHessen</v>
      </c>
    </row>
    <row r="1085" spans="1:7" ht="12" customHeight="1">
      <c r="A1085" s="298">
        <v>36431</v>
      </c>
      <c r="B1085" s="299" t="s">
        <v>3514</v>
      </c>
      <c r="C1085" s="299">
        <v>10</v>
      </c>
      <c r="D1085" s="299">
        <f t="shared" si="35"/>
        <v>9</v>
      </c>
      <c r="E1085" s="299">
        <v>39</v>
      </c>
      <c r="F1085" s="430" t="s">
        <v>3502</v>
      </c>
      <c r="G1085" s="300" t="str">
        <f t="shared" si="36"/>
        <v>RiojaHessen</v>
      </c>
    </row>
    <row r="1086" spans="1:7" ht="12" customHeight="1">
      <c r="A1086" s="298">
        <v>36436</v>
      </c>
      <c r="B1086" s="299" t="s">
        <v>3514</v>
      </c>
      <c r="C1086" s="299">
        <v>60</v>
      </c>
      <c r="D1086" s="299">
        <f t="shared" si="35"/>
        <v>10</v>
      </c>
      <c r="E1086" s="299">
        <v>39</v>
      </c>
      <c r="F1086" s="430" t="s">
        <v>3502</v>
      </c>
      <c r="G1086" s="300" t="str">
        <f t="shared" si="36"/>
        <v>RiojaHessen</v>
      </c>
    </row>
    <row r="1087" spans="1:7" ht="12" customHeight="1">
      <c r="A1087" s="298">
        <v>36438</v>
      </c>
      <c r="B1087" s="299" t="s">
        <v>3514</v>
      </c>
      <c r="C1087" s="299">
        <v>150</v>
      </c>
      <c r="D1087" s="299">
        <f t="shared" si="35"/>
        <v>10</v>
      </c>
      <c r="E1087" s="299">
        <v>39</v>
      </c>
      <c r="F1087" s="430" t="s">
        <v>3502</v>
      </c>
      <c r="G1087" s="300" t="str">
        <f t="shared" si="36"/>
        <v>RiojaHessen</v>
      </c>
    </row>
    <row r="1088" spans="1:7" ht="12" customHeight="1">
      <c r="A1088" s="298">
        <v>36444</v>
      </c>
      <c r="B1088" s="299" t="s">
        <v>3514</v>
      </c>
      <c r="C1088" s="299">
        <v>10</v>
      </c>
      <c r="D1088" s="299">
        <f t="shared" si="35"/>
        <v>10</v>
      </c>
      <c r="E1088" s="299">
        <v>38</v>
      </c>
      <c r="F1088" s="430" t="s">
        <v>3502</v>
      </c>
      <c r="G1088" s="300" t="str">
        <f t="shared" si="36"/>
        <v>RiojaHessen</v>
      </c>
    </row>
    <row r="1089" spans="1:7" ht="12" customHeight="1">
      <c r="A1089" s="298">
        <v>36449</v>
      </c>
      <c r="B1089" s="299" t="s">
        <v>3514</v>
      </c>
      <c r="C1089" s="299">
        <v>210</v>
      </c>
      <c r="D1089" s="299">
        <f t="shared" si="35"/>
        <v>10</v>
      </c>
      <c r="E1089" s="299">
        <v>39</v>
      </c>
      <c r="F1089" s="430" t="s">
        <v>3502</v>
      </c>
      <c r="G1089" s="300" t="str">
        <f t="shared" si="36"/>
        <v>RiojaHessen</v>
      </c>
    </row>
    <row r="1090" spans="1:7" ht="12" customHeight="1">
      <c r="A1090" s="298">
        <v>36451</v>
      </c>
      <c r="B1090" s="299" t="s">
        <v>3514</v>
      </c>
      <c r="C1090" s="299">
        <v>80</v>
      </c>
      <c r="D1090" s="299">
        <f t="shared" si="35"/>
        <v>10</v>
      </c>
      <c r="E1090" s="299">
        <v>42</v>
      </c>
      <c r="F1090" s="430" t="s">
        <v>3502</v>
      </c>
      <c r="G1090" s="300" t="str">
        <f t="shared" si="36"/>
        <v>RiojaHessen</v>
      </c>
    </row>
    <row r="1091" spans="1:7" ht="12" customHeight="1">
      <c r="A1091" s="298">
        <v>36462</v>
      </c>
      <c r="B1091" s="299" t="s">
        <v>3514</v>
      </c>
      <c r="C1091" s="299">
        <v>180</v>
      </c>
      <c r="D1091" s="299">
        <f t="shared" si="35"/>
        <v>10</v>
      </c>
      <c r="E1091" s="299">
        <v>39</v>
      </c>
      <c r="F1091" s="430" t="s">
        <v>3502</v>
      </c>
      <c r="G1091" s="300" t="str">
        <f t="shared" si="36"/>
        <v>RiojaHessen</v>
      </c>
    </row>
    <row r="1092" spans="1:7" ht="12" customHeight="1">
      <c r="A1092" s="298">
        <v>36507</v>
      </c>
      <c r="B1092" s="299" t="s">
        <v>3514</v>
      </c>
      <c r="C1092" s="299">
        <v>180</v>
      </c>
      <c r="D1092" s="299">
        <f t="shared" si="35"/>
        <v>12</v>
      </c>
      <c r="E1092" s="299">
        <v>42</v>
      </c>
      <c r="F1092" s="430" t="s">
        <v>3502</v>
      </c>
      <c r="G1092" s="300" t="str">
        <f t="shared" si="36"/>
        <v>RiojaHessen</v>
      </c>
    </row>
    <row r="1093" spans="1:7" ht="12" customHeight="1">
      <c r="A1093" s="298">
        <v>36509</v>
      </c>
      <c r="B1093" s="299" t="s">
        <v>3514</v>
      </c>
      <c r="C1093" s="299">
        <v>90</v>
      </c>
      <c r="D1093" s="299">
        <f t="shared" si="35"/>
        <v>12</v>
      </c>
      <c r="E1093" s="299">
        <v>36</v>
      </c>
      <c r="F1093" s="430" t="s">
        <v>3502</v>
      </c>
      <c r="G1093" s="300" t="str">
        <f t="shared" si="36"/>
        <v>RiojaHessen</v>
      </c>
    </row>
    <row r="1094" spans="1:7" ht="12" customHeight="1">
      <c r="A1094" s="298">
        <v>36512</v>
      </c>
      <c r="B1094" s="299" t="s">
        <v>3514</v>
      </c>
      <c r="C1094" s="299">
        <v>180</v>
      </c>
      <c r="D1094" s="299">
        <f t="shared" ref="D1094:D1157" si="37">MONTH(A1094)</f>
        <v>12</v>
      </c>
      <c r="E1094" s="299">
        <v>42</v>
      </c>
      <c r="F1094" s="430" t="s">
        <v>3502</v>
      </c>
      <c r="G1094" s="300" t="str">
        <f t="shared" ref="G1094:G1157" si="38">B1094&amp;F1094</f>
        <v>RiojaHessen</v>
      </c>
    </row>
    <row r="1095" spans="1:7" ht="12" customHeight="1">
      <c r="A1095" s="298">
        <v>36515</v>
      </c>
      <c r="B1095" s="299" t="s">
        <v>3514</v>
      </c>
      <c r="C1095" s="299">
        <v>70</v>
      </c>
      <c r="D1095" s="299">
        <f t="shared" si="37"/>
        <v>12</v>
      </c>
      <c r="E1095" s="299">
        <v>42</v>
      </c>
      <c r="F1095" s="430" t="s">
        <v>3502</v>
      </c>
      <c r="G1095" s="300" t="str">
        <f t="shared" si="38"/>
        <v>RiojaHessen</v>
      </c>
    </row>
    <row r="1096" spans="1:7" ht="12" customHeight="1">
      <c r="A1096" s="298">
        <v>36268</v>
      </c>
      <c r="B1096" s="299" t="s">
        <v>3514</v>
      </c>
      <c r="C1096" s="299">
        <v>120</v>
      </c>
      <c r="D1096" s="299">
        <f t="shared" si="37"/>
        <v>4</v>
      </c>
      <c r="E1096" s="299">
        <v>43</v>
      </c>
      <c r="F1096" s="430" t="s">
        <v>3503</v>
      </c>
      <c r="G1096" s="300" t="str">
        <f t="shared" si="38"/>
        <v>RiojaHolstein</v>
      </c>
    </row>
    <row r="1097" spans="1:7" ht="12" customHeight="1">
      <c r="A1097" s="298">
        <v>36170</v>
      </c>
      <c r="B1097" s="299" t="s">
        <v>3514</v>
      </c>
      <c r="C1097" s="299">
        <v>210</v>
      </c>
      <c r="D1097" s="299">
        <f t="shared" si="37"/>
        <v>1</v>
      </c>
      <c r="E1097" s="299">
        <v>35</v>
      </c>
      <c r="F1097" s="430" t="s">
        <v>3497</v>
      </c>
      <c r="G1097" s="300" t="str">
        <f t="shared" si="38"/>
        <v>RiojaNRW</v>
      </c>
    </row>
    <row r="1098" spans="1:7" ht="12" customHeight="1">
      <c r="A1098" s="298">
        <v>36187</v>
      </c>
      <c r="B1098" s="299" t="s">
        <v>3514</v>
      </c>
      <c r="C1098" s="299">
        <v>180</v>
      </c>
      <c r="D1098" s="299">
        <f t="shared" si="37"/>
        <v>1</v>
      </c>
      <c r="E1098" s="299">
        <v>35</v>
      </c>
      <c r="F1098" s="430" t="s">
        <v>3497</v>
      </c>
      <c r="G1098" s="300" t="str">
        <f t="shared" si="38"/>
        <v>RiojaNRW</v>
      </c>
    </row>
    <row r="1099" spans="1:7" ht="12" customHeight="1">
      <c r="A1099" s="298">
        <v>36200</v>
      </c>
      <c r="B1099" s="299" t="s">
        <v>3514</v>
      </c>
      <c r="C1099" s="299">
        <v>90</v>
      </c>
      <c r="D1099" s="299">
        <f t="shared" si="37"/>
        <v>2</v>
      </c>
      <c r="E1099" s="299">
        <v>41</v>
      </c>
      <c r="F1099" s="430" t="s">
        <v>3497</v>
      </c>
      <c r="G1099" s="300" t="str">
        <f t="shared" si="38"/>
        <v>RiojaNRW</v>
      </c>
    </row>
    <row r="1100" spans="1:7" ht="12" customHeight="1">
      <c r="A1100" s="298">
        <v>36212</v>
      </c>
      <c r="B1100" s="299" t="s">
        <v>3514</v>
      </c>
      <c r="C1100" s="299">
        <v>80</v>
      </c>
      <c r="D1100" s="299">
        <f t="shared" si="37"/>
        <v>2</v>
      </c>
      <c r="E1100" s="299">
        <v>43</v>
      </c>
      <c r="F1100" s="430" t="s">
        <v>3497</v>
      </c>
      <c r="G1100" s="300" t="str">
        <f t="shared" si="38"/>
        <v>RiojaNRW</v>
      </c>
    </row>
    <row r="1101" spans="1:7" ht="12" customHeight="1">
      <c r="A1101" s="298">
        <v>36271</v>
      </c>
      <c r="B1101" s="299" t="s">
        <v>3514</v>
      </c>
      <c r="C1101" s="299">
        <v>180</v>
      </c>
      <c r="D1101" s="299">
        <f t="shared" si="37"/>
        <v>4</v>
      </c>
      <c r="E1101" s="299">
        <v>42</v>
      </c>
      <c r="F1101" s="430" t="s">
        <v>3497</v>
      </c>
      <c r="G1101" s="300" t="str">
        <f t="shared" si="38"/>
        <v>RiojaNRW</v>
      </c>
    </row>
    <row r="1102" spans="1:7" ht="12" customHeight="1">
      <c r="A1102" s="298">
        <v>36273</v>
      </c>
      <c r="B1102" s="299" t="s">
        <v>3514</v>
      </c>
      <c r="C1102" s="299">
        <v>210</v>
      </c>
      <c r="D1102" s="299">
        <f t="shared" si="37"/>
        <v>4</v>
      </c>
      <c r="E1102" s="299">
        <v>42</v>
      </c>
      <c r="F1102" s="430" t="s">
        <v>3497</v>
      </c>
      <c r="G1102" s="300" t="str">
        <f t="shared" si="38"/>
        <v>RiojaNRW</v>
      </c>
    </row>
    <row r="1103" spans="1:7" ht="12" customHeight="1">
      <c r="A1103" s="298">
        <v>36274</v>
      </c>
      <c r="B1103" s="299" t="s">
        <v>3514</v>
      </c>
      <c r="C1103" s="299">
        <v>30</v>
      </c>
      <c r="D1103" s="299">
        <f t="shared" si="37"/>
        <v>4</v>
      </c>
      <c r="E1103" s="299">
        <v>42</v>
      </c>
      <c r="F1103" s="430" t="s">
        <v>3497</v>
      </c>
      <c r="G1103" s="300" t="str">
        <f t="shared" si="38"/>
        <v>RiojaNRW</v>
      </c>
    </row>
    <row r="1104" spans="1:7" ht="12" customHeight="1">
      <c r="A1104" s="298">
        <v>36346</v>
      </c>
      <c r="B1104" s="299" t="s">
        <v>3514</v>
      </c>
      <c r="C1104" s="299">
        <v>40</v>
      </c>
      <c r="D1104" s="299">
        <f t="shared" si="37"/>
        <v>7</v>
      </c>
      <c r="E1104" s="299">
        <v>38</v>
      </c>
      <c r="F1104" s="430" t="s">
        <v>3497</v>
      </c>
      <c r="G1104" s="300" t="str">
        <f t="shared" si="38"/>
        <v>RiojaNRW</v>
      </c>
    </row>
    <row r="1105" spans="1:7" ht="12" customHeight="1">
      <c r="A1105" s="298">
        <v>36375</v>
      </c>
      <c r="B1105" s="299" t="s">
        <v>3514</v>
      </c>
      <c r="C1105" s="299">
        <v>90</v>
      </c>
      <c r="D1105" s="299">
        <f t="shared" si="37"/>
        <v>8</v>
      </c>
      <c r="E1105" s="299">
        <v>42</v>
      </c>
      <c r="F1105" s="430" t="s">
        <v>3497</v>
      </c>
      <c r="G1105" s="300" t="str">
        <f t="shared" si="38"/>
        <v>RiojaNRW</v>
      </c>
    </row>
    <row r="1106" spans="1:7" ht="12" customHeight="1">
      <c r="A1106" s="298">
        <v>36381</v>
      </c>
      <c r="B1106" s="299" t="s">
        <v>3514</v>
      </c>
      <c r="C1106" s="299">
        <v>80</v>
      </c>
      <c r="D1106" s="299">
        <f t="shared" si="37"/>
        <v>8</v>
      </c>
      <c r="E1106" s="299">
        <v>36</v>
      </c>
      <c r="F1106" s="430" t="s">
        <v>3497</v>
      </c>
      <c r="G1106" s="300" t="str">
        <f t="shared" si="38"/>
        <v>RiojaNRW</v>
      </c>
    </row>
    <row r="1107" spans="1:7" ht="12" customHeight="1">
      <c r="A1107" s="298">
        <v>36392</v>
      </c>
      <c r="B1107" s="299" t="s">
        <v>3514</v>
      </c>
      <c r="C1107" s="299">
        <v>80</v>
      </c>
      <c r="D1107" s="299">
        <f t="shared" si="37"/>
        <v>8</v>
      </c>
      <c r="E1107" s="299">
        <v>43</v>
      </c>
      <c r="F1107" s="430" t="s">
        <v>3497</v>
      </c>
      <c r="G1107" s="300" t="str">
        <f t="shared" si="38"/>
        <v>RiojaNRW</v>
      </c>
    </row>
    <row r="1108" spans="1:7" ht="12" customHeight="1">
      <c r="A1108" s="298">
        <v>36395</v>
      </c>
      <c r="B1108" s="299" t="s">
        <v>3514</v>
      </c>
      <c r="C1108" s="299">
        <v>10</v>
      </c>
      <c r="D1108" s="299">
        <f t="shared" si="37"/>
        <v>8</v>
      </c>
      <c r="E1108" s="299">
        <v>43</v>
      </c>
      <c r="F1108" s="430" t="s">
        <v>3497</v>
      </c>
      <c r="G1108" s="300" t="str">
        <f t="shared" si="38"/>
        <v>RiojaNRW</v>
      </c>
    </row>
    <row r="1109" spans="1:7" ht="12" customHeight="1">
      <c r="A1109" s="298">
        <v>36404</v>
      </c>
      <c r="B1109" s="299" t="s">
        <v>3514</v>
      </c>
      <c r="C1109" s="299">
        <v>90</v>
      </c>
      <c r="D1109" s="299">
        <f t="shared" si="37"/>
        <v>9</v>
      </c>
      <c r="E1109" s="299">
        <v>35</v>
      </c>
      <c r="F1109" s="430" t="s">
        <v>3497</v>
      </c>
      <c r="G1109" s="300" t="str">
        <f t="shared" si="38"/>
        <v>RiojaNRW</v>
      </c>
    </row>
    <row r="1110" spans="1:7" ht="12" customHeight="1">
      <c r="A1110" s="298">
        <v>36416</v>
      </c>
      <c r="B1110" s="299" t="s">
        <v>3514</v>
      </c>
      <c r="C1110" s="299">
        <v>120</v>
      </c>
      <c r="D1110" s="299">
        <f t="shared" si="37"/>
        <v>9</v>
      </c>
      <c r="E1110" s="299">
        <v>42</v>
      </c>
      <c r="F1110" s="430" t="s">
        <v>3497</v>
      </c>
      <c r="G1110" s="300" t="str">
        <f t="shared" si="38"/>
        <v>RiojaNRW</v>
      </c>
    </row>
    <row r="1111" spans="1:7" ht="12" customHeight="1">
      <c r="A1111" s="298">
        <v>36446</v>
      </c>
      <c r="B1111" s="299" t="s">
        <v>3514</v>
      </c>
      <c r="C1111" s="299">
        <v>80</v>
      </c>
      <c r="D1111" s="299">
        <f t="shared" si="37"/>
        <v>10</v>
      </c>
      <c r="E1111" s="299">
        <v>36</v>
      </c>
      <c r="F1111" s="430" t="s">
        <v>3497</v>
      </c>
      <c r="G1111" s="300" t="str">
        <f t="shared" si="38"/>
        <v>RiojaNRW</v>
      </c>
    </row>
    <row r="1112" spans="1:7" ht="12" customHeight="1">
      <c r="A1112" s="298">
        <v>36248</v>
      </c>
      <c r="B1112" s="299" t="s">
        <v>3514</v>
      </c>
      <c r="C1112" s="299">
        <v>210</v>
      </c>
      <c r="D1112" s="299">
        <f t="shared" si="37"/>
        <v>3</v>
      </c>
      <c r="E1112" s="299">
        <v>38</v>
      </c>
      <c r="F1112" s="430" t="s">
        <v>3499</v>
      </c>
      <c r="G1112" s="300" t="str">
        <f t="shared" si="38"/>
        <v>RiojaPfalz</v>
      </c>
    </row>
    <row r="1113" spans="1:7" ht="12" customHeight="1">
      <c r="A1113" s="298">
        <v>36251</v>
      </c>
      <c r="B1113" s="299" t="s">
        <v>3514</v>
      </c>
      <c r="C1113" s="299">
        <v>40</v>
      </c>
      <c r="D1113" s="299">
        <f t="shared" si="37"/>
        <v>4</v>
      </c>
      <c r="E1113" s="299">
        <v>42</v>
      </c>
      <c r="F1113" s="430" t="s">
        <v>3499</v>
      </c>
      <c r="G1113" s="300" t="str">
        <f t="shared" si="38"/>
        <v>RiojaPfalz</v>
      </c>
    </row>
    <row r="1114" spans="1:7" ht="12" customHeight="1">
      <c r="A1114" s="298">
        <v>36269</v>
      </c>
      <c r="B1114" s="299" t="s">
        <v>3514</v>
      </c>
      <c r="C1114" s="299">
        <v>240</v>
      </c>
      <c r="D1114" s="299">
        <f t="shared" si="37"/>
        <v>4</v>
      </c>
      <c r="E1114" s="299">
        <v>42</v>
      </c>
      <c r="F1114" s="430" t="s">
        <v>3499</v>
      </c>
      <c r="G1114" s="300" t="str">
        <f t="shared" si="38"/>
        <v>RiojaPfalz</v>
      </c>
    </row>
    <row r="1115" spans="1:7" ht="12" customHeight="1">
      <c r="A1115" s="298">
        <v>36279</v>
      </c>
      <c r="B1115" s="299" t="s">
        <v>3514</v>
      </c>
      <c r="C1115" s="299">
        <v>120</v>
      </c>
      <c r="D1115" s="299">
        <f t="shared" si="37"/>
        <v>4</v>
      </c>
      <c r="E1115" s="299">
        <v>42</v>
      </c>
      <c r="F1115" s="430" t="s">
        <v>3499</v>
      </c>
      <c r="G1115" s="300" t="str">
        <f t="shared" si="38"/>
        <v>RiojaPfalz</v>
      </c>
    </row>
    <row r="1116" spans="1:7" ht="12" customHeight="1">
      <c r="A1116" s="298">
        <v>36363</v>
      </c>
      <c r="B1116" s="299" t="s">
        <v>3514</v>
      </c>
      <c r="C1116" s="299">
        <v>50</v>
      </c>
      <c r="D1116" s="299">
        <f t="shared" si="37"/>
        <v>7</v>
      </c>
      <c r="E1116" s="299">
        <v>38</v>
      </c>
      <c r="F1116" s="430" t="s">
        <v>3499</v>
      </c>
      <c r="G1116" s="300" t="str">
        <f t="shared" si="38"/>
        <v>RiojaPfalz</v>
      </c>
    </row>
    <row r="1117" spans="1:7" ht="12" customHeight="1">
      <c r="A1117" s="298">
        <v>36450</v>
      </c>
      <c r="B1117" s="299" t="s">
        <v>3514</v>
      </c>
      <c r="C1117" s="299">
        <v>80</v>
      </c>
      <c r="D1117" s="299">
        <f t="shared" si="37"/>
        <v>10</v>
      </c>
      <c r="E1117" s="299">
        <v>35</v>
      </c>
      <c r="F1117" s="430" t="s">
        <v>3499</v>
      </c>
      <c r="G1117" s="300" t="str">
        <f t="shared" si="38"/>
        <v>RiojaPfalz</v>
      </c>
    </row>
    <row r="1118" spans="1:7" ht="12" customHeight="1">
      <c r="A1118" s="298">
        <v>36260</v>
      </c>
      <c r="B1118" s="299" t="s">
        <v>3515</v>
      </c>
      <c r="C1118" s="299">
        <v>30</v>
      </c>
      <c r="D1118" s="299">
        <f t="shared" si="37"/>
        <v>4</v>
      </c>
      <c r="E1118" s="299">
        <v>41</v>
      </c>
      <c r="F1118" s="430" t="s">
        <v>3504</v>
      </c>
      <c r="G1118" s="300" t="str">
        <f t="shared" si="38"/>
        <v>SoaveBayern</v>
      </c>
    </row>
    <row r="1119" spans="1:7" ht="12" customHeight="1">
      <c r="A1119" s="298">
        <v>36358</v>
      </c>
      <c r="B1119" s="299" t="s">
        <v>3515</v>
      </c>
      <c r="C1119" s="299">
        <v>90</v>
      </c>
      <c r="D1119" s="299">
        <f t="shared" si="37"/>
        <v>7</v>
      </c>
      <c r="E1119" s="299">
        <v>40</v>
      </c>
      <c r="F1119" s="430" t="s">
        <v>3504</v>
      </c>
      <c r="G1119" s="300" t="str">
        <f t="shared" si="38"/>
        <v>SoaveBayern</v>
      </c>
    </row>
    <row r="1120" spans="1:7" ht="12" customHeight="1">
      <c r="A1120" s="298">
        <v>36378</v>
      </c>
      <c r="B1120" s="299" t="s">
        <v>3515</v>
      </c>
      <c r="C1120" s="299">
        <v>80</v>
      </c>
      <c r="D1120" s="299">
        <f t="shared" si="37"/>
        <v>8</v>
      </c>
      <c r="E1120" s="299">
        <v>41</v>
      </c>
      <c r="F1120" s="430" t="s">
        <v>3504</v>
      </c>
      <c r="G1120" s="300" t="str">
        <f t="shared" si="38"/>
        <v>SoaveBayern</v>
      </c>
    </row>
    <row r="1121" spans="1:7" ht="12" customHeight="1">
      <c r="A1121" s="298">
        <v>36435</v>
      </c>
      <c r="B1121" s="299" t="s">
        <v>3515</v>
      </c>
      <c r="C1121" s="299">
        <v>100</v>
      </c>
      <c r="D1121" s="299">
        <f t="shared" si="37"/>
        <v>10</v>
      </c>
      <c r="E1121" s="299">
        <v>37</v>
      </c>
      <c r="F1121" s="430" t="s">
        <v>3504</v>
      </c>
      <c r="G1121" s="300" t="str">
        <f t="shared" si="38"/>
        <v>SoaveBayern</v>
      </c>
    </row>
    <row r="1122" spans="1:7" ht="12" customHeight="1">
      <c r="A1122" s="298">
        <v>36440</v>
      </c>
      <c r="B1122" s="299" t="s">
        <v>3515</v>
      </c>
      <c r="C1122" s="299">
        <v>10</v>
      </c>
      <c r="D1122" s="299">
        <f t="shared" si="37"/>
        <v>10</v>
      </c>
      <c r="E1122" s="299">
        <v>37</v>
      </c>
      <c r="F1122" s="430" t="s">
        <v>3504</v>
      </c>
      <c r="G1122" s="300" t="str">
        <f t="shared" si="38"/>
        <v>SoaveBayern</v>
      </c>
    </row>
    <row r="1123" spans="1:7" ht="12" customHeight="1">
      <c r="A1123" s="298">
        <v>36441</v>
      </c>
      <c r="B1123" s="299" t="s">
        <v>3515</v>
      </c>
      <c r="C1123" s="299">
        <v>150</v>
      </c>
      <c r="D1123" s="299">
        <f t="shared" si="37"/>
        <v>10</v>
      </c>
      <c r="E1123" s="299">
        <v>37</v>
      </c>
      <c r="F1123" s="430" t="s">
        <v>3504</v>
      </c>
      <c r="G1123" s="300" t="str">
        <f t="shared" si="38"/>
        <v>SoaveBayern</v>
      </c>
    </row>
    <row r="1124" spans="1:7" ht="12" customHeight="1">
      <c r="A1124" s="298">
        <v>36465</v>
      </c>
      <c r="B1124" s="299" t="s">
        <v>3515</v>
      </c>
      <c r="C1124" s="299">
        <v>210</v>
      </c>
      <c r="D1124" s="299">
        <f t="shared" si="37"/>
        <v>11</v>
      </c>
      <c r="E1124" s="299">
        <v>41</v>
      </c>
      <c r="F1124" s="430" t="s">
        <v>3504</v>
      </c>
      <c r="G1124" s="300" t="str">
        <f t="shared" si="38"/>
        <v>SoaveBayern</v>
      </c>
    </row>
    <row r="1125" spans="1:7" ht="12" customHeight="1">
      <c r="A1125" s="298">
        <v>36474</v>
      </c>
      <c r="B1125" s="299" t="s">
        <v>3515</v>
      </c>
      <c r="C1125" s="299">
        <v>30</v>
      </c>
      <c r="D1125" s="299">
        <f t="shared" si="37"/>
        <v>11</v>
      </c>
      <c r="E1125" s="299">
        <v>41</v>
      </c>
      <c r="F1125" s="430" t="s">
        <v>3504</v>
      </c>
      <c r="G1125" s="300" t="str">
        <f t="shared" si="38"/>
        <v>SoaveBayern</v>
      </c>
    </row>
    <row r="1126" spans="1:7" ht="12" customHeight="1">
      <c r="A1126" s="298">
        <v>36508</v>
      </c>
      <c r="B1126" s="299" t="s">
        <v>3515</v>
      </c>
      <c r="C1126" s="299">
        <v>120</v>
      </c>
      <c r="D1126" s="299">
        <f t="shared" si="37"/>
        <v>12</v>
      </c>
      <c r="E1126" s="299">
        <v>38</v>
      </c>
      <c r="F1126" s="430" t="s">
        <v>3504</v>
      </c>
      <c r="G1126" s="300" t="str">
        <f t="shared" si="38"/>
        <v>SoaveBayern</v>
      </c>
    </row>
    <row r="1127" spans="1:7" ht="12" customHeight="1">
      <c r="A1127" s="298">
        <v>36175</v>
      </c>
      <c r="B1127" s="299" t="s">
        <v>3515</v>
      </c>
      <c r="C1127" s="299">
        <v>100</v>
      </c>
      <c r="D1127" s="299">
        <f t="shared" si="37"/>
        <v>1</v>
      </c>
      <c r="E1127" s="299">
        <v>37</v>
      </c>
      <c r="F1127" s="430" t="s">
        <v>3501</v>
      </c>
      <c r="G1127" s="300" t="str">
        <f t="shared" si="38"/>
        <v>SoaveBW</v>
      </c>
    </row>
    <row r="1128" spans="1:7" ht="12" customHeight="1">
      <c r="A1128" s="298">
        <v>36209</v>
      </c>
      <c r="B1128" s="299" t="s">
        <v>3515</v>
      </c>
      <c r="C1128" s="299">
        <v>60</v>
      </c>
      <c r="D1128" s="299">
        <f t="shared" si="37"/>
        <v>2</v>
      </c>
      <c r="E1128" s="299">
        <v>36</v>
      </c>
      <c r="F1128" s="430" t="s">
        <v>3501</v>
      </c>
      <c r="G1128" s="300" t="str">
        <f t="shared" si="38"/>
        <v>SoaveBW</v>
      </c>
    </row>
    <row r="1129" spans="1:7" ht="12" customHeight="1">
      <c r="A1129" s="298">
        <v>36211</v>
      </c>
      <c r="B1129" s="299" t="s">
        <v>3515</v>
      </c>
      <c r="C1129" s="299">
        <v>180</v>
      </c>
      <c r="D1129" s="299">
        <f t="shared" si="37"/>
        <v>2</v>
      </c>
      <c r="E1129" s="299">
        <v>36</v>
      </c>
      <c r="F1129" s="430" t="s">
        <v>3501</v>
      </c>
      <c r="G1129" s="300" t="str">
        <f t="shared" si="38"/>
        <v>SoaveBW</v>
      </c>
    </row>
    <row r="1130" spans="1:7" ht="12" customHeight="1">
      <c r="A1130" s="298">
        <v>36249</v>
      </c>
      <c r="B1130" s="299" t="s">
        <v>3515</v>
      </c>
      <c r="C1130" s="299">
        <v>90</v>
      </c>
      <c r="D1130" s="299">
        <f t="shared" si="37"/>
        <v>3</v>
      </c>
      <c r="E1130" s="299">
        <v>41</v>
      </c>
      <c r="F1130" s="430" t="s">
        <v>3501</v>
      </c>
      <c r="G1130" s="300" t="str">
        <f t="shared" si="38"/>
        <v>SoaveBW</v>
      </c>
    </row>
    <row r="1131" spans="1:7" ht="12" customHeight="1">
      <c r="A1131" s="298">
        <v>36255</v>
      </c>
      <c r="B1131" s="299" t="s">
        <v>3515</v>
      </c>
      <c r="C1131" s="299">
        <v>100</v>
      </c>
      <c r="D1131" s="299">
        <f t="shared" si="37"/>
        <v>4</v>
      </c>
      <c r="E1131" s="299">
        <v>41</v>
      </c>
      <c r="F1131" s="430" t="s">
        <v>3501</v>
      </c>
      <c r="G1131" s="300" t="str">
        <f t="shared" si="38"/>
        <v>SoaveBW</v>
      </c>
    </row>
    <row r="1132" spans="1:7" ht="12" customHeight="1">
      <c r="A1132" s="298">
        <v>36262</v>
      </c>
      <c r="B1132" s="299" t="s">
        <v>3515</v>
      </c>
      <c r="C1132" s="299">
        <v>90</v>
      </c>
      <c r="D1132" s="299">
        <f t="shared" si="37"/>
        <v>4</v>
      </c>
      <c r="E1132" s="299">
        <v>37</v>
      </c>
      <c r="F1132" s="430" t="s">
        <v>3501</v>
      </c>
      <c r="G1132" s="300" t="str">
        <f t="shared" si="38"/>
        <v>SoaveBW</v>
      </c>
    </row>
    <row r="1133" spans="1:7" ht="12" customHeight="1">
      <c r="A1133" s="298">
        <v>36270</v>
      </c>
      <c r="B1133" s="299" t="s">
        <v>3515</v>
      </c>
      <c r="C1133" s="299">
        <v>120</v>
      </c>
      <c r="D1133" s="299">
        <f t="shared" si="37"/>
        <v>4</v>
      </c>
      <c r="E1133" s="299">
        <v>44</v>
      </c>
      <c r="F1133" s="430" t="s">
        <v>3501</v>
      </c>
      <c r="G1133" s="300" t="str">
        <f t="shared" si="38"/>
        <v>SoaveBW</v>
      </c>
    </row>
    <row r="1134" spans="1:7" ht="12" customHeight="1">
      <c r="A1134" s="298">
        <v>36273</v>
      </c>
      <c r="B1134" s="299" t="s">
        <v>3515</v>
      </c>
      <c r="C1134" s="299">
        <v>60</v>
      </c>
      <c r="D1134" s="299">
        <f t="shared" si="37"/>
        <v>4</v>
      </c>
      <c r="E1134" s="299">
        <v>36</v>
      </c>
      <c r="F1134" s="430" t="s">
        <v>3501</v>
      </c>
      <c r="G1134" s="300" t="str">
        <f t="shared" si="38"/>
        <v>SoaveBW</v>
      </c>
    </row>
    <row r="1135" spans="1:7" ht="12" customHeight="1">
      <c r="A1135" s="298">
        <v>36312</v>
      </c>
      <c r="B1135" s="299" t="s">
        <v>3515</v>
      </c>
      <c r="C1135" s="299">
        <v>120</v>
      </c>
      <c r="D1135" s="299">
        <f t="shared" si="37"/>
        <v>6</v>
      </c>
      <c r="E1135" s="299">
        <v>36</v>
      </c>
      <c r="F1135" s="430" t="s">
        <v>3501</v>
      </c>
      <c r="G1135" s="300" t="str">
        <f t="shared" si="38"/>
        <v>SoaveBW</v>
      </c>
    </row>
    <row r="1136" spans="1:7" ht="12" customHeight="1">
      <c r="A1136" s="298">
        <v>36322</v>
      </c>
      <c r="B1136" s="299" t="s">
        <v>3515</v>
      </c>
      <c r="C1136" s="299">
        <v>70</v>
      </c>
      <c r="D1136" s="299">
        <f t="shared" si="37"/>
        <v>6</v>
      </c>
      <c r="E1136" s="299">
        <v>44</v>
      </c>
      <c r="F1136" s="430" t="s">
        <v>3501</v>
      </c>
      <c r="G1136" s="300" t="str">
        <f t="shared" si="38"/>
        <v>SoaveBW</v>
      </c>
    </row>
    <row r="1137" spans="1:7" ht="12" customHeight="1">
      <c r="A1137" s="298">
        <v>36324</v>
      </c>
      <c r="B1137" s="299" t="s">
        <v>3515</v>
      </c>
      <c r="C1137" s="299">
        <v>50</v>
      </c>
      <c r="D1137" s="299">
        <f t="shared" si="37"/>
        <v>6</v>
      </c>
      <c r="E1137" s="299">
        <v>44</v>
      </c>
      <c r="F1137" s="430" t="s">
        <v>3501</v>
      </c>
      <c r="G1137" s="300" t="str">
        <f t="shared" si="38"/>
        <v>SoaveBW</v>
      </c>
    </row>
    <row r="1138" spans="1:7" ht="12" customHeight="1">
      <c r="A1138" s="298">
        <v>36325</v>
      </c>
      <c r="B1138" s="299" t="s">
        <v>3515</v>
      </c>
      <c r="C1138" s="299">
        <v>180</v>
      </c>
      <c r="D1138" s="299">
        <f t="shared" si="37"/>
        <v>6</v>
      </c>
      <c r="E1138" s="299">
        <v>44</v>
      </c>
      <c r="F1138" s="430" t="s">
        <v>3501</v>
      </c>
      <c r="G1138" s="300" t="str">
        <f t="shared" si="38"/>
        <v>SoaveBW</v>
      </c>
    </row>
    <row r="1139" spans="1:7" ht="12" customHeight="1">
      <c r="A1139" s="298">
        <v>36331</v>
      </c>
      <c r="B1139" s="299" t="s">
        <v>3515</v>
      </c>
      <c r="C1139" s="299">
        <v>40</v>
      </c>
      <c r="D1139" s="299">
        <f t="shared" si="37"/>
        <v>6</v>
      </c>
      <c r="E1139" s="299">
        <v>44</v>
      </c>
      <c r="F1139" s="430" t="s">
        <v>3501</v>
      </c>
      <c r="G1139" s="300" t="str">
        <f t="shared" si="38"/>
        <v>SoaveBW</v>
      </c>
    </row>
    <row r="1140" spans="1:7" ht="12" customHeight="1">
      <c r="A1140" s="298">
        <v>36331</v>
      </c>
      <c r="B1140" s="299" t="s">
        <v>3515</v>
      </c>
      <c r="C1140" s="299">
        <v>50</v>
      </c>
      <c r="D1140" s="299">
        <f t="shared" si="37"/>
        <v>6</v>
      </c>
      <c r="E1140" s="299">
        <v>36</v>
      </c>
      <c r="F1140" s="430" t="s">
        <v>3501</v>
      </c>
      <c r="G1140" s="300" t="str">
        <f t="shared" si="38"/>
        <v>SoaveBW</v>
      </c>
    </row>
    <row r="1141" spans="1:7" ht="12" customHeight="1">
      <c r="A1141" s="298">
        <v>36335</v>
      </c>
      <c r="B1141" s="299" t="s">
        <v>3515</v>
      </c>
      <c r="C1141" s="299">
        <v>50</v>
      </c>
      <c r="D1141" s="299">
        <f t="shared" si="37"/>
        <v>6</v>
      </c>
      <c r="E1141" s="299">
        <v>37</v>
      </c>
      <c r="F1141" s="430" t="s">
        <v>3501</v>
      </c>
      <c r="G1141" s="300" t="str">
        <f t="shared" si="38"/>
        <v>SoaveBW</v>
      </c>
    </row>
    <row r="1142" spans="1:7" ht="12" customHeight="1">
      <c r="A1142" s="298">
        <v>36339</v>
      </c>
      <c r="B1142" s="299" t="s">
        <v>3515</v>
      </c>
      <c r="C1142" s="299">
        <v>180</v>
      </c>
      <c r="D1142" s="299">
        <f t="shared" si="37"/>
        <v>6</v>
      </c>
      <c r="E1142" s="299">
        <v>44</v>
      </c>
      <c r="F1142" s="430" t="s">
        <v>3501</v>
      </c>
      <c r="G1142" s="300" t="str">
        <f t="shared" si="38"/>
        <v>SoaveBW</v>
      </c>
    </row>
    <row r="1143" spans="1:7" ht="12" customHeight="1">
      <c r="A1143" s="298">
        <v>36345</v>
      </c>
      <c r="B1143" s="299" t="s">
        <v>3515</v>
      </c>
      <c r="C1143" s="299">
        <v>90</v>
      </c>
      <c r="D1143" s="299">
        <f t="shared" si="37"/>
        <v>7</v>
      </c>
      <c r="E1143" s="299">
        <v>36</v>
      </c>
      <c r="F1143" s="430" t="s">
        <v>3501</v>
      </c>
      <c r="G1143" s="300" t="str">
        <f t="shared" si="38"/>
        <v>SoaveBW</v>
      </c>
    </row>
    <row r="1144" spans="1:7" ht="12" customHeight="1">
      <c r="A1144" s="298">
        <v>36383</v>
      </c>
      <c r="B1144" s="299" t="s">
        <v>3515</v>
      </c>
      <c r="C1144" s="299">
        <v>100</v>
      </c>
      <c r="D1144" s="299">
        <f t="shared" si="37"/>
        <v>8</v>
      </c>
      <c r="E1144" s="299">
        <v>41</v>
      </c>
      <c r="F1144" s="430" t="s">
        <v>3501</v>
      </c>
      <c r="G1144" s="300" t="str">
        <f t="shared" si="38"/>
        <v>SoaveBW</v>
      </c>
    </row>
    <row r="1145" spans="1:7" ht="12" customHeight="1">
      <c r="A1145" s="298">
        <v>36400</v>
      </c>
      <c r="B1145" s="299" t="s">
        <v>3515</v>
      </c>
      <c r="C1145" s="299">
        <v>100</v>
      </c>
      <c r="D1145" s="299">
        <f t="shared" si="37"/>
        <v>8</v>
      </c>
      <c r="E1145" s="299">
        <v>41</v>
      </c>
      <c r="F1145" s="430" t="s">
        <v>3501</v>
      </c>
      <c r="G1145" s="300" t="str">
        <f t="shared" si="38"/>
        <v>SoaveBW</v>
      </c>
    </row>
    <row r="1146" spans="1:7" ht="12" customHeight="1">
      <c r="A1146" s="298">
        <v>36461</v>
      </c>
      <c r="B1146" s="299" t="s">
        <v>3515</v>
      </c>
      <c r="C1146" s="299">
        <v>80</v>
      </c>
      <c r="D1146" s="299">
        <f t="shared" si="37"/>
        <v>10</v>
      </c>
      <c r="E1146" s="299">
        <v>44</v>
      </c>
      <c r="F1146" s="430" t="s">
        <v>3501</v>
      </c>
      <c r="G1146" s="300" t="str">
        <f t="shared" si="38"/>
        <v>SoaveBW</v>
      </c>
    </row>
    <row r="1147" spans="1:7" ht="12" customHeight="1">
      <c r="A1147" s="298">
        <v>36470</v>
      </c>
      <c r="B1147" s="299" t="s">
        <v>3515</v>
      </c>
      <c r="C1147" s="299">
        <v>30</v>
      </c>
      <c r="D1147" s="299">
        <f t="shared" si="37"/>
        <v>11</v>
      </c>
      <c r="E1147" s="299">
        <v>39</v>
      </c>
      <c r="F1147" s="430" t="s">
        <v>3501</v>
      </c>
      <c r="G1147" s="300" t="str">
        <f t="shared" si="38"/>
        <v>SoaveBW</v>
      </c>
    </row>
    <row r="1148" spans="1:7" ht="12" customHeight="1">
      <c r="A1148" s="298">
        <v>36479</v>
      </c>
      <c r="B1148" s="299" t="s">
        <v>3515</v>
      </c>
      <c r="C1148" s="299">
        <v>70</v>
      </c>
      <c r="D1148" s="299">
        <f t="shared" si="37"/>
        <v>11</v>
      </c>
      <c r="E1148" s="299">
        <v>39</v>
      </c>
      <c r="F1148" s="430" t="s">
        <v>3501</v>
      </c>
      <c r="G1148" s="300" t="str">
        <f t="shared" si="38"/>
        <v>SoaveBW</v>
      </c>
    </row>
    <row r="1149" spans="1:7" ht="12" customHeight="1">
      <c r="A1149" s="298">
        <v>36496</v>
      </c>
      <c r="B1149" s="299" t="s">
        <v>3515</v>
      </c>
      <c r="C1149" s="299">
        <v>120</v>
      </c>
      <c r="D1149" s="299">
        <f t="shared" si="37"/>
        <v>12</v>
      </c>
      <c r="E1149" s="299">
        <v>39</v>
      </c>
      <c r="F1149" s="430" t="s">
        <v>3501</v>
      </c>
      <c r="G1149" s="300" t="str">
        <f t="shared" si="38"/>
        <v>SoaveBW</v>
      </c>
    </row>
    <row r="1150" spans="1:7" ht="12" customHeight="1">
      <c r="A1150" s="298">
        <v>36506</v>
      </c>
      <c r="B1150" s="299" t="s">
        <v>3515</v>
      </c>
      <c r="C1150" s="299">
        <v>210</v>
      </c>
      <c r="D1150" s="299">
        <f t="shared" si="37"/>
        <v>12</v>
      </c>
      <c r="E1150" s="299">
        <v>39</v>
      </c>
      <c r="F1150" s="430" t="s">
        <v>3501</v>
      </c>
      <c r="G1150" s="300" t="str">
        <f t="shared" si="38"/>
        <v>SoaveBW</v>
      </c>
    </row>
    <row r="1151" spans="1:7" ht="12" customHeight="1">
      <c r="A1151" s="298">
        <v>36508</v>
      </c>
      <c r="B1151" s="299" t="s">
        <v>3515</v>
      </c>
      <c r="C1151" s="299">
        <v>40</v>
      </c>
      <c r="D1151" s="299">
        <f t="shared" si="37"/>
        <v>12</v>
      </c>
      <c r="E1151" s="299">
        <v>44</v>
      </c>
      <c r="F1151" s="430" t="s">
        <v>3501</v>
      </c>
      <c r="G1151" s="300" t="str">
        <f t="shared" si="38"/>
        <v>SoaveBW</v>
      </c>
    </row>
    <row r="1152" spans="1:7" ht="12" customHeight="1">
      <c r="A1152" s="298">
        <v>36514</v>
      </c>
      <c r="B1152" s="299" t="s">
        <v>3515</v>
      </c>
      <c r="C1152" s="299">
        <v>90</v>
      </c>
      <c r="D1152" s="299">
        <f t="shared" si="37"/>
        <v>12</v>
      </c>
      <c r="E1152" s="299">
        <v>39</v>
      </c>
      <c r="F1152" s="430" t="s">
        <v>3501</v>
      </c>
      <c r="G1152" s="300" t="str">
        <f t="shared" si="38"/>
        <v>SoaveBW</v>
      </c>
    </row>
    <row r="1153" spans="1:7" ht="12" customHeight="1">
      <c r="A1153" s="298">
        <v>36263</v>
      </c>
      <c r="B1153" s="299" t="s">
        <v>3515</v>
      </c>
      <c r="C1153" s="299">
        <v>30</v>
      </c>
      <c r="D1153" s="299">
        <f t="shared" si="37"/>
        <v>4</v>
      </c>
      <c r="E1153" s="299">
        <v>35</v>
      </c>
      <c r="F1153" s="430" t="s">
        <v>3502</v>
      </c>
      <c r="G1153" s="300" t="str">
        <f t="shared" si="38"/>
        <v>SoaveHessen</v>
      </c>
    </row>
    <row r="1154" spans="1:7" ht="12" customHeight="1">
      <c r="A1154" s="298">
        <v>36479</v>
      </c>
      <c r="B1154" s="299" t="s">
        <v>3515</v>
      </c>
      <c r="C1154" s="299">
        <v>90</v>
      </c>
      <c r="D1154" s="299">
        <f t="shared" si="37"/>
        <v>11</v>
      </c>
      <c r="E1154" s="299">
        <v>42</v>
      </c>
      <c r="F1154" s="430" t="s">
        <v>3502</v>
      </c>
      <c r="G1154" s="300" t="str">
        <f t="shared" si="38"/>
        <v>SoaveHessen</v>
      </c>
    </row>
    <row r="1155" spans="1:7" ht="12" customHeight="1">
      <c r="A1155" s="298">
        <v>36253</v>
      </c>
      <c r="B1155" s="299" t="s">
        <v>3515</v>
      </c>
      <c r="C1155" s="299">
        <v>120</v>
      </c>
      <c r="D1155" s="299">
        <f t="shared" si="37"/>
        <v>4</v>
      </c>
      <c r="E1155" s="299">
        <v>41</v>
      </c>
      <c r="F1155" s="430" t="s">
        <v>3497</v>
      </c>
      <c r="G1155" s="300" t="str">
        <f t="shared" si="38"/>
        <v>SoaveNRW</v>
      </c>
    </row>
    <row r="1156" spans="1:7" ht="12" customHeight="1">
      <c r="A1156" s="298">
        <v>36262</v>
      </c>
      <c r="B1156" s="299" t="s">
        <v>3515</v>
      </c>
      <c r="C1156" s="299">
        <v>100</v>
      </c>
      <c r="D1156" s="299">
        <f t="shared" si="37"/>
        <v>4</v>
      </c>
      <c r="E1156" s="299">
        <v>43</v>
      </c>
      <c r="F1156" s="430" t="s">
        <v>3497</v>
      </c>
      <c r="G1156" s="300" t="str">
        <f t="shared" si="38"/>
        <v>SoaveNRW</v>
      </c>
    </row>
    <row r="1157" spans="1:7" ht="12" customHeight="1">
      <c r="A1157" s="298">
        <v>36314</v>
      </c>
      <c r="B1157" s="299" t="s">
        <v>3515</v>
      </c>
      <c r="C1157" s="299">
        <v>50</v>
      </c>
      <c r="D1157" s="299">
        <f t="shared" si="37"/>
        <v>6</v>
      </c>
      <c r="E1157" s="299">
        <v>38</v>
      </c>
      <c r="F1157" s="430" t="s">
        <v>3497</v>
      </c>
      <c r="G1157" s="300" t="str">
        <f t="shared" si="38"/>
        <v>SoaveNRW</v>
      </c>
    </row>
    <row r="1158" spans="1:7" ht="12" customHeight="1">
      <c r="A1158" s="298">
        <v>36351</v>
      </c>
      <c r="B1158" s="299" t="s">
        <v>3515</v>
      </c>
      <c r="C1158" s="299">
        <v>150</v>
      </c>
      <c r="D1158" s="299">
        <f t="shared" ref="D1158:D1221" si="39">MONTH(A1158)</f>
        <v>7</v>
      </c>
      <c r="E1158" s="299">
        <v>36</v>
      </c>
      <c r="F1158" s="430" t="s">
        <v>3497</v>
      </c>
      <c r="G1158" s="300" t="str">
        <f t="shared" ref="G1158:G1221" si="40">B1158&amp;F1158</f>
        <v>SoaveNRW</v>
      </c>
    </row>
    <row r="1159" spans="1:7" ht="12" customHeight="1">
      <c r="A1159" s="298">
        <v>36356</v>
      </c>
      <c r="B1159" s="299" t="s">
        <v>3515</v>
      </c>
      <c r="C1159" s="299">
        <v>60</v>
      </c>
      <c r="D1159" s="299">
        <f t="shared" si="39"/>
        <v>7</v>
      </c>
      <c r="E1159" s="299">
        <v>43</v>
      </c>
      <c r="F1159" s="430" t="s">
        <v>3497</v>
      </c>
      <c r="G1159" s="300" t="str">
        <f t="shared" si="40"/>
        <v>SoaveNRW</v>
      </c>
    </row>
    <row r="1160" spans="1:7" ht="12" customHeight="1">
      <c r="A1160" s="298">
        <v>36357</v>
      </c>
      <c r="B1160" s="299" t="s">
        <v>3515</v>
      </c>
      <c r="C1160" s="299">
        <v>210</v>
      </c>
      <c r="D1160" s="299">
        <f t="shared" si="39"/>
        <v>7</v>
      </c>
      <c r="E1160" s="299">
        <v>35</v>
      </c>
      <c r="F1160" s="430" t="s">
        <v>3497</v>
      </c>
      <c r="G1160" s="300" t="str">
        <f t="shared" si="40"/>
        <v>SoaveNRW</v>
      </c>
    </row>
    <row r="1161" spans="1:7" ht="12" customHeight="1">
      <c r="A1161" s="298">
        <v>36385</v>
      </c>
      <c r="B1161" s="299" t="s">
        <v>3515</v>
      </c>
      <c r="C1161" s="299">
        <v>80</v>
      </c>
      <c r="D1161" s="299">
        <f t="shared" si="39"/>
        <v>8</v>
      </c>
      <c r="E1161" s="299">
        <v>35</v>
      </c>
      <c r="F1161" s="430" t="s">
        <v>3497</v>
      </c>
      <c r="G1161" s="300" t="str">
        <f t="shared" si="40"/>
        <v>SoaveNRW</v>
      </c>
    </row>
    <row r="1162" spans="1:7" ht="12" customHeight="1">
      <c r="A1162" s="298">
        <v>36394</v>
      </c>
      <c r="B1162" s="299" t="s">
        <v>3515</v>
      </c>
      <c r="C1162" s="299">
        <v>40</v>
      </c>
      <c r="D1162" s="299">
        <f t="shared" si="39"/>
        <v>8</v>
      </c>
      <c r="E1162" s="299">
        <v>35</v>
      </c>
      <c r="F1162" s="430" t="s">
        <v>3497</v>
      </c>
      <c r="G1162" s="300" t="str">
        <f t="shared" si="40"/>
        <v>SoaveNRW</v>
      </c>
    </row>
    <row r="1163" spans="1:7" ht="12" customHeight="1">
      <c r="A1163" s="298">
        <v>36401</v>
      </c>
      <c r="B1163" s="299" t="s">
        <v>3515</v>
      </c>
      <c r="C1163" s="299">
        <v>10</v>
      </c>
      <c r="D1163" s="299">
        <f t="shared" si="39"/>
        <v>8</v>
      </c>
      <c r="E1163" s="299">
        <v>35</v>
      </c>
      <c r="F1163" s="430" t="s">
        <v>3497</v>
      </c>
      <c r="G1163" s="300" t="str">
        <f t="shared" si="40"/>
        <v>SoaveNRW</v>
      </c>
    </row>
    <row r="1164" spans="1:7" ht="12" customHeight="1">
      <c r="A1164" s="298">
        <v>36446</v>
      </c>
      <c r="B1164" s="299" t="s">
        <v>3515</v>
      </c>
      <c r="C1164" s="299">
        <v>150</v>
      </c>
      <c r="D1164" s="299">
        <f t="shared" si="39"/>
        <v>10</v>
      </c>
      <c r="E1164" s="299">
        <v>36</v>
      </c>
      <c r="F1164" s="430" t="s">
        <v>3497</v>
      </c>
      <c r="G1164" s="300" t="str">
        <f t="shared" si="40"/>
        <v>SoaveNRW</v>
      </c>
    </row>
    <row r="1165" spans="1:7" ht="12" customHeight="1">
      <c r="A1165" s="298">
        <v>36499</v>
      </c>
      <c r="B1165" s="299" t="s">
        <v>3515</v>
      </c>
      <c r="C1165" s="299">
        <v>10</v>
      </c>
      <c r="D1165" s="299">
        <f t="shared" si="39"/>
        <v>12</v>
      </c>
      <c r="E1165" s="299">
        <v>36</v>
      </c>
      <c r="F1165" s="430" t="s">
        <v>3497</v>
      </c>
      <c r="G1165" s="300" t="str">
        <f t="shared" si="40"/>
        <v>SoaveNRW</v>
      </c>
    </row>
    <row r="1166" spans="1:7" ht="12" customHeight="1">
      <c r="A1166" s="298">
        <v>36230</v>
      </c>
      <c r="B1166" s="299" t="s">
        <v>3515</v>
      </c>
      <c r="C1166" s="299">
        <v>20</v>
      </c>
      <c r="D1166" s="299">
        <f t="shared" si="39"/>
        <v>3</v>
      </c>
      <c r="E1166" s="299">
        <v>42</v>
      </c>
      <c r="F1166" s="430" t="s">
        <v>3499</v>
      </c>
      <c r="G1166" s="300" t="str">
        <f t="shared" si="40"/>
        <v>SoavePfalz</v>
      </c>
    </row>
    <row r="1167" spans="1:7" ht="12" customHeight="1">
      <c r="A1167" s="298">
        <v>36292</v>
      </c>
      <c r="B1167" s="299" t="s">
        <v>3515</v>
      </c>
      <c r="C1167" s="299">
        <v>80</v>
      </c>
      <c r="D1167" s="299">
        <f t="shared" si="39"/>
        <v>5</v>
      </c>
      <c r="E1167" s="299">
        <v>38</v>
      </c>
      <c r="F1167" s="430" t="s">
        <v>3499</v>
      </c>
      <c r="G1167" s="300" t="str">
        <f t="shared" si="40"/>
        <v>SoavePfalz</v>
      </c>
    </row>
    <row r="1168" spans="1:7" ht="12" customHeight="1">
      <c r="A1168" s="298">
        <v>36305</v>
      </c>
      <c r="B1168" s="299" t="s">
        <v>3515</v>
      </c>
      <c r="C1168" s="299">
        <v>100</v>
      </c>
      <c r="D1168" s="299">
        <f t="shared" si="39"/>
        <v>5</v>
      </c>
      <c r="E1168" s="299">
        <v>38</v>
      </c>
      <c r="F1168" s="430" t="s">
        <v>3499</v>
      </c>
      <c r="G1168" s="300" t="str">
        <f t="shared" si="40"/>
        <v>SoavePfalz</v>
      </c>
    </row>
    <row r="1169" spans="1:7" ht="12" customHeight="1">
      <c r="A1169" s="298">
        <v>36325</v>
      </c>
      <c r="B1169" s="299" t="s">
        <v>3515</v>
      </c>
      <c r="C1169" s="299">
        <v>20</v>
      </c>
      <c r="D1169" s="299">
        <f t="shared" si="39"/>
        <v>6</v>
      </c>
      <c r="E1169" s="299">
        <v>38</v>
      </c>
      <c r="F1169" s="430" t="s">
        <v>3499</v>
      </c>
      <c r="G1169" s="300" t="str">
        <f t="shared" si="40"/>
        <v>SoavePfalz</v>
      </c>
    </row>
    <row r="1170" spans="1:7" ht="12" customHeight="1">
      <c r="A1170" s="298">
        <v>36352</v>
      </c>
      <c r="B1170" s="299" t="s">
        <v>3515</v>
      </c>
      <c r="C1170" s="299">
        <v>80</v>
      </c>
      <c r="D1170" s="299">
        <f t="shared" si="39"/>
        <v>7</v>
      </c>
      <c r="E1170" s="299">
        <v>35</v>
      </c>
      <c r="F1170" s="430" t="s">
        <v>3499</v>
      </c>
      <c r="G1170" s="300" t="str">
        <f t="shared" si="40"/>
        <v>SoavePfalz</v>
      </c>
    </row>
    <row r="1171" spans="1:7" ht="12" customHeight="1">
      <c r="A1171" s="298">
        <v>36360</v>
      </c>
      <c r="B1171" s="299" t="s">
        <v>3515</v>
      </c>
      <c r="C1171" s="299">
        <v>70</v>
      </c>
      <c r="D1171" s="299">
        <f t="shared" si="39"/>
        <v>7</v>
      </c>
      <c r="E1171" s="299">
        <v>42</v>
      </c>
      <c r="F1171" s="430" t="s">
        <v>3499</v>
      </c>
      <c r="G1171" s="300" t="str">
        <f t="shared" si="40"/>
        <v>SoavePfalz</v>
      </c>
    </row>
    <row r="1172" spans="1:7" ht="12" customHeight="1">
      <c r="A1172" s="298">
        <v>36369</v>
      </c>
      <c r="B1172" s="299" t="s">
        <v>3515</v>
      </c>
      <c r="C1172" s="299">
        <v>60</v>
      </c>
      <c r="D1172" s="299">
        <f t="shared" si="39"/>
        <v>7</v>
      </c>
      <c r="E1172" s="299">
        <v>35</v>
      </c>
      <c r="F1172" s="430" t="s">
        <v>3499</v>
      </c>
      <c r="G1172" s="300" t="str">
        <f t="shared" si="40"/>
        <v>SoavePfalz</v>
      </c>
    </row>
    <row r="1173" spans="1:7" ht="12" customHeight="1">
      <c r="A1173" s="298">
        <v>36215</v>
      </c>
      <c r="B1173" s="299" t="s">
        <v>3496</v>
      </c>
      <c r="C1173" s="299">
        <v>20</v>
      </c>
      <c r="D1173" s="299">
        <f t="shared" si="39"/>
        <v>2</v>
      </c>
      <c r="E1173" s="299">
        <v>50</v>
      </c>
      <c r="F1173" s="430" t="s">
        <v>3504</v>
      </c>
      <c r="G1173" s="300" t="str">
        <f t="shared" si="40"/>
        <v>BordeauxBayern</v>
      </c>
    </row>
    <row r="1174" spans="1:7" ht="12" customHeight="1">
      <c r="A1174" s="298">
        <v>36352</v>
      </c>
      <c r="B1174" s="299" t="s">
        <v>3496</v>
      </c>
      <c r="C1174" s="299">
        <v>120</v>
      </c>
      <c r="D1174" s="299">
        <f t="shared" si="39"/>
        <v>7</v>
      </c>
      <c r="E1174" s="299">
        <v>54</v>
      </c>
      <c r="F1174" s="430" t="s">
        <v>3504</v>
      </c>
      <c r="G1174" s="300" t="str">
        <f t="shared" si="40"/>
        <v>BordeauxBayern</v>
      </c>
    </row>
    <row r="1175" spans="1:7" ht="12" customHeight="1">
      <c r="A1175" s="298">
        <v>36386</v>
      </c>
      <c r="B1175" s="299" t="s">
        <v>3496</v>
      </c>
      <c r="C1175" s="299">
        <v>30</v>
      </c>
      <c r="D1175" s="299">
        <f t="shared" si="39"/>
        <v>8</v>
      </c>
      <c r="E1175" s="299">
        <v>54</v>
      </c>
      <c r="F1175" s="430" t="s">
        <v>3504</v>
      </c>
      <c r="G1175" s="300" t="str">
        <f t="shared" si="40"/>
        <v>BordeauxBayern</v>
      </c>
    </row>
    <row r="1176" spans="1:7" ht="12" customHeight="1">
      <c r="A1176" s="298">
        <v>36408</v>
      </c>
      <c r="B1176" s="299" t="s">
        <v>3496</v>
      </c>
      <c r="C1176" s="299">
        <v>30</v>
      </c>
      <c r="D1176" s="299">
        <f t="shared" si="39"/>
        <v>9</v>
      </c>
      <c r="E1176" s="299">
        <v>48</v>
      </c>
      <c r="F1176" s="430" t="s">
        <v>3504</v>
      </c>
      <c r="G1176" s="300" t="str">
        <f t="shared" si="40"/>
        <v>BordeauxBayern</v>
      </c>
    </row>
    <row r="1177" spans="1:7" ht="12" customHeight="1">
      <c r="A1177" s="298">
        <v>36413</v>
      </c>
      <c r="B1177" s="299" t="s">
        <v>3496</v>
      </c>
      <c r="C1177" s="299">
        <v>80</v>
      </c>
      <c r="D1177" s="299">
        <f t="shared" si="39"/>
        <v>9</v>
      </c>
      <c r="E1177" s="299">
        <v>48</v>
      </c>
      <c r="F1177" s="430" t="s">
        <v>3504</v>
      </c>
      <c r="G1177" s="300" t="str">
        <f t="shared" si="40"/>
        <v>BordeauxBayern</v>
      </c>
    </row>
    <row r="1178" spans="1:7" ht="12" customHeight="1">
      <c r="A1178" s="298">
        <v>36416</v>
      </c>
      <c r="B1178" s="299" t="s">
        <v>3496</v>
      </c>
      <c r="C1178" s="299">
        <v>90</v>
      </c>
      <c r="D1178" s="299">
        <f t="shared" si="39"/>
        <v>9</v>
      </c>
      <c r="E1178" s="299">
        <v>48</v>
      </c>
      <c r="F1178" s="430" t="s">
        <v>3504</v>
      </c>
      <c r="G1178" s="300" t="str">
        <f t="shared" si="40"/>
        <v>BordeauxBayern</v>
      </c>
    </row>
    <row r="1179" spans="1:7" ht="12" customHeight="1">
      <c r="A1179" s="298">
        <v>36509</v>
      </c>
      <c r="B1179" s="299" t="s">
        <v>3496</v>
      </c>
      <c r="C1179" s="299">
        <v>50</v>
      </c>
      <c r="D1179" s="299">
        <f t="shared" si="39"/>
        <v>12</v>
      </c>
      <c r="E1179" s="299">
        <v>50</v>
      </c>
      <c r="F1179" s="430" t="s">
        <v>3504</v>
      </c>
      <c r="G1179" s="300" t="str">
        <f t="shared" si="40"/>
        <v>BordeauxBayern</v>
      </c>
    </row>
    <row r="1180" spans="1:7" ht="12" customHeight="1">
      <c r="A1180" s="298">
        <v>36521</v>
      </c>
      <c r="B1180" s="299" t="s">
        <v>3496</v>
      </c>
      <c r="C1180" s="299">
        <v>90</v>
      </c>
      <c r="D1180" s="299">
        <f t="shared" si="39"/>
        <v>12</v>
      </c>
      <c r="E1180" s="299">
        <v>53</v>
      </c>
      <c r="F1180" s="430" t="s">
        <v>3504</v>
      </c>
      <c r="G1180" s="300" t="str">
        <f t="shared" si="40"/>
        <v>BordeauxBayern</v>
      </c>
    </row>
    <row r="1181" spans="1:7" ht="12" customHeight="1">
      <c r="A1181" s="298">
        <v>36279</v>
      </c>
      <c r="B1181" s="299" t="s">
        <v>3496</v>
      </c>
      <c r="C1181" s="299">
        <v>10</v>
      </c>
      <c r="D1181" s="299">
        <f t="shared" si="39"/>
        <v>4</v>
      </c>
      <c r="E1181" s="299">
        <v>54</v>
      </c>
      <c r="F1181" s="430" t="s">
        <v>3502</v>
      </c>
      <c r="G1181" s="300" t="str">
        <f t="shared" si="40"/>
        <v>BordeauxHessen</v>
      </c>
    </row>
    <row r="1182" spans="1:7" ht="12" customHeight="1">
      <c r="A1182" s="298">
        <v>36283</v>
      </c>
      <c r="B1182" s="299" t="s">
        <v>3496</v>
      </c>
      <c r="C1182" s="299">
        <v>50</v>
      </c>
      <c r="D1182" s="299">
        <f t="shared" si="39"/>
        <v>5</v>
      </c>
      <c r="E1182" s="299">
        <v>50</v>
      </c>
      <c r="F1182" s="430" t="s">
        <v>3502</v>
      </c>
      <c r="G1182" s="300" t="str">
        <f t="shared" si="40"/>
        <v>BordeauxHessen</v>
      </c>
    </row>
    <row r="1183" spans="1:7" ht="12" customHeight="1">
      <c r="A1183" s="298">
        <v>36294</v>
      </c>
      <c r="B1183" s="299" t="s">
        <v>3496</v>
      </c>
      <c r="C1183" s="299">
        <v>90</v>
      </c>
      <c r="D1183" s="299">
        <f t="shared" si="39"/>
        <v>5</v>
      </c>
      <c r="E1183" s="299">
        <v>50</v>
      </c>
      <c r="F1183" s="430" t="s">
        <v>3502</v>
      </c>
      <c r="G1183" s="300" t="str">
        <f t="shared" si="40"/>
        <v>BordeauxHessen</v>
      </c>
    </row>
    <row r="1184" spans="1:7" ht="12" customHeight="1">
      <c r="A1184" s="298">
        <v>36343</v>
      </c>
      <c r="B1184" s="299" t="s">
        <v>3496</v>
      </c>
      <c r="C1184" s="299">
        <v>90</v>
      </c>
      <c r="D1184" s="299">
        <f t="shared" si="39"/>
        <v>7</v>
      </c>
      <c r="E1184" s="299">
        <v>50</v>
      </c>
      <c r="F1184" s="430" t="s">
        <v>3502</v>
      </c>
      <c r="G1184" s="300" t="str">
        <f t="shared" si="40"/>
        <v>BordeauxHessen</v>
      </c>
    </row>
    <row r="1185" spans="1:7" ht="12" customHeight="1">
      <c r="A1185" s="298">
        <v>36408</v>
      </c>
      <c r="B1185" s="299" t="s">
        <v>3496</v>
      </c>
      <c r="C1185" s="299">
        <v>120</v>
      </c>
      <c r="D1185" s="299">
        <f t="shared" si="39"/>
        <v>9</v>
      </c>
      <c r="E1185" s="299">
        <v>52</v>
      </c>
      <c r="F1185" s="430" t="s">
        <v>3502</v>
      </c>
      <c r="G1185" s="300" t="str">
        <f t="shared" si="40"/>
        <v>BordeauxHessen</v>
      </c>
    </row>
    <row r="1186" spans="1:7" ht="12" customHeight="1">
      <c r="A1186" s="298">
        <v>36230</v>
      </c>
      <c r="B1186" s="299" t="s">
        <v>3496</v>
      </c>
      <c r="C1186" s="299">
        <v>120</v>
      </c>
      <c r="D1186" s="299">
        <f t="shared" si="39"/>
        <v>3</v>
      </c>
      <c r="E1186" s="299">
        <v>50</v>
      </c>
      <c r="F1186" s="430" t="s">
        <v>3503</v>
      </c>
      <c r="G1186" s="300" t="str">
        <f t="shared" si="40"/>
        <v>BordeauxHolstein</v>
      </c>
    </row>
    <row r="1187" spans="1:7" ht="12" customHeight="1">
      <c r="A1187" s="298">
        <v>36333</v>
      </c>
      <c r="B1187" s="299" t="s">
        <v>3496</v>
      </c>
      <c r="C1187" s="299">
        <v>20</v>
      </c>
      <c r="D1187" s="299">
        <f t="shared" si="39"/>
        <v>6</v>
      </c>
      <c r="E1187" s="299">
        <v>53</v>
      </c>
      <c r="F1187" s="430" t="s">
        <v>3503</v>
      </c>
      <c r="G1187" s="300" t="str">
        <f t="shared" si="40"/>
        <v>BordeauxHolstein</v>
      </c>
    </row>
    <row r="1188" spans="1:7" ht="12" customHeight="1">
      <c r="A1188" s="298">
        <v>36380</v>
      </c>
      <c r="B1188" s="299" t="s">
        <v>3496</v>
      </c>
      <c r="C1188" s="299">
        <v>90</v>
      </c>
      <c r="D1188" s="299">
        <f t="shared" si="39"/>
        <v>8</v>
      </c>
      <c r="E1188" s="299">
        <v>50</v>
      </c>
      <c r="F1188" s="430" t="s">
        <v>3503</v>
      </c>
      <c r="G1188" s="300" t="str">
        <f t="shared" si="40"/>
        <v>BordeauxHolstein</v>
      </c>
    </row>
    <row r="1189" spans="1:7" ht="12" customHeight="1">
      <c r="A1189" s="298">
        <v>36388</v>
      </c>
      <c r="B1189" s="299" t="s">
        <v>3496</v>
      </c>
      <c r="C1189" s="299">
        <v>90</v>
      </c>
      <c r="D1189" s="299">
        <f t="shared" si="39"/>
        <v>8</v>
      </c>
      <c r="E1189" s="299">
        <v>50</v>
      </c>
      <c r="F1189" s="430" t="s">
        <v>3503</v>
      </c>
      <c r="G1189" s="300" t="str">
        <f t="shared" si="40"/>
        <v>BordeauxHolstein</v>
      </c>
    </row>
    <row r="1190" spans="1:7" ht="12" customHeight="1">
      <c r="A1190" s="298">
        <v>36397</v>
      </c>
      <c r="B1190" s="299" t="s">
        <v>3496</v>
      </c>
      <c r="C1190" s="299">
        <v>10</v>
      </c>
      <c r="D1190" s="299">
        <f t="shared" si="39"/>
        <v>8</v>
      </c>
      <c r="E1190" s="299">
        <v>50</v>
      </c>
      <c r="F1190" s="430" t="s">
        <v>3503</v>
      </c>
      <c r="G1190" s="300" t="str">
        <f t="shared" si="40"/>
        <v>BordeauxHolstein</v>
      </c>
    </row>
    <row r="1191" spans="1:7" ht="12" customHeight="1">
      <c r="A1191" s="298">
        <v>36201</v>
      </c>
      <c r="B1191" s="299" t="s">
        <v>3496</v>
      </c>
      <c r="C1191" s="299">
        <v>240</v>
      </c>
      <c r="D1191" s="299">
        <f t="shared" si="39"/>
        <v>2</v>
      </c>
      <c r="E1191" s="299">
        <v>46</v>
      </c>
      <c r="F1191" s="430" t="s">
        <v>3497</v>
      </c>
      <c r="G1191" s="300" t="str">
        <f t="shared" si="40"/>
        <v>BordeauxNRW</v>
      </c>
    </row>
    <row r="1192" spans="1:7" ht="12" customHeight="1">
      <c r="A1192" s="298">
        <v>36209</v>
      </c>
      <c r="B1192" s="299" t="s">
        <v>3496</v>
      </c>
      <c r="C1192" s="299">
        <v>150</v>
      </c>
      <c r="D1192" s="299">
        <f t="shared" si="39"/>
        <v>2</v>
      </c>
      <c r="E1192" s="299">
        <v>48</v>
      </c>
      <c r="F1192" s="430" t="s">
        <v>3497</v>
      </c>
      <c r="G1192" s="300" t="str">
        <f t="shared" si="40"/>
        <v>BordeauxNRW</v>
      </c>
    </row>
    <row r="1193" spans="1:7" ht="12" customHeight="1">
      <c r="A1193" s="298">
        <v>36223</v>
      </c>
      <c r="B1193" s="299" t="s">
        <v>3496</v>
      </c>
      <c r="C1193" s="299">
        <v>120</v>
      </c>
      <c r="D1193" s="299">
        <f t="shared" si="39"/>
        <v>3</v>
      </c>
      <c r="E1193" s="299">
        <v>49</v>
      </c>
      <c r="F1193" s="430" t="s">
        <v>3497</v>
      </c>
      <c r="G1193" s="300" t="str">
        <f t="shared" si="40"/>
        <v>BordeauxNRW</v>
      </c>
    </row>
    <row r="1194" spans="1:7" ht="12" customHeight="1">
      <c r="A1194" s="298">
        <v>36234</v>
      </c>
      <c r="B1194" s="299" t="s">
        <v>3496</v>
      </c>
      <c r="C1194" s="299">
        <v>180</v>
      </c>
      <c r="D1194" s="299">
        <f t="shared" si="39"/>
        <v>3</v>
      </c>
      <c r="E1194" s="299">
        <v>49</v>
      </c>
      <c r="F1194" s="430" t="s">
        <v>3497</v>
      </c>
      <c r="G1194" s="300" t="str">
        <f t="shared" si="40"/>
        <v>BordeauxNRW</v>
      </c>
    </row>
    <row r="1195" spans="1:7" ht="12" customHeight="1">
      <c r="A1195" s="298">
        <v>36244</v>
      </c>
      <c r="B1195" s="299" t="s">
        <v>3496</v>
      </c>
      <c r="C1195" s="299">
        <v>210</v>
      </c>
      <c r="D1195" s="299">
        <f t="shared" si="39"/>
        <v>3</v>
      </c>
      <c r="E1195" s="299">
        <v>53</v>
      </c>
      <c r="F1195" s="430" t="s">
        <v>3497</v>
      </c>
      <c r="G1195" s="300" t="str">
        <f t="shared" si="40"/>
        <v>BordeauxNRW</v>
      </c>
    </row>
    <row r="1196" spans="1:7" ht="12" customHeight="1">
      <c r="A1196" s="298">
        <v>36253</v>
      </c>
      <c r="B1196" s="299" t="s">
        <v>3496</v>
      </c>
      <c r="C1196" s="299">
        <v>150</v>
      </c>
      <c r="D1196" s="299">
        <f t="shared" si="39"/>
        <v>4</v>
      </c>
      <c r="E1196" s="299">
        <v>51</v>
      </c>
      <c r="F1196" s="430" t="s">
        <v>3497</v>
      </c>
      <c r="G1196" s="300" t="str">
        <f t="shared" si="40"/>
        <v>BordeauxNRW</v>
      </c>
    </row>
    <row r="1197" spans="1:7" ht="12" customHeight="1">
      <c r="A1197" s="298">
        <v>36256</v>
      </c>
      <c r="B1197" s="299" t="s">
        <v>3496</v>
      </c>
      <c r="C1197" s="299">
        <v>30</v>
      </c>
      <c r="D1197" s="299">
        <f t="shared" si="39"/>
        <v>4</v>
      </c>
      <c r="E1197" s="299">
        <v>51</v>
      </c>
      <c r="F1197" s="430" t="s">
        <v>3497</v>
      </c>
      <c r="G1197" s="300" t="str">
        <f t="shared" si="40"/>
        <v>BordeauxNRW</v>
      </c>
    </row>
    <row r="1198" spans="1:7" ht="12" customHeight="1">
      <c r="A1198" s="298">
        <v>36261</v>
      </c>
      <c r="B1198" s="299" t="s">
        <v>3496</v>
      </c>
      <c r="C1198" s="299">
        <v>240</v>
      </c>
      <c r="D1198" s="299">
        <f t="shared" si="39"/>
        <v>4</v>
      </c>
      <c r="E1198" s="299">
        <v>49</v>
      </c>
      <c r="F1198" s="430" t="s">
        <v>3497</v>
      </c>
      <c r="G1198" s="300" t="str">
        <f t="shared" si="40"/>
        <v>BordeauxNRW</v>
      </c>
    </row>
    <row r="1199" spans="1:7" ht="12" customHeight="1">
      <c r="A1199" s="298">
        <v>36275</v>
      </c>
      <c r="B1199" s="299" t="s">
        <v>3496</v>
      </c>
      <c r="C1199" s="299">
        <v>90</v>
      </c>
      <c r="D1199" s="299">
        <f t="shared" si="39"/>
        <v>4</v>
      </c>
      <c r="E1199" s="299">
        <v>51</v>
      </c>
      <c r="F1199" s="430" t="s">
        <v>3497</v>
      </c>
      <c r="G1199" s="300" t="str">
        <f t="shared" si="40"/>
        <v>BordeauxNRW</v>
      </c>
    </row>
    <row r="1200" spans="1:7" ht="12" customHeight="1">
      <c r="A1200" s="298">
        <v>36296</v>
      </c>
      <c r="B1200" s="299" t="s">
        <v>3496</v>
      </c>
      <c r="C1200" s="299">
        <v>60</v>
      </c>
      <c r="D1200" s="299">
        <f t="shared" si="39"/>
        <v>5</v>
      </c>
      <c r="E1200" s="299">
        <v>49</v>
      </c>
      <c r="F1200" s="430" t="s">
        <v>3497</v>
      </c>
      <c r="G1200" s="300" t="str">
        <f t="shared" si="40"/>
        <v>BordeauxNRW</v>
      </c>
    </row>
    <row r="1201" spans="1:7" ht="12" customHeight="1">
      <c r="A1201" s="298">
        <v>36300</v>
      </c>
      <c r="B1201" s="299" t="s">
        <v>3496</v>
      </c>
      <c r="C1201" s="299">
        <v>150</v>
      </c>
      <c r="D1201" s="299">
        <f t="shared" si="39"/>
        <v>5</v>
      </c>
      <c r="E1201" s="299">
        <v>49</v>
      </c>
      <c r="F1201" s="430" t="s">
        <v>3497</v>
      </c>
      <c r="G1201" s="300" t="str">
        <f t="shared" si="40"/>
        <v>BordeauxNRW</v>
      </c>
    </row>
    <row r="1202" spans="1:7" ht="12" customHeight="1">
      <c r="A1202" s="298">
        <v>36303</v>
      </c>
      <c r="B1202" s="299" t="s">
        <v>3496</v>
      </c>
      <c r="C1202" s="299">
        <v>210</v>
      </c>
      <c r="D1202" s="299">
        <f t="shared" si="39"/>
        <v>5</v>
      </c>
      <c r="E1202" s="299">
        <v>49</v>
      </c>
      <c r="F1202" s="430" t="s">
        <v>3497</v>
      </c>
      <c r="G1202" s="300" t="str">
        <f t="shared" si="40"/>
        <v>BordeauxNRW</v>
      </c>
    </row>
    <row r="1203" spans="1:7" ht="12" customHeight="1">
      <c r="A1203" s="298">
        <v>36319</v>
      </c>
      <c r="B1203" s="299" t="s">
        <v>3496</v>
      </c>
      <c r="C1203" s="299">
        <v>50</v>
      </c>
      <c r="D1203" s="299">
        <f t="shared" si="39"/>
        <v>6</v>
      </c>
      <c r="E1203" s="299">
        <v>47</v>
      </c>
      <c r="F1203" s="430" t="s">
        <v>3497</v>
      </c>
      <c r="G1203" s="300" t="str">
        <f t="shared" si="40"/>
        <v>BordeauxNRW</v>
      </c>
    </row>
    <row r="1204" spans="1:7" ht="12" customHeight="1">
      <c r="A1204" s="298">
        <v>36354</v>
      </c>
      <c r="B1204" s="299" t="s">
        <v>3496</v>
      </c>
      <c r="C1204" s="299">
        <v>210</v>
      </c>
      <c r="D1204" s="299">
        <f t="shared" si="39"/>
        <v>7</v>
      </c>
      <c r="E1204" s="299">
        <v>48</v>
      </c>
      <c r="F1204" s="430" t="s">
        <v>3497</v>
      </c>
      <c r="G1204" s="300" t="str">
        <f t="shared" si="40"/>
        <v>BordeauxNRW</v>
      </c>
    </row>
    <row r="1205" spans="1:7" ht="12" customHeight="1">
      <c r="A1205" s="298">
        <v>36359</v>
      </c>
      <c r="B1205" s="299" t="s">
        <v>3496</v>
      </c>
      <c r="C1205" s="299">
        <v>40</v>
      </c>
      <c r="D1205" s="299">
        <f t="shared" si="39"/>
        <v>7</v>
      </c>
      <c r="E1205" s="299">
        <v>49</v>
      </c>
      <c r="F1205" s="430" t="s">
        <v>3497</v>
      </c>
      <c r="G1205" s="300" t="str">
        <f t="shared" si="40"/>
        <v>BordeauxNRW</v>
      </c>
    </row>
    <row r="1206" spans="1:7" ht="12" customHeight="1">
      <c r="A1206" s="298">
        <v>36366</v>
      </c>
      <c r="B1206" s="299" t="s">
        <v>3496</v>
      </c>
      <c r="C1206" s="299">
        <v>100</v>
      </c>
      <c r="D1206" s="299">
        <f t="shared" si="39"/>
        <v>7</v>
      </c>
      <c r="E1206" s="299">
        <v>48</v>
      </c>
      <c r="F1206" s="430" t="s">
        <v>3497</v>
      </c>
      <c r="G1206" s="300" t="str">
        <f t="shared" si="40"/>
        <v>BordeauxNRW</v>
      </c>
    </row>
    <row r="1207" spans="1:7" ht="12" customHeight="1">
      <c r="A1207" s="298">
        <v>36375</v>
      </c>
      <c r="B1207" s="299" t="s">
        <v>3496</v>
      </c>
      <c r="C1207" s="299">
        <v>30</v>
      </c>
      <c r="D1207" s="299">
        <f t="shared" si="39"/>
        <v>8</v>
      </c>
      <c r="E1207" s="299">
        <v>47</v>
      </c>
      <c r="F1207" s="430" t="s">
        <v>3497</v>
      </c>
      <c r="G1207" s="300" t="str">
        <f t="shared" si="40"/>
        <v>BordeauxNRW</v>
      </c>
    </row>
    <row r="1208" spans="1:7" ht="12" customHeight="1">
      <c r="A1208" s="298">
        <v>36384</v>
      </c>
      <c r="B1208" s="299" t="s">
        <v>3496</v>
      </c>
      <c r="C1208" s="299">
        <v>120</v>
      </c>
      <c r="D1208" s="299">
        <f t="shared" si="39"/>
        <v>8</v>
      </c>
      <c r="E1208" s="299">
        <v>47</v>
      </c>
      <c r="F1208" s="430" t="s">
        <v>3497</v>
      </c>
      <c r="G1208" s="300" t="str">
        <f t="shared" si="40"/>
        <v>BordeauxNRW</v>
      </c>
    </row>
    <row r="1209" spans="1:7" ht="12" customHeight="1">
      <c r="A1209" s="298">
        <v>36386</v>
      </c>
      <c r="B1209" s="299" t="s">
        <v>3496</v>
      </c>
      <c r="C1209" s="299">
        <v>90</v>
      </c>
      <c r="D1209" s="299">
        <f t="shared" si="39"/>
        <v>8</v>
      </c>
      <c r="E1209" s="299">
        <v>47</v>
      </c>
      <c r="F1209" s="430" t="s">
        <v>3497</v>
      </c>
      <c r="G1209" s="300" t="str">
        <f t="shared" si="40"/>
        <v>BordeauxNRW</v>
      </c>
    </row>
    <row r="1210" spans="1:7" ht="12" customHeight="1">
      <c r="A1210" s="298">
        <v>36393</v>
      </c>
      <c r="B1210" s="299" t="s">
        <v>3496</v>
      </c>
      <c r="C1210" s="299">
        <v>80</v>
      </c>
      <c r="D1210" s="299">
        <f t="shared" si="39"/>
        <v>8</v>
      </c>
      <c r="E1210" s="299">
        <v>50</v>
      </c>
      <c r="F1210" s="430" t="s">
        <v>3497</v>
      </c>
      <c r="G1210" s="300" t="str">
        <f t="shared" si="40"/>
        <v>BordeauxNRW</v>
      </c>
    </row>
    <row r="1211" spans="1:7" ht="12" customHeight="1">
      <c r="A1211" s="298">
        <v>36396</v>
      </c>
      <c r="B1211" s="299" t="s">
        <v>3496</v>
      </c>
      <c r="C1211" s="299">
        <v>110</v>
      </c>
      <c r="D1211" s="299">
        <f t="shared" si="39"/>
        <v>8</v>
      </c>
      <c r="E1211" s="299">
        <v>53</v>
      </c>
      <c r="F1211" s="430" t="s">
        <v>3497</v>
      </c>
      <c r="G1211" s="300" t="str">
        <f t="shared" si="40"/>
        <v>BordeauxNRW</v>
      </c>
    </row>
    <row r="1212" spans="1:7" ht="12" customHeight="1">
      <c r="A1212" s="298">
        <v>36397</v>
      </c>
      <c r="B1212" s="299" t="s">
        <v>3496</v>
      </c>
      <c r="C1212" s="299">
        <v>180</v>
      </c>
      <c r="D1212" s="299">
        <f t="shared" si="39"/>
        <v>8</v>
      </c>
      <c r="E1212" s="299">
        <v>50</v>
      </c>
      <c r="F1212" s="430" t="s">
        <v>3497</v>
      </c>
      <c r="G1212" s="300" t="str">
        <f t="shared" si="40"/>
        <v>BordeauxNRW</v>
      </c>
    </row>
    <row r="1213" spans="1:7" ht="12" customHeight="1">
      <c r="A1213" s="298">
        <v>36412</v>
      </c>
      <c r="B1213" s="299" t="s">
        <v>3496</v>
      </c>
      <c r="C1213" s="299">
        <v>50</v>
      </c>
      <c r="D1213" s="299">
        <f t="shared" si="39"/>
        <v>9</v>
      </c>
      <c r="E1213" s="299">
        <v>46</v>
      </c>
      <c r="F1213" s="430" t="s">
        <v>3497</v>
      </c>
      <c r="G1213" s="300" t="str">
        <f t="shared" si="40"/>
        <v>BordeauxNRW</v>
      </c>
    </row>
    <row r="1214" spans="1:7" ht="12" customHeight="1">
      <c r="A1214" s="298">
        <v>36420</v>
      </c>
      <c r="B1214" s="299" t="s">
        <v>3496</v>
      </c>
      <c r="C1214" s="299">
        <v>90</v>
      </c>
      <c r="D1214" s="299">
        <f t="shared" si="39"/>
        <v>9</v>
      </c>
      <c r="E1214" s="299">
        <v>51</v>
      </c>
      <c r="F1214" s="430" t="s">
        <v>3497</v>
      </c>
      <c r="G1214" s="300" t="str">
        <f t="shared" si="40"/>
        <v>BordeauxNRW</v>
      </c>
    </row>
    <row r="1215" spans="1:7" ht="12" customHeight="1">
      <c r="A1215" s="298">
        <v>36439</v>
      </c>
      <c r="B1215" s="299" t="s">
        <v>3496</v>
      </c>
      <c r="C1215" s="299">
        <v>60</v>
      </c>
      <c r="D1215" s="299">
        <f t="shared" si="39"/>
        <v>10</v>
      </c>
      <c r="E1215" s="299">
        <v>49</v>
      </c>
      <c r="F1215" s="430" t="s">
        <v>3497</v>
      </c>
      <c r="G1215" s="300" t="str">
        <f t="shared" si="40"/>
        <v>BordeauxNRW</v>
      </c>
    </row>
    <row r="1216" spans="1:7" ht="12" customHeight="1">
      <c r="A1216" s="298">
        <v>36446</v>
      </c>
      <c r="B1216" s="299" t="s">
        <v>3496</v>
      </c>
      <c r="C1216" s="299">
        <v>120</v>
      </c>
      <c r="D1216" s="299">
        <f t="shared" si="39"/>
        <v>10</v>
      </c>
      <c r="E1216" s="299">
        <v>50</v>
      </c>
      <c r="F1216" s="430" t="s">
        <v>3497</v>
      </c>
      <c r="G1216" s="300" t="str">
        <f t="shared" si="40"/>
        <v>BordeauxNRW</v>
      </c>
    </row>
    <row r="1217" spans="1:7" ht="12" customHeight="1">
      <c r="A1217" s="298">
        <v>36496</v>
      </c>
      <c r="B1217" s="299" t="s">
        <v>3496</v>
      </c>
      <c r="C1217" s="299">
        <v>80</v>
      </c>
      <c r="D1217" s="299">
        <f t="shared" si="39"/>
        <v>12</v>
      </c>
      <c r="E1217" s="299">
        <v>46</v>
      </c>
      <c r="F1217" s="430" t="s">
        <v>3497</v>
      </c>
      <c r="G1217" s="300" t="str">
        <f t="shared" si="40"/>
        <v>BordeauxNRW</v>
      </c>
    </row>
    <row r="1218" spans="1:7" ht="12" customHeight="1">
      <c r="A1218" s="298">
        <v>36499</v>
      </c>
      <c r="B1218" s="299" t="s">
        <v>3496</v>
      </c>
      <c r="C1218" s="299">
        <v>60</v>
      </c>
      <c r="D1218" s="299">
        <f t="shared" si="39"/>
        <v>12</v>
      </c>
      <c r="E1218" s="299">
        <v>46</v>
      </c>
      <c r="F1218" s="430" t="s">
        <v>3497</v>
      </c>
      <c r="G1218" s="300" t="str">
        <f t="shared" si="40"/>
        <v>BordeauxNRW</v>
      </c>
    </row>
    <row r="1219" spans="1:7" ht="12" customHeight="1">
      <c r="A1219" s="298">
        <v>36506</v>
      </c>
      <c r="B1219" s="299" t="s">
        <v>3496</v>
      </c>
      <c r="C1219" s="299">
        <v>100</v>
      </c>
      <c r="D1219" s="299">
        <f t="shared" si="39"/>
        <v>12</v>
      </c>
      <c r="E1219" s="299">
        <v>50</v>
      </c>
      <c r="F1219" s="430" t="s">
        <v>3497</v>
      </c>
      <c r="G1219" s="300" t="str">
        <f t="shared" si="40"/>
        <v>BordeauxNRW</v>
      </c>
    </row>
    <row r="1220" spans="1:7" ht="12" customHeight="1">
      <c r="A1220" s="298">
        <v>36508</v>
      </c>
      <c r="B1220" s="299" t="s">
        <v>3496</v>
      </c>
      <c r="C1220" s="299">
        <v>180</v>
      </c>
      <c r="D1220" s="299">
        <f t="shared" si="39"/>
        <v>12</v>
      </c>
      <c r="E1220" s="299">
        <v>49</v>
      </c>
      <c r="F1220" s="430" t="s">
        <v>3497</v>
      </c>
      <c r="G1220" s="300" t="str">
        <f t="shared" si="40"/>
        <v>BordeauxNRW</v>
      </c>
    </row>
    <row r="1221" spans="1:7" ht="12" customHeight="1">
      <c r="A1221" s="298">
        <v>36509</v>
      </c>
      <c r="B1221" s="299" t="s">
        <v>3496</v>
      </c>
      <c r="C1221" s="299">
        <v>50</v>
      </c>
      <c r="D1221" s="299">
        <f t="shared" si="39"/>
        <v>12</v>
      </c>
      <c r="E1221" s="299">
        <v>46</v>
      </c>
      <c r="F1221" s="430" t="s">
        <v>3497</v>
      </c>
      <c r="G1221" s="300" t="str">
        <f t="shared" si="40"/>
        <v>BordeauxNRW</v>
      </c>
    </row>
    <row r="1222" spans="1:7" ht="12" customHeight="1">
      <c r="A1222" s="298">
        <v>36177</v>
      </c>
      <c r="B1222" s="299" t="s">
        <v>3496</v>
      </c>
      <c r="C1222" s="299">
        <v>80</v>
      </c>
      <c r="D1222" s="299">
        <f t="shared" ref="D1222:D1285" si="41">MONTH(A1222)</f>
        <v>1</v>
      </c>
      <c r="E1222" s="299">
        <v>46</v>
      </c>
      <c r="F1222" s="430" t="s">
        <v>3499</v>
      </c>
      <c r="G1222" s="300" t="str">
        <f t="shared" ref="G1222:G1285" si="42">B1222&amp;F1222</f>
        <v>BordeauxPfalz</v>
      </c>
    </row>
    <row r="1223" spans="1:7" ht="12" customHeight="1">
      <c r="A1223" s="298">
        <v>36274</v>
      </c>
      <c r="B1223" s="299" t="s">
        <v>3496</v>
      </c>
      <c r="C1223" s="299">
        <v>180</v>
      </c>
      <c r="D1223" s="299">
        <f t="shared" si="41"/>
        <v>4</v>
      </c>
      <c r="E1223" s="299">
        <v>50</v>
      </c>
      <c r="F1223" s="430" t="s">
        <v>3499</v>
      </c>
      <c r="G1223" s="300" t="str">
        <f t="shared" si="42"/>
        <v>BordeauxPfalz</v>
      </c>
    </row>
    <row r="1224" spans="1:7" ht="12" customHeight="1">
      <c r="A1224" s="298">
        <v>36287</v>
      </c>
      <c r="B1224" s="299" t="s">
        <v>3496</v>
      </c>
      <c r="C1224" s="299">
        <v>210</v>
      </c>
      <c r="D1224" s="299">
        <f t="shared" si="41"/>
        <v>5</v>
      </c>
      <c r="E1224" s="299">
        <v>52</v>
      </c>
      <c r="F1224" s="430" t="s">
        <v>3499</v>
      </c>
      <c r="G1224" s="300" t="str">
        <f t="shared" si="42"/>
        <v>BordeauxPfalz</v>
      </c>
    </row>
    <row r="1225" spans="1:7" ht="12" customHeight="1">
      <c r="A1225" s="298">
        <v>36302</v>
      </c>
      <c r="B1225" s="299" t="s">
        <v>3496</v>
      </c>
      <c r="C1225" s="299">
        <v>50</v>
      </c>
      <c r="D1225" s="299">
        <f t="shared" si="41"/>
        <v>5</v>
      </c>
      <c r="E1225" s="299">
        <v>46</v>
      </c>
      <c r="F1225" s="430" t="s">
        <v>3499</v>
      </c>
      <c r="G1225" s="300" t="str">
        <f t="shared" si="42"/>
        <v>BordeauxPfalz</v>
      </c>
    </row>
    <row r="1226" spans="1:7" ht="12" customHeight="1">
      <c r="A1226" s="298">
        <v>36310</v>
      </c>
      <c r="B1226" s="299" t="s">
        <v>3496</v>
      </c>
      <c r="C1226" s="299">
        <v>100</v>
      </c>
      <c r="D1226" s="299">
        <f t="shared" si="41"/>
        <v>5</v>
      </c>
      <c r="E1226" s="299">
        <v>52</v>
      </c>
      <c r="F1226" s="430" t="s">
        <v>3499</v>
      </c>
      <c r="G1226" s="300" t="str">
        <f t="shared" si="42"/>
        <v>BordeauxPfalz</v>
      </c>
    </row>
    <row r="1227" spans="1:7" ht="12" customHeight="1">
      <c r="A1227" s="298">
        <v>36391</v>
      </c>
      <c r="B1227" s="299" t="s">
        <v>3496</v>
      </c>
      <c r="C1227" s="299">
        <v>70</v>
      </c>
      <c r="D1227" s="299">
        <f t="shared" si="41"/>
        <v>8</v>
      </c>
      <c r="E1227" s="299">
        <v>54</v>
      </c>
      <c r="F1227" s="430" t="s">
        <v>3499</v>
      </c>
      <c r="G1227" s="300" t="str">
        <f t="shared" si="42"/>
        <v>BordeauxPfalz</v>
      </c>
    </row>
    <row r="1228" spans="1:7" ht="12" customHeight="1">
      <c r="A1228" s="298">
        <v>36447</v>
      </c>
      <c r="B1228" s="299" t="s">
        <v>3496</v>
      </c>
      <c r="C1228" s="299">
        <v>80</v>
      </c>
      <c r="D1228" s="299">
        <f t="shared" si="41"/>
        <v>10</v>
      </c>
      <c r="E1228" s="299">
        <v>50</v>
      </c>
      <c r="F1228" s="430" t="s">
        <v>3499</v>
      </c>
      <c r="G1228" s="300" t="str">
        <f t="shared" si="42"/>
        <v>BordeauxPfalz</v>
      </c>
    </row>
    <row r="1229" spans="1:7" ht="12" customHeight="1">
      <c r="A1229" s="298">
        <v>36452</v>
      </c>
      <c r="B1229" s="299" t="s">
        <v>3496</v>
      </c>
      <c r="C1229" s="299">
        <v>30</v>
      </c>
      <c r="D1229" s="299">
        <f t="shared" si="41"/>
        <v>10</v>
      </c>
      <c r="E1229" s="299">
        <v>50</v>
      </c>
      <c r="F1229" s="430" t="s">
        <v>3499</v>
      </c>
      <c r="G1229" s="300" t="str">
        <f t="shared" si="42"/>
        <v>BordeauxPfalz</v>
      </c>
    </row>
    <row r="1230" spans="1:7" ht="12" customHeight="1">
      <c r="A1230" s="298">
        <v>36474</v>
      </c>
      <c r="B1230" s="299" t="s">
        <v>3496</v>
      </c>
      <c r="C1230" s="299">
        <v>80</v>
      </c>
      <c r="D1230" s="299">
        <f t="shared" si="41"/>
        <v>11</v>
      </c>
      <c r="E1230" s="299">
        <v>52</v>
      </c>
      <c r="F1230" s="430" t="s">
        <v>3499</v>
      </c>
      <c r="G1230" s="300" t="str">
        <f t="shared" si="42"/>
        <v>BordeauxPfalz</v>
      </c>
    </row>
    <row r="1231" spans="1:7" ht="12" customHeight="1">
      <c r="A1231" s="298">
        <v>36477</v>
      </c>
      <c r="B1231" s="299" t="s">
        <v>3496</v>
      </c>
      <c r="C1231" s="299">
        <v>120</v>
      </c>
      <c r="D1231" s="299">
        <f t="shared" si="41"/>
        <v>11</v>
      </c>
      <c r="E1231" s="299">
        <v>52</v>
      </c>
      <c r="F1231" s="430" t="s">
        <v>3499</v>
      </c>
      <c r="G1231" s="300" t="str">
        <f t="shared" si="42"/>
        <v>BordeauxPfalz</v>
      </c>
    </row>
    <row r="1232" spans="1:7" ht="12" customHeight="1">
      <c r="A1232" s="298">
        <v>36480</v>
      </c>
      <c r="B1232" s="299" t="s">
        <v>3496</v>
      </c>
      <c r="C1232" s="299">
        <v>120</v>
      </c>
      <c r="D1232" s="299">
        <f t="shared" si="41"/>
        <v>11</v>
      </c>
      <c r="E1232" s="299">
        <v>54</v>
      </c>
      <c r="F1232" s="430" t="s">
        <v>3499</v>
      </c>
      <c r="G1232" s="300" t="str">
        <f t="shared" si="42"/>
        <v>BordeauxPfalz</v>
      </c>
    </row>
    <row r="1233" spans="1:7" ht="12" customHeight="1">
      <c r="A1233" s="298">
        <v>36484</v>
      </c>
      <c r="B1233" s="299" t="s">
        <v>3496</v>
      </c>
      <c r="C1233" s="299">
        <v>70</v>
      </c>
      <c r="D1233" s="299">
        <f t="shared" si="41"/>
        <v>11</v>
      </c>
      <c r="E1233" s="299">
        <v>52</v>
      </c>
      <c r="F1233" s="430" t="s">
        <v>3499</v>
      </c>
      <c r="G1233" s="300" t="str">
        <f t="shared" si="42"/>
        <v>BordeauxPfalz</v>
      </c>
    </row>
    <row r="1234" spans="1:7" ht="12" customHeight="1">
      <c r="A1234" s="298">
        <v>36491</v>
      </c>
      <c r="B1234" s="299" t="s">
        <v>3496</v>
      </c>
      <c r="C1234" s="299">
        <v>180</v>
      </c>
      <c r="D1234" s="299">
        <f t="shared" si="41"/>
        <v>11</v>
      </c>
      <c r="E1234" s="299">
        <v>52</v>
      </c>
      <c r="F1234" s="430" t="s">
        <v>3499</v>
      </c>
      <c r="G1234" s="300" t="str">
        <f t="shared" si="42"/>
        <v>BordeauxPfalz</v>
      </c>
    </row>
    <row r="1235" spans="1:7" ht="12" customHeight="1">
      <c r="A1235" s="298">
        <v>36505</v>
      </c>
      <c r="B1235" s="299" t="s">
        <v>3496</v>
      </c>
      <c r="C1235" s="299">
        <v>120</v>
      </c>
      <c r="D1235" s="299">
        <f t="shared" si="41"/>
        <v>12</v>
      </c>
      <c r="E1235" s="299">
        <v>46</v>
      </c>
      <c r="F1235" s="430" t="s">
        <v>3499</v>
      </c>
      <c r="G1235" s="300" t="str">
        <f t="shared" si="42"/>
        <v>BordeauxPfalz</v>
      </c>
    </row>
    <row r="1236" spans="1:7" ht="12" customHeight="1">
      <c r="A1236" s="298">
        <v>36515</v>
      </c>
      <c r="B1236" s="299" t="s">
        <v>3496</v>
      </c>
      <c r="C1236" s="299">
        <v>10</v>
      </c>
      <c r="D1236" s="299">
        <f t="shared" si="41"/>
        <v>12</v>
      </c>
      <c r="E1236" s="299">
        <v>46</v>
      </c>
      <c r="F1236" s="430" t="s">
        <v>3499</v>
      </c>
      <c r="G1236" s="300" t="str">
        <f t="shared" si="42"/>
        <v>BordeauxPfalz</v>
      </c>
    </row>
    <row r="1237" spans="1:7" ht="12" customHeight="1">
      <c r="A1237" s="298">
        <v>36520</v>
      </c>
      <c r="B1237" s="299" t="s">
        <v>3496</v>
      </c>
      <c r="C1237" s="299">
        <v>70</v>
      </c>
      <c r="D1237" s="299">
        <f t="shared" si="41"/>
        <v>12</v>
      </c>
      <c r="E1237" s="299">
        <v>46</v>
      </c>
      <c r="F1237" s="430" t="s">
        <v>3499</v>
      </c>
      <c r="G1237" s="300" t="str">
        <f t="shared" si="42"/>
        <v>BordeauxPfalz</v>
      </c>
    </row>
    <row r="1238" spans="1:7" ht="12" customHeight="1">
      <c r="A1238" s="298">
        <v>36192</v>
      </c>
      <c r="B1238" s="299" t="s">
        <v>3496</v>
      </c>
      <c r="C1238" s="299">
        <v>60</v>
      </c>
      <c r="D1238" s="299">
        <f t="shared" si="41"/>
        <v>2</v>
      </c>
      <c r="E1238" s="299">
        <v>51</v>
      </c>
      <c r="F1238" s="430" t="s">
        <v>3500</v>
      </c>
      <c r="G1238" s="300" t="str">
        <f t="shared" si="42"/>
        <v>BordeauxSaarland</v>
      </c>
    </row>
    <row r="1239" spans="1:7" ht="12" customHeight="1">
      <c r="A1239" s="298">
        <v>36194</v>
      </c>
      <c r="B1239" s="299" t="s">
        <v>3496</v>
      </c>
      <c r="C1239" s="299">
        <v>60</v>
      </c>
      <c r="D1239" s="299">
        <f t="shared" si="41"/>
        <v>2</v>
      </c>
      <c r="E1239" s="299">
        <v>51</v>
      </c>
      <c r="F1239" s="430" t="s">
        <v>3500</v>
      </c>
      <c r="G1239" s="300" t="str">
        <f t="shared" si="42"/>
        <v>BordeauxSaarland</v>
      </c>
    </row>
    <row r="1240" spans="1:7" ht="12" customHeight="1">
      <c r="A1240" s="298">
        <v>36196</v>
      </c>
      <c r="B1240" s="299" t="s">
        <v>3496</v>
      </c>
      <c r="C1240" s="299">
        <v>80</v>
      </c>
      <c r="D1240" s="299">
        <f t="shared" si="41"/>
        <v>2</v>
      </c>
      <c r="E1240" s="299">
        <v>45</v>
      </c>
      <c r="F1240" s="430" t="s">
        <v>3500</v>
      </c>
      <c r="G1240" s="300" t="str">
        <f t="shared" si="42"/>
        <v>BordeauxSaarland</v>
      </c>
    </row>
    <row r="1241" spans="1:7" ht="12" customHeight="1">
      <c r="A1241" s="298">
        <v>36198</v>
      </c>
      <c r="B1241" s="299" t="s">
        <v>3496</v>
      </c>
      <c r="C1241" s="299">
        <v>20</v>
      </c>
      <c r="D1241" s="299">
        <f t="shared" si="41"/>
        <v>2</v>
      </c>
      <c r="E1241" s="299">
        <v>49</v>
      </c>
      <c r="F1241" s="430" t="s">
        <v>3500</v>
      </c>
      <c r="G1241" s="300" t="str">
        <f t="shared" si="42"/>
        <v>BordeauxSaarland</v>
      </c>
    </row>
    <row r="1242" spans="1:7" ht="12" customHeight="1">
      <c r="A1242" s="298">
        <v>36199</v>
      </c>
      <c r="B1242" s="299" t="s">
        <v>3496</v>
      </c>
      <c r="C1242" s="299">
        <v>50</v>
      </c>
      <c r="D1242" s="299">
        <f t="shared" si="41"/>
        <v>2</v>
      </c>
      <c r="E1242" s="299">
        <v>54</v>
      </c>
      <c r="F1242" s="430" t="s">
        <v>3500</v>
      </c>
      <c r="G1242" s="300" t="str">
        <f t="shared" si="42"/>
        <v>BordeauxSaarland</v>
      </c>
    </row>
    <row r="1243" spans="1:7" ht="12" customHeight="1">
      <c r="A1243" s="298">
        <v>36201</v>
      </c>
      <c r="B1243" s="299" t="s">
        <v>3496</v>
      </c>
      <c r="C1243" s="299">
        <v>120</v>
      </c>
      <c r="D1243" s="299">
        <f t="shared" si="41"/>
        <v>2</v>
      </c>
      <c r="E1243" s="299">
        <v>49</v>
      </c>
      <c r="F1243" s="430" t="s">
        <v>3500</v>
      </c>
      <c r="G1243" s="300" t="str">
        <f t="shared" si="42"/>
        <v>BordeauxSaarland</v>
      </c>
    </row>
    <row r="1244" spans="1:7" ht="12" customHeight="1">
      <c r="A1244" s="298">
        <v>36202</v>
      </c>
      <c r="B1244" s="299" t="s">
        <v>3496</v>
      </c>
      <c r="C1244" s="299">
        <v>180</v>
      </c>
      <c r="D1244" s="299">
        <f t="shared" si="41"/>
        <v>2</v>
      </c>
      <c r="E1244" s="299">
        <v>49</v>
      </c>
      <c r="F1244" s="430" t="s">
        <v>3500</v>
      </c>
      <c r="G1244" s="300" t="str">
        <f t="shared" si="42"/>
        <v>BordeauxSaarland</v>
      </c>
    </row>
    <row r="1245" spans="1:7" ht="12" customHeight="1">
      <c r="A1245" s="298">
        <v>36203</v>
      </c>
      <c r="B1245" s="299" t="s">
        <v>3496</v>
      </c>
      <c r="C1245" s="299">
        <v>60</v>
      </c>
      <c r="D1245" s="299">
        <f t="shared" si="41"/>
        <v>2</v>
      </c>
      <c r="E1245" s="299">
        <v>48</v>
      </c>
      <c r="F1245" s="430" t="s">
        <v>3500</v>
      </c>
      <c r="G1245" s="300" t="str">
        <f t="shared" si="42"/>
        <v>BordeauxSaarland</v>
      </c>
    </row>
    <row r="1246" spans="1:7" ht="12" customHeight="1">
      <c r="A1246" s="298">
        <v>36205</v>
      </c>
      <c r="B1246" s="299" t="s">
        <v>3496</v>
      </c>
      <c r="C1246" s="299">
        <v>90</v>
      </c>
      <c r="D1246" s="299">
        <f t="shared" si="41"/>
        <v>2</v>
      </c>
      <c r="E1246" s="299">
        <v>51</v>
      </c>
      <c r="F1246" s="430" t="s">
        <v>3500</v>
      </c>
      <c r="G1246" s="300" t="str">
        <f t="shared" si="42"/>
        <v>BordeauxSaarland</v>
      </c>
    </row>
    <row r="1247" spans="1:7" ht="12" customHeight="1">
      <c r="A1247" s="298">
        <v>36208</v>
      </c>
      <c r="B1247" s="299" t="s">
        <v>3496</v>
      </c>
      <c r="C1247" s="299">
        <v>150</v>
      </c>
      <c r="D1247" s="299">
        <f t="shared" si="41"/>
        <v>2</v>
      </c>
      <c r="E1247" s="299">
        <v>49</v>
      </c>
      <c r="F1247" s="430" t="s">
        <v>3500</v>
      </c>
      <c r="G1247" s="300" t="str">
        <f t="shared" si="42"/>
        <v>BordeauxSaarland</v>
      </c>
    </row>
    <row r="1248" spans="1:7" ht="12" customHeight="1">
      <c r="A1248" s="298">
        <v>36209</v>
      </c>
      <c r="B1248" s="299" t="s">
        <v>3496</v>
      </c>
      <c r="C1248" s="299">
        <v>100</v>
      </c>
      <c r="D1248" s="299">
        <f t="shared" si="41"/>
        <v>2</v>
      </c>
      <c r="E1248" s="299">
        <v>51</v>
      </c>
      <c r="F1248" s="430" t="s">
        <v>3500</v>
      </c>
      <c r="G1248" s="300" t="str">
        <f t="shared" si="42"/>
        <v>BordeauxSaarland</v>
      </c>
    </row>
    <row r="1249" spans="1:7" ht="12" customHeight="1">
      <c r="A1249" s="298">
        <v>36213</v>
      </c>
      <c r="B1249" s="299" t="s">
        <v>3496</v>
      </c>
      <c r="C1249" s="299">
        <v>100</v>
      </c>
      <c r="D1249" s="299">
        <f t="shared" si="41"/>
        <v>2</v>
      </c>
      <c r="E1249" s="299">
        <v>46</v>
      </c>
      <c r="F1249" s="430" t="s">
        <v>3500</v>
      </c>
      <c r="G1249" s="300" t="str">
        <f t="shared" si="42"/>
        <v>BordeauxSaarland</v>
      </c>
    </row>
    <row r="1250" spans="1:7" ht="12" customHeight="1">
      <c r="A1250" s="298">
        <v>36217</v>
      </c>
      <c r="B1250" s="299" t="s">
        <v>3496</v>
      </c>
      <c r="C1250" s="299">
        <v>80</v>
      </c>
      <c r="D1250" s="299">
        <f t="shared" si="41"/>
        <v>2</v>
      </c>
      <c r="E1250" s="299">
        <v>48</v>
      </c>
      <c r="F1250" s="430" t="s">
        <v>3500</v>
      </c>
      <c r="G1250" s="300" t="str">
        <f t="shared" si="42"/>
        <v>BordeauxSaarland</v>
      </c>
    </row>
    <row r="1251" spans="1:7" ht="12" customHeight="1">
      <c r="A1251" s="298">
        <v>36220</v>
      </c>
      <c r="B1251" s="299" t="s">
        <v>3496</v>
      </c>
      <c r="C1251" s="299">
        <v>210</v>
      </c>
      <c r="D1251" s="299">
        <f t="shared" si="41"/>
        <v>3</v>
      </c>
      <c r="E1251" s="299">
        <v>49</v>
      </c>
      <c r="F1251" s="430" t="s">
        <v>3500</v>
      </c>
      <c r="G1251" s="300" t="str">
        <f t="shared" si="42"/>
        <v>BordeauxSaarland</v>
      </c>
    </row>
    <row r="1252" spans="1:7" ht="12" customHeight="1">
      <c r="A1252" s="298">
        <v>36221</v>
      </c>
      <c r="B1252" s="299" t="s">
        <v>3496</v>
      </c>
      <c r="C1252" s="299">
        <v>120</v>
      </c>
      <c r="D1252" s="299">
        <f t="shared" si="41"/>
        <v>3</v>
      </c>
      <c r="E1252" s="299">
        <v>49</v>
      </c>
      <c r="F1252" s="430" t="s">
        <v>3500</v>
      </c>
      <c r="G1252" s="300" t="str">
        <f t="shared" si="42"/>
        <v>BordeauxSaarland</v>
      </c>
    </row>
    <row r="1253" spans="1:7" ht="12" customHeight="1">
      <c r="A1253" s="298">
        <v>36228</v>
      </c>
      <c r="B1253" s="299" t="s">
        <v>3496</v>
      </c>
      <c r="C1253" s="299">
        <v>180</v>
      </c>
      <c r="D1253" s="299">
        <f t="shared" si="41"/>
        <v>3</v>
      </c>
      <c r="E1253" s="299">
        <v>53</v>
      </c>
      <c r="F1253" s="430" t="s">
        <v>3500</v>
      </c>
      <c r="G1253" s="300" t="str">
        <f t="shared" si="42"/>
        <v>BordeauxSaarland</v>
      </c>
    </row>
    <row r="1254" spans="1:7" ht="12" customHeight="1">
      <c r="A1254" s="298">
        <v>36239</v>
      </c>
      <c r="B1254" s="299" t="s">
        <v>3496</v>
      </c>
      <c r="C1254" s="299">
        <v>150</v>
      </c>
      <c r="D1254" s="299">
        <f t="shared" si="41"/>
        <v>3</v>
      </c>
      <c r="E1254" s="299">
        <v>51</v>
      </c>
      <c r="F1254" s="430" t="s">
        <v>3500</v>
      </c>
      <c r="G1254" s="300" t="str">
        <f t="shared" si="42"/>
        <v>BordeauxSaarland</v>
      </c>
    </row>
    <row r="1255" spans="1:7" ht="12" customHeight="1">
      <c r="A1255" s="298">
        <v>36251</v>
      </c>
      <c r="B1255" s="299" t="s">
        <v>3496</v>
      </c>
      <c r="C1255" s="299">
        <v>80</v>
      </c>
      <c r="D1255" s="299">
        <f t="shared" si="41"/>
        <v>4</v>
      </c>
      <c r="E1255" s="299">
        <v>45</v>
      </c>
      <c r="F1255" s="430" t="s">
        <v>3500</v>
      </c>
      <c r="G1255" s="300" t="str">
        <f t="shared" si="42"/>
        <v>BordeauxSaarland</v>
      </c>
    </row>
    <row r="1256" spans="1:7" ht="12" customHeight="1">
      <c r="A1256" s="298">
        <v>36253</v>
      </c>
      <c r="B1256" s="299" t="s">
        <v>3496</v>
      </c>
      <c r="C1256" s="299">
        <v>90</v>
      </c>
      <c r="D1256" s="299">
        <f t="shared" si="41"/>
        <v>4</v>
      </c>
      <c r="E1256" s="299">
        <v>49</v>
      </c>
      <c r="F1256" s="430" t="s">
        <v>3500</v>
      </c>
      <c r="G1256" s="300" t="str">
        <f t="shared" si="42"/>
        <v>BordeauxSaarland</v>
      </c>
    </row>
    <row r="1257" spans="1:7" ht="12" customHeight="1">
      <c r="A1257" s="298">
        <v>36253</v>
      </c>
      <c r="B1257" s="299" t="s">
        <v>3496</v>
      </c>
      <c r="C1257" s="299">
        <v>210</v>
      </c>
      <c r="D1257" s="299">
        <f t="shared" si="41"/>
        <v>4</v>
      </c>
      <c r="E1257" s="299">
        <v>46</v>
      </c>
      <c r="F1257" s="430" t="s">
        <v>3500</v>
      </c>
      <c r="G1257" s="300" t="str">
        <f t="shared" si="42"/>
        <v>BordeauxSaarland</v>
      </c>
    </row>
    <row r="1258" spans="1:7" ht="12" customHeight="1">
      <c r="A1258" s="298">
        <v>36253</v>
      </c>
      <c r="B1258" s="299" t="s">
        <v>3496</v>
      </c>
      <c r="C1258" s="299">
        <v>80</v>
      </c>
      <c r="D1258" s="299">
        <f t="shared" si="41"/>
        <v>4</v>
      </c>
      <c r="E1258" s="299">
        <v>48</v>
      </c>
      <c r="F1258" s="430" t="s">
        <v>3500</v>
      </c>
      <c r="G1258" s="300" t="str">
        <f t="shared" si="42"/>
        <v>BordeauxSaarland</v>
      </c>
    </row>
    <row r="1259" spans="1:7" ht="12" customHeight="1">
      <c r="A1259" s="298">
        <v>36256</v>
      </c>
      <c r="B1259" s="299" t="s">
        <v>3496</v>
      </c>
      <c r="C1259" s="299">
        <v>100</v>
      </c>
      <c r="D1259" s="299">
        <f t="shared" si="41"/>
        <v>4</v>
      </c>
      <c r="E1259" s="299">
        <v>46</v>
      </c>
      <c r="F1259" s="430" t="s">
        <v>3500</v>
      </c>
      <c r="G1259" s="300" t="str">
        <f t="shared" si="42"/>
        <v>BordeauxSaarland</v>
      </c>
    </row>
    <row r="1260" spans="1:7" ht="12" customHeight="1">
      <c r="A1260" s="298">
        <v>36262</v>
      </c>
      <c r="B1260" s="299" t="s">
        <v>3496</v>
      </c>
      <c r="C1260" s="299">
        <v>20</v>
      </c>
      <c r="D1260" s="299">
        <f t="shared" si="41"/>
        <v>4</v>
      </c>
      <c r="E1260" s="299">
        <v>46</v>
      </c>
      <c r="F1260" s="430" t="s">
        <v>3500</v>
      </c>
      <c r="G1260" s="300" t="str">
        <f t="shared" si="42"/>
        <v>BordeauxSaarland</v>
      </c>
    </row>
    <row r="1261" spans="1:7" ht="12" customHeight="1">
      <c r="A1261" s="298">
        <v>36263</v>
      </c>
      <c r="B1261" s="299" t="s">
        <v>3496</v>
      </c>
      <c r="C1261" s="299">
        <v>50</v>
      </c>
      <c r="D1261" s="299">
        <f t="shared" si="41"/>
        <v>4</v>
      </c>
      <c r="E1261" s="299">
        <v>49</v>
      </c>
      <c r="F1261" s="430" t="s">
        <v>3500</v>
      </c>
      <c r="G1261" s="300" t="str">
        <f t="shared" si="42"/>
        <v>BordeauxSaarland</v>
      </c>
    </row>
    <row r="1262" spans="1:7" ht="12" customHeight="1">
      <c r="A1262" s="298">
        <v>36263</v>
      </c>
      <c r="B1262" s="299" t="s">
        <v>3496</v>
      </c>
      <c r="C1262" s="299">
        <v>20</v>
      </c>
      <c r="D1262" s="299">
        <f t="shared" si="41"/>
        <v>4</v>
      </c>
      <c r="E1262" s="299">
        <v>53</v>
      </c>
      <c r="F1262" s="430" t="s">
        <v>3500</v>
      </c>
      <c r="G1262" s="300" t="str">
        <f t="shared" si="42"/>
        <v>BordeauxSaarland</v>
      </c>
    </row>
    <row r="1263" spans="1:7" ht="12" customHeight="1">
      <c r="A1263" s="298">
        <v>36265</v>
      </c>
      <c r="B1263" s="299" t="s">
        <v>3496</v>
      </c>
      <c r="C1263" s="299">
        <v>120</v>
      </c>
      <c r="D1263" s="299">
        <f t="shared" si="41"/>
        <v>4</v>
      </c>
      <c r="E1263" s="299">
        <v>46</v>
      </c>
      <c r="F1263" s="430" t="s">
        <v>3500</v>
      </c>
      <c r="G1263" s="300" t="str">
        <f t="shared" si="42"/>
        <v>BordeauxSaarland</v>
      </c>
    </row>
    <row r="1264" spans="1:7" ht="12" customHeight="1">
      <c r="A1264" s="298">
        <v>36276</v>
      </c>
      <c r="B1264" s="299" t="s">
        <v>3496</v>
      </c>
      <c r="C1264" s="299">
        <v>70</v>
      </c>
      <c r="D1264" s="299">
        <f t="shared" si="41"/>
        <v>4</v>
      </c>
      <c r="E1264" s="299">
        <v>54</v>
      </c>
      <c r="F1264" s="430" t="s">
        <v>3500</v>
      </c>
      <c r="G1264" s="300" t="str">
        <f t="shared" si="42"/>
        <v>BordeauxSaarland</v>
      </c>
    </row>
    <row r="1265" spans="1:7" ht="12" customHeight="1">
      <c r="A1265" s="298">
        <v>36285</v>
      </c>
      <c r="B1265" s="299" t="s">
        <v>3496</v>
      </c>
      <c r="C1265" s="299">
        <v>40</v>
      </c>
      <c r="D1265" s="299">
        <f t="shared" si="41"/>
        <v>5</v>
      </c>
      <c r="E1265" s="299">
        <v>51</v>
      </c>
      <c r="F1265" s="430" t="s">
        <v>3500</v>
      </c>
      <c r="G1265" s="300" t="str">
        <f t="shared" si="42"/>
        <v>BordeauxSaarland</v>
      </c>
    </row>
    <row r="1266" spans="1:7" ht="12" customHeight="1">
      <c r="A1266" s="298">
        <v>36290</v>
      </c>
      <c r="B1266" s="299" t="s">
        <v>3496</v>
      </c>
      <c r="C1266" s="299">
        <v>120</v>
      </c>
      <c r="D1266" s="299">
        <f t="shared" si="41"/>
        <v>5</v>
      </c>
      <c r="E1266" s="299">
        <v>50</v>
      </c>
      <c r="F1266" s="430" t="s">
        <v>3500</v>
      </c>
      <c r="G1266" s="300" t="str">
        <f t="shared" si="42"/>
        <v>BordeauxSaarland</v>
      </c>
    </row>
    <row r="1267" spans="1:7" ht="12" customHeight="1">
      <c r="A1267" s="298">
        <v>36294</v>
      </c>
      <c r="B1267" s="299" t="s">
        <v>3496</v>
      </c>
      <c r="C1267" s="299">
        <v>40</v>
      </c>
      <c r="D1267" s="299">
        <f t="shared" si="41"/>
        <v>5</v>
      </c>
      <c r="E1267" s="299">
        <v>48</v>
      </c>
      <c r="F1267" s="430" t="s">
        <v>3500</v>
      </c>
      <c r="G1267" s="300" t="str">
        <f t="shared" si="42"/>
        <v>BordeauxSaarland</v>
      </c>
    </row>
    <row r="1268" spans="1:7" ht="12" customHeight="1">
      <c r="A1268" s="298">
        <v>36298</v>
      </c>
      <c r="B1268" s="299" t="s">
        <v>3496</v>
      </c>
      <c r="C1268" s="299">
        <v>10</v>
      </c>
      <c r="D1268" s="299">
        <f t="shared" si="41"/>
        <v>5</v>
      </c>
      <c r="E1268" s="299">
        <v>50</v>
      </c>
      <c r="F1268" s="430" t="s">
        <v>3500</v>
      </c>
      <c r="G1268" s="300" t="str">
        <f t="shared" si="42"/>
        <v>BordeauxSaarland</v>
      </c>
    </row>
    <row r="1269" spans="1:7" ht="12" customHeight="1">
      <c r="A1269" s="298">
        <v>36299</v>
      </c>
      <c r="B1269" s="299" t="s">
        <v>3496</v>
      </c>
      <c r="C1269" s="299">
        <v>80</v>
      </c>
      <c r="D1269" s="299">
        <f t="shared" si="41"/>
        <v>5</v>
      </c>
      <c r="E1269" s="299">
        <v>49</v>
      </c>
      <c r="F1269" s="430" t="s">
        <v>3500</v>
      </c>
      <c r="G1269" s="300" t="str">
        <f t="shared" si="42"/>
        <v>BordeauxSaarland</v>
      </c>
    </row>
    <row r="1270" spans="1:7" ht="12" customHeight="1">
      <c r="A1270" s="298">
        <v>36300</v>
      </c>
      <c r="B1270" s="299" t="s">
        <v>3496</v>
      </c>
      <c r="C1270" s="299">
        <v>30</v>
      </c>
      <c r="D1270" s="299">
        <f t="shared" si="41"/>
        <v>5</v>
      </c>
      <c r="E1270" s="299">
        <v>49</v>
      </c>
      <c r="F1270" s="430" t="s">
        <v>3500</v>
      </c>
      <c r="G1270" s="300" t="str">
        <f t="shared" si="42"/>
        <v>BordeauxSaarland</v>
      </c>
    </row>
    <row r="1271" spans="1:7" ht="12" customHeight="1">
      <c r="A1271" s="298">
        <v>36302</v>
      </c>
      <c r="B1271" s="299" t="s">
        <v>3496</v>
      </c>
      <c r="C1271" s="299">
        <v>180</v>
      </c>
      <c r="D1271" s="299">
        <f t="shared" si="41"/>
        <v>5</v>
      </c>
      <c r="E1271" s="299">
        <v>45</v>
      </c>
      <c r="F1271" s="430" t="s">
        <v>3500</v>
      </c>
      <c r="G1271" s="300" t="str">
        <f t="shared" si="42"/>
        <v>BordeauxSaarland</v>
      </c>
    </row>
    <row r="1272" spans="1:7" ht="12" customHeight="1">
      <c r="A1272" s="298">
        <v>36306</v>
      </c>
      <c r="B1272" s="299" t="s">
        <v>3496</v>
      </c>
      <c r="C1272" s="299">
        <v>90</v>
      </c>
      <c r="D1272" s="299">
        <f t="shared" si="41"/>
        <v>5</v>
      </c>
      <c r="E1272" s="299">
        <v>51</v>
      </c>
      <c r="F1272" s="430" t="s">
        <v>3500</v>
      </c>
      <c r="G1272" s="300" t="str">
        <f t="shared" si="42"/>
        <v>BordeauxSaarland</v>
      </c>
    </row>
    <row r="1273" spans="1:7" ht="12" customHeight="1">
      <c r="A1273" s="298">
        <v>36308</v>
      </c>
      <c r="B1273" s="299" t="s">
        <v>3496</v>
      </c>
      <c r="C1273" s="299">
        <v>30</v>
      </c>
      <c r="D1273" s="299">
        <f t="shared" si="41"/>
        <v>5</v>
      </c>
      <c r="E1273" s="299">
        <v>48</v>
      </c>
      <c r="F1273" s="430" t="s">
        <v>3500</v>
      </c>
      <c r="G1273" s="300" t="str">
        <f t="shared" si="42"/>
        <v>BordeauxSaarland</v>
      </c>
    </row>
    <row r="1274" spans="1:7" ht="12" customHeight="1">
      <c r="A1274" s="298">
        <v>36313</v>
      </c>
      <c r="B1274" s="299" t="s">
        <v>3496</v>
      </c>
      <c r="C1274" s="299">
        <v>210</v>
      </c>
      <c r="D1274" s="299">
        <f t="shared" si="41"/>
        <v>6</v>
      </c>
      <c r="E1274" s="299">
        <v>45</v>
      </c>
      <c r="F1274" s="430" t="s">
        <v>3500</v>
      </c>
      <c r="G1274" s="300" t="str">
        <f t="shared" si="42"/>
        <v>BordeauxSaarland</v>
      </c>
    </row>
    <row r="1275" spans="1:7" ht="12" customHeight="1">
      <c r="A1275" s="298">
        <v>36319</v>
      </c>
      <c r="B1275" s="299" t="s">
        <v>3496</v>
      </c>
      <c r="C1275" s="299">
        <v>210</v>
      </c>
      <c r="D1275" s="299">
        <f t="shared" si="41"/>
        <v>6</v>
      </c>
      <c r="E1275" s="299">
        <v>49</v>
      </c>
      <c r="F1275" s="430" t="s">
        <v>3500</v>
      </c>
      <c r="G1275" s="300" t="str">
        <f t="shared" si="42"/>
        <v>BordeauxSaarland</v>
      </c>
    </row>
    <row r="1276" spans="1:7" ht="12" customHeight="1">
      <c r="A1276" s="298">
        <v>36321</v>
      </c>
      <c r="B1276" s="299" t="s">
        <v>3496</v>
      </c>
      <c r="C1276" s="299">
        <v>30</v>
      </c>
      <c r="D1276" s="299">
        <f t="shared" si="41"/>
        <v>6</v>
      </c>
      <c r="E1276" s="299">
        <v>45</v>
      </c>
      <c r="F1276" s="430" t="s">
        <v>3500</v>
      </c>
      <c r="G1276" s="300" t="str">
        <f t="shared" si="42"/>
        <v>BordeauxSaarland</v>
      </c>
    </row>
    <row r="1277" spans="1:7" ht="12" customHeight="1">
      <c r="A1277" s="298">
        <v>36323</v>
      </c>
      <c r="B1277" s="299" t="s">
        <v>3496</v>
      </c>
      <c r="C1277" s="299">
        <v>70</v>
      </c>
      <c r="D1277" s="299">
        <f t="shared" si="41"/>
        <v>6</v>
      </c>
      <c r="E1277" s="299">
        <v>53</v>
      </c>
      <c r="F1277" s="430" t="s">
        <v>3500</v>
      </c>
      <c r="G1277" s="300" t="str">
        <f t="shared" si="42"/>
        <v>BordeauxSaarland</v>
      </c>
    </row>
    <row r="1278" spans="1:7" ht="12" customHeight="1">
      <c r="A1278" s="298">
        <v>36326</v>
      </c>
      <c r="B1278" s="299" t="s">
        <v>3496</v>
      </c>
      <c r="C1278" s="299">
        <v>210</v>
      </c>
      <c r="D1278" s="299">
        <f t="shared" si="41"/>
        <v>6</v>
      </c>
      <c r="E1278" s="299">
        <v>45</v>
      </c>
      <c r="F1278" s="430" t="s">
        <v>3500</v>
      </c>
      <c r="G1278" s="300" t="str">
        <f t="shared" si="42"/>
        <v>BordeauxSaarland</v>
      </c>
    </row>
    <row r="1279" spans="1:7" ht="12" customHeight="1">
      <c r="A1279" s="298">
        <v>36327</v>
      </c>
      <c r="B1279" s="299" t="s">
        <v>3496</v>
      </c>
      <c r="C1279" s="299">
        <v>20</v>
      </c>
      <c r="D1279" s="299">
        <f t="shared" si="41"/>
        <v>6</v>
      </c>
      <c r="E1279" s="299">
        <v>53</v>
      </c>
      <c r="F1279" s="430" t="s">
        <v>3500</v>
      </c>
      <c r="G1279" s="300" t="str">
        <f t="shared" si="42"/>
        <v>BordeauxSaarland</v>
      </c>
    </row>
    <row r="1280" spans="1:7" ht="12" customHeight="1">
      <c r="A1280" s="298">
        <v>36328</v>
      </c>
      <c r="B1280" s="299" t="s">
        <v>3496</v>
      </c>
      <c r="C1280" s="299">
        <v>110</v>
      </c>
      <c r="D1280" s="299">
        <f t="shared" si="41"/>
        <v>6</v>
      </c>
      <c r="E1280" s="299">
        <v>49</v>
      </c>
      <c r="F1280" s="430" t="s">
        <v>3500</v>
      </c>
      <c r="G1280" s="300" t="str">
        <f t="shared" si="42"/>
        <v>BordeauxSaarland</v>
      </c>
    </row>
    <row r="1281" spans="1:7" ht="12" customHeight="1">
      <c r="A1281" s="298">
        <v>36330</v>
      </c>
      <c r="B1281" s="299" t="s">
        <v>3496</v>
      </c>
      <c r="C1281" s="299">
        <v>240</v>
      </c>
      <c r="D1281" s="299">
        <f t="shared" si="41"/>
        <v>6</v>
      </c>
      <c r="E1281" s="299">
        <v>53</v>
      </c>
      <c r="F1281" s="430" t="s">
        <v>3500</v>
      </c>
      <c r="G1281" s="300" t="str">
        <f t="shared" si="42"/>
        <v>BordeauxSaarland</v>
      </c>
    </row>
    <row r="1282" spans="1:7" ht="12" customHeight="1">
      <c r="A1282" s="298">
        <v>36334</v>
      </c>
      <c r="B1282" s="299" t="s">
        <v>3496</v>
      </c>
      <c r="C1282" s="299">
        <v>10</v>
      </c>
      <c r="D1282" s="299">
        <f t="shared" si="41"/>
        <v>6</v>
      </c>
      <c r="E1282" s="299">
        <v>51</v>
      </c>
      <c r="F1282" s="430" t="s">
        <v>3500</v>
      </c>
      <c r="G1282" s="300" t="str">
        <f t="shared" si="42"/>
        <v>BordeauxSaarland</v>
      </c>
    </row>
    <row r="1283" spans="1:7" ht="12" customHeight="1">
      <c r="A1283" s="298">
        <v>36344</v>
      </c>
      <c r="B1283" s="299" t="s">
        <v>3496</v>
      </c>
      <c r="C1283" s="299">
        <v>50</v>
      </c>
      <c r="D1283" s="299">
        <f t="shared" si="41"/>
        <v>7</v>
      </c>
      <c r="E1283" s="299">
        <v>51</v>
      </c>
      <c r="F1283" s="430" t="s">
        <v>3500</v>
      </c>
      <c r="G1283" s="300" t="str">
        <f t="shared" si="42"/>
        <v>BordeauxSaarland</v>
      </c>
    </row>
    <row r="1284" spans="1:7" ht="12" customHeight="1">
      <c r="A1284" s="298">
        <v>36345</v>
      </c>
      <c r="B1284" s="299" t="s">
        <v>3496</v>
      </c>
      <c r="C1284" s="299">
        <v>90</v>
      </c>
      <c r="D1284" s="299">
        <f t="shared" si="41"/>
        <v>7</v>
      </c>
      <c r="E1284" s="299">
        <v>53</v>
      </c>
      <c r="F1284" s="430" t="s">
        <v>3500</v>
      </c>
      <c r="G1284" s="300" t="str">
        <f t="shared" si="42"/>
        <v>BordeauxSaarland</v>
      </c>
    </row>
    <row r="1285" spans="1:7" ht="12" customHeight="1">
      <c r="A1285" s="298">
        <v>36346</v>
      </c>
      <c r="B1285" s="299" t="s">
        <v>3496</v>
      </c>
      <c r="C1285" s="299">
        <v>100</v>
      </c>
      <c r="D1285" s="299">
        <f t="shared" si="41"/>
        <v>7</v>
      </c>
      <c r="E1285" s="299">
        <v>51</v>
      </c>
      <c r="F1285" s="430" t="s">
        <v>3500</v>
      </c>
      <c r="G1285" s="300" t="str">
        <f t="shared" si="42"/>
        <v>BordeauxSaarland</v>
      </c>
    </row>
    <row r="1286" spans="1:7" ht="12" customHeight="1">
      <c r="A1286" s="298">
        <v>36346</v>
      </c>
      <c r="B1286" s="299" t="s">
        <v>3496</v>
      </c>
      <c r="C1286" s="299">
        <v>180</v>
      </c>
      <c r="D1286" s="299">
        <f t="shared" ref="D1286:D1349" si="43">MONTH(A1286)</f>
        <v>7</v>
      </c>
      <c r="E1286" s="299">
        <v>53</v>
      </c>
      <c r="F1286" s="430" t="s">
        <v>3500</v>
      </c>
      <c r="G1286" s="300" t="str">
        <f t="shared" ref="G1286:G1349" si="44">B1286&amp;F1286</f>
        <v>BordeauxSaarland</v>
      </c>
    </row>
    <row r="1287" spans="1:7" ht="12" customHeight="1">
      <c r="A1287" s="298">
        <v>36357</v>
      </c>
      <c r="B1287" s="299" t="s">
        <v>3496</v>
      </c>
      <c r="C1287" s="299">
        <v>180</v>
      </c>
      <c r="D1287" s="299">
        <f t="shared" si="43"/>
        <v>7</v>
      </c>
      <c r="E1287" s="299">
        <v>45</v>
      </c>
      <c r="F1287" s="430" t="s">
        <v>3500</v>
      </c>
      <c r="G1287" s="300" t="str">
        <f t="shared" si="44"/>
        <v>BordeauxSaarland</v>
      </c>
    </row>
    <row r="1288" spans="1:7" ht="12" customHeight="1">
      <c r="A1288" s="298">
        <v>36358</v>
      </c>
      <c r="B1288" s="299" t="s">
        <v>3496</v>
      </c>
      <c r="C1288" s="299">
        <v>100</v>
      </c>
      <c r="D1288" s="299">
        <f t="shared" si="43"/>
        <v>7</v>
      </c>
      <c r="E1288" s="299">
        <v>45</v>
      </c>
      <c r="F1288" s="430" t="s">
        <v>3500</v>
      </c>
      <c r="G1288" s="300" t="str">
        <f t="shared" si="44"/>
        <v>BordeauxSaarland</v>
      </c>
    </row>
    <row r="1289" spans="1:7" ht="12" customHeight="1">
      <c r="A1289" s="298">
        <v>36362</v>
      </c>
      <c r="B1289" s="299" t="s">
        <v>3496</v>
      </c>
      <c r="C1289" s="299">
        <v>180</v>
      </c>
      <c r="D1289" s="299">
        <f t="shared" si="43"/>
        <v>7</v>
      </c>
      <c r="E1289" s="299">
        <v>50</v>
      </c>
      <c r="F1289" s="430" t="s">
        <v>3500</v>
      </c>
      <c r="G1289" s="300" t="str">
        <f t="shared" si="44"/>
        <v>BordeauxSaarland</v>
      </c>
    </row>
    <row r="1290" spans="1:7" ht="12" customHeight="1">
      <c r="A1290" s="298">
        <v>36371</v>
      </c>
      <c r="B1290" s="299" t="s">
        <v>3496</v>
      </c>
      <c r="C1290" s="299">
        <v>80</v>
      </c>
      <c r="D1290" s="299">
        <f t="shared" si="43"/>
        <v>7</v>
      </c>
      <c r="E1290" s="299">
        <v>49</v>
      </c>
      <c r="F1290" s="430" t="s">
        <v>3500</v>
      </c>
      <c r="G1290" s="300" t="str">
        <f t="shared" si="44"/>
        <v>BordeauxSaarland</v>
      </c>
    </row>
    <row r="1291" spans="1:7" ht="12" customHeight="1">
      <c r="A1291" s="298">
        <v>36373</v>
      </c>
      <c r="B1291" s="299" t="s">
        <v>3496</v>
      </c>
      <c r="C1291" s="299">
        <v>60</v>
      </c>
      <c r="D1291" s="299">
        <f t="shared" si="43"/>
        <v>8</v>
      </c>
      <c r="E1291" s="299">
        <v>51</v>
      </c>
      <c r="F1291" s="430" t="s">
        <v>3500</v>
      </c>
      <c r="G1291" s="300" t="str">
        <f t="shared" si="44"/>
        <v>BordeauxSaarland</v>
      </c>
    </row>
    <row r="1292" spans="1:7" ht="12" customHeight="1">
      <c r="A1292" s="298">
        <v>36376</v>
      </c>
      <c r="B1292" s="299" t="s">
        <v>3496</v>
      </c>
      <c r="C1292" s="299">
        <v>120</v>
      </c>
      <c r="D1292" s="299">
        <f t="shared" si="43"/>
        <v>8</v>
      </c>
      <c r="E1292" s="299">
        <v>51</v>
      </c>
      <c r="F1292" s="430" t="s">
        <v>3500</v>
      </c>
      <c r="G1292" s="300" t="str">
        <f t="shared" si="44"/>
        <v>BordeauxSaarland</v>
      </c>
    </row>
    <row r="1293" spans="1:7" ht="12" customHeight="1">
      <c r="A1293" s="298">
        <v>36383</v>
      </c>
      <c r="B1293" s="299" t="s">
        <v>3496</v>
      </c>
      <c r="C1293" s="299">
        <v>20</v>
      </c>
      <c r="D1293" s="299">
        <f t="shared" si="43"/>
        <v>8</v>
      </c>
      <c r="E1293" s="299">
        <v>48</v>
      </c>
      <c r="F1293" s="430" t="s">
        <v>3500</v>
      </c>
      <c r="G1293" s="300" t="str">
        <f t="shared" si="44"/>
        <v>BordeauxSaarland</v>
      </c>
    </row>
    <row r="1294" spans="1:7" ht="12" customHeight="1">
      <c r="A1294" s="298">
        <v>36388</v>
      </c>
      <c r="B1294" s="299" t="s">
        <v>3496</v>
      </c>
      <c r="C1294" s="299">
        <v>10</v>
      </c>
      <c r="D1294" s="299">
        <f t="shared" si="43"/>
        <v>8</v>
      </c>
      <c r="E1294" s="299">
        <v>51</v>
      </c>
      <c r="F1294" s="430" t="s">
        <v>3500</v>
      </c>
      <c r="G1294" s="300" t="str">
        <f t="shared" si="44"/>
        <v>BordeauxSaarland</v>
      </c>
    </row>
    <row r="1295" spans="1:7" ht="12" customHeight="1">
      <c r="A1295" s="298">
        <v>36390</v>
      </c>
      <c r="B1295" s="299" t="s">
        <v>3496</v>
      </c>
      <c r="C1295" s="299">
        <v>100</v>
      </c>
      <c r="D1295" s="299">
        <f t="shared" si="43"/>
        <v>8</v>
      </c>
      <c r="E1295" s="299">
        <v>53</v>
      </c>
      <c r="F1295" s="430" t="s">
        <v>3500</v>
      </c>
      <c r="G1295" s="300" t="str">
        <f t="shared" si="44"/>
        <v>BordeauxSaarland</v>
      </c>
    </row>
    <row r="1296" spans="1:7" ht="12" customHeight="1">
      <c r="A1296" s="298">
        <v>36393</v>
      </c>
      <c r="B1296" s="299" t="s">
        <v>3496</v>
      </c>
      <c r="C1296" s="299">
        <v>120</v>
      </c>
      <c r="D1296" s="299">
        <f t="shared" si="43"/>
        <v>8</v>
      </c>
      <c r="E1296" s="299">
        <v>45</v>
      </c>
      <c r="F1296" s="430" t="s">
        <v>3500</v>
      </c>
      <c r="G1296" s="300" t="str">
        <f t="shared" si="44"/>
        <v>BordeauxSaarland</v>
      </c>
    </row>
    <row r="1297" spans="1:7" ht="12" customHeight="1">
      <c r="A1297" s="298">
        <v>36400</v>
      </c>
      <c r="B1297" s="299" t="s">
        <v>3496</v>
      </c>
      <c r="C1297" s="299">
        <v>90</v>
      </c>
      <c r="D1297" s="299">
        <f t="shared" si="43"/>
        <v>8</v>
      </c>
      <c r="E1297" s="299">
        <v>45</v>
      </c>
      <c r="F1297" s="430" t="s">
        <v>3500</v>
      </c>
      <c r="G1297" s="300" t="str">
        <f t="shared" si="44"/>
        <v>BordeauxSaarland</v>
      </c>
    </row>
    <row r="1298" spans="1:7" ht="12" customHeight="1">
      <c r="A1298" s="298">
        <v>36415</v>
      </c>
      <c r="B1298" s="299" t="s">
        <v>3496</v>
      </c>
      <c r="C1298" s="299">
        <v>90</v>
      </c>
      <c r="D1298" s="299">
        <f t="shared" si="43"/>
        <v>9</v>
      </c>
      <c r="E1298" s="299">
        <v>49</v>
      </c>
      <c r="F1298" s="430" t="s">
        <v>3500</v>
      </c>
      <c r="G1298" s="300" t="str">
        <f t="shared" si="44"/>
        <v>BordeauxSaarland</v>
      </c>
    </row>
    <row r="1299" spans="1:7" ht="12" customHeight="1">
      <c r="A1299" s="298">
        <v>36446</v>
      </c>
      <c r="B1299" s="299" t="s">
        <v>3496</v>
      </c>
      <c r="C1299" s="299">
        <v>20</v>
      </c>
      <c r="D1299" s="299">
        <f t="shared" si="43"/>
        <v>10</v>
      </c>
      <c r="E1299" s="299">
        <v>46</v>
      </c>
      <c r="F1299" s="430" t="s">
        <v>3500</v>
      </c>
      <c r="G1299" s="300" t="str">
        <f t="shared" si="44"/>
        <v>BordeauxSaarland</v>
      </c>
    </row>
    <row r="1300" spans="1:7" ht="12" customHeight="1">
      <c r="A1300" s="298">
        <v>36448</v>
      </c>
      <c r="B1300" s="299" t="s">
        <v>3496</v>
      </c>
      <c r="C1300" s="299">
        <v>20</v>
      </c>
      <c r="D1300" s="299">
        <f t="shared" si="43"/>
        <v>10</v>
      </c>
      <c r="E1300" s="299">
        <v>53</v>
      </c>
      <c r="F1300" s="430" t="s">
        <v>3500</v>
      </c>
      <c r="G1300" s="300" t="str">
        <f t="shared" si="44"/>
        <v>BordeauxSaarland</v>
      </c>
    </row>
    <row r="1301" spans="1:7" ht="12" customHeight="1">
      <c r="A1301" s="298">
        <v>36455</v>
      </c>
      <c r="B1301" s="299" t="s">
        <v>3496</v>
      </c>
      <c r="C1301" s="299">
        <v>80</v>
      </c>
      <c r="D1301" s="299">
        <f t="shared" si="43"/>
        <v>10</v>
      </c>
      <c r="E1301" s="299">
        <v>48</v>
      </c>
      <c r="F1301" s="430" t="s">
        <v>3500</v>
      </c>
      <c r="G1301" s="300" t="str">
        <f t="shared" si="44"/>
        <v>BordeauxSaarland</v>
      </c>
    </row>
    <row r="1302" spans="1:7" ht="12" customHeight="1">
      <c r="A1302" s="298">
        <v>36460</v>
      </c>
      <c r="B1302" s="299" t="s">
        <v>3496</v>
      </c>
      <c r="C1302" s="299">
        <v>120</v>
      </c>
      <c r="D1302" s="299">
        <f t="shared" si="43"/>
        <v>10</v>
      </c>
      <c r="E1302" s="299">
        <v>46</v>
      </c>
      <c r="F1302" s="430" t="s">
        <v>3500</v>
      </c>
      <c r="G1302" s="300" t="str">
        <f t="shared" si="44"/>
        <v>BordeauxSaarland</v>
      </c>
    </row>
    <row r="1303" spans="1:7" ht="12" customHeight="1">
      <c r="A1303" s="298">
        <v>36461</v>
      </c>
      <c r="B1303" s="299" t="s">
        <v>3496</v>
      </c>
      <c r="C1303" s="299">
        <v>180</v>
      </c>
      <c r="D1303" s="299">
        <f t="shared" si="43"/>
        <v>10</v>
      </c>
      <c r="E1303" s="299">
        <v>46</v>
      </c>
      <c r="F1303" s="430" t="s">
        <v>3500</v>
      </c>
      <c r="G1303" s="300" t="str">
        <f t="shared" si="44"/>
        <v>BordeauxSaarland</v>
      </c>
    </row>
    <row r="1304" spans="1:7" ht="12" customHeight="1">
      <c r="A1304" s="298">
        <v>36465</v>
      </c>
      <c r="B1304" s="299" t="s">
        <v>3496</v>
      </c>
      <c r="C1304" s="299">
        <v>180</v>
      </c>
      <c r="D1304" s="299">
        <f t="shared" si="43"/>
        <v>11</v>
      </c>
      <c r="E1304" s="299">
        <v>50</v>
      </c>
      <c r="F1304" s="430" t="s">
        <v>3500</v>
      </c>
      <c r="G1304" s="300" t="str">
        <f t="shared" si="44"/>
        <v>BordeauxSaarland</v>
      </c>
    </row>
    <row r="1305" spans="1:7" ht="12" customHeight="1">
      <c r="A1305" s="298">
        <v>36466</v>
      </c>
      <c r="B1305" s="299" t="s">
        <v>3496</v>
      </c>
      <c r="C1305" s="299">
        <v>50</v>
      </c>
      <c r="D1305" s="299">
        <f t="shared" si="43"/>
        <v>11</v>
      </c>
      <c r="E1305" s="299">
        <v>54</v>
      </c>
      <c r="F1305" s="430" t="s">
        <v>3500</v>
      </c>
      <c r="G1305" s="300" t="str">
        <f t="shared" si="44"/>
        <v>BordeauxSaarland</v>
      </c>
    </row>
    <row r="1306" spans="1:7" ht="12" customHeight="1">
      <c r="A1306" s="298">
        <v>36468</v>
      </c>
      <c r="B1306" s="299" t="s">
        <v>3496</v>
      </c>
      <c r="C1306" s="299">
        <v>50</v>
      </c>
      <c r="D1306" s="299">
        <f t="shared" si="43"/>
        <v>11</v>
      </c>
      <c r="E1306" s="299">
        <v>50</v>
      </c>
      <c r="F1306" s="430" t="s">
        <v>3500</v>
      </c>
      <c r="G1306" s="300" t="str">
        <f t="shared" si="44"/>
        <v>BordeauxSaarland</v>
      </c>
    </row>
    <row r="1307" spans="1:7" ht="12" customHeight="1">
      <c r="A1307" s="298">
        <v>36479</v>
      </c>
      <c r="B1307" s="299" t="s">
        <v>3496</v>
      </c>
      <c r="C1307" s="299">
        <v>30</v>
      </c>
      <c r="D1307" s="299">
        <f t="shared" si="43"/>
        <v>11</v>
      </c>
      <c r="E1307" s="299">
        <v>53</v>
      </c>
      <c r="F1307" s="430" t="s">
        <v>3500</v>
      </c>
      <c r="G1307" s="300" t="str">
        <f t="shared" si="44"/>
        <v>BordeauxSaarland</v>
      </c>
    </row>
    <row r="1308" spans="1:7" ht="12" customHeight="1">
      <c r="A1308" s="298">
        <v>36487</v>
      </c>
      <c r="B1308" s="299" t="s">
        <v>3496</v>
      </c>
      <c r="C1308" s="299">
        <v>60</v>
      </c>
      <c r="D1308" s="299">
        <f t="shared" si="43"/>
        <v>11</v>
      </c>
      <c r="E1308" s="299">
        <v>50</v>
      </c>
      <c r="F1308" s="430" t="s">
        <v>3500</v>
      </c>
      <c r="G1308" s="300" t="str">
        <f t="shared" si="44"/>
        <v>BordeauxSaarland</v>
      </c>
    </row>
    <row r="1309" spans="1:7" ht="12" customHeight="1">
      <c r="A1309" s="298">
        <v>36498</v>
      </c>
      <c r="B1309" s="299" t="s">
        <v>3496</v>
      </c>
      <c r="C1309" s="299">
        <v>80</v>
      </c>
      <c r="D1309" s="299">
        <f t="shared" si="43"/>
        <v>12</v>
      </c>
      <c r="E1309" s="299">
        <v>45</v>
      </c>
      <c r="F1309" s="430" t="s">
        <v>3500</v>
      </c>
      <c r="G1309" s="300" t="str">
        <f t="shared" si="44"/>
        <v>BordeauxSaarland</v>
      </c>
    </row>
    <row r="1310" spans="1:7" ht="12" customHeight="1">
      <c r="A1310" s="298">
        <v>36498</v>
      </c>
      <c r="B1310" s="299" t="s">
        <v>3496</v>
      </c>
      <c r="C1310" s="299">
        <v>50</v>
      </c>
      <c r="D1310" s="299">
        <f t="shared" si="43"/>
        <v>12</v>
      </c>
      <c r="E1310" s="299">
        <v>50</v>
      </c>
      <c r="F1310" s="430" t="s">
        <v>3500</v>
      </c>
      <c r="G1310" s="300" t="str">
        <f t="shared" si="44"/>
        <v>BordeauxSaarland</v>
      </c>
    </row>
    <row r="1311" spans="1:7" ht="12" customHeight="1">
      <c r="A1311" s="298">
        <v>36508</v>
      </c>
      <c r="B1311" s="299" t="s">
        <v>3496</v>
      </c>
      <c r="C1311" s="299">
        <v>90</v>
      </c>
      <c r="D1311" s="299">
        <f t="shared" si="43"/>
        <v>12</v>
      </c>
      <c r="E1311" s="299">
        <v>45</v>
      </c>
      <c r="F1311" s="430" t="s">
        <v>3500</v>
      </c>
      <c r="G1311" s="300" t="str">
        <f t="shared" si="44"/>
        <v>BordeauxSaarland</v>
      </c>
    </row>
    <row r="1312" spans="1:7" ht="12" customHeight="1">
      <c r="A1312" s="298">
        <v>36508</v>
      </c>
      <c r="B1312" s="299" t="s">
        <v>3496</v>
      </c>
      <c r="C1312" s="299">
        <v>100</v>
      </c>
      <c r="D1312" s="299">
        <f t="shared" si="43"/>
        <v>12</v>
      </c>
      <c r="E1312" s="299">
        <v>50</v>
      </c>
      <c r="F1312" s="430" t="s">
        <v>3500</v>
      </c>
      <c r="G1312" s="300" t="str">
        <f t="shared" si="44"/>
        <v>BordeauxSaarland</v>
      </c>
    </row>
    <row r="1313" spans="1:7" ht="12" customHeight="1">
      <c r="A1313" s="298">
        <v>36508</v>
      </c>
      <c r="B1313" s="299" t="s">
        <v>3496</v>
      </c>
      <c r="C1313" s="299">
        <v>30</v>
      </c>
      <c r="D1313" s="299">
        <f t="shared" si="43"/>
        <v>12</v>
      </c>
      <c r="E1313" s="299">
        <v>50</v>
      </c>
      <c r="F1313" s="430" t="s">
        <v>3500</v>
      </c>
      <c r="G1313" s="300" t="str">
        <f t="shared" si="44"/>
        <v>BordeauxSaarland</v>
      </c>
    </row>
    <row r="1314" spans="1:7" ht="12" customHeight="1">
      <c r="A1314" s="298">
        <v>36509</v>
      </c>
      <c r="B1314" s="299" t="s">
        <v>3496</v>
      </c>
      <c r="C1314" s="299">
        <v>100</v>
      </c>
      <c r="D1314" s="299">
        <f t="shared" si="43"/>
        <v>12</v>
      </c>
      <c r="E1314" s="299">
        <v>49</v>
      </c>
      <c r="F1314" s="430" t="s">
        <v>3500</v>
      </c>
      <c r="G1314" s="300" t="str">
        <f t="shared" si="44"/>
        <v>BordeauxSaarland</v>
      </c>
    </row>
    <row r="1315" spans="1:7" ht="12" customHeight="1">
      <c r="A1315" s="298">
        <v>36514</v>
      </c>
      <c r="B1315" s="299" t="s">
        <v>3496</v>
      </c>
      <c r="C1315" s="299">
        <v>80</v>
      </c>
      <c r="D1315" s="299">
        <f t="shared" si="43"/>
        <v>12</v>
      </c>
      <c r="E1315" s="299">
        <v>48</v>
      </c>
      <c r="F1315" s="430" t="s">
        <v>3500</v>
      </c>
      <c r="G1315" s="300" t="str">
        <f t="shared" si="44"/>
        <v>BordeauxSaarland</v>
      </c>
    </row>
    <row r="1316" spans="1:7" ht="12" customHeight="1">
      <c r="A1316" s="298">
        <v>36515</v>
      </c>
      <c r="B1316" s="299" t="s">
        <v>3496</v>
      </c>
      <c r="C1316" s="299">
        <v>210</v>
      </c>
      <c r="D1316" s="299">
        <f t="shared" si="43"/>
        <v>12</v>
      </c>
      <c r="E1316" s="299">
        <v>48</v>
      </c>
      <c r="F1316" s="430" t="s">
        <v>3500</v>
      </c>
      <c r="G1316" s="300" t="str">
        <f t="shared" si="44"/>
        <v>BordeauxSaarland</v>
      </c>
    </row>
    <row r="1317" spans="1:7" ht="12" customHeight="1">
      <c r="A1317" s="298">
        <v>36175</v>
      </c>
      <c r="B1317" s="299" t="s">
        <v>3506</v>
      </c>
      <c r="C1317" s="299">
        <v>110</v>
      </c>
      <c r="D1317" s="299">
        <f t="shared" si="43"/>
        <v>1</v>
      </c>
      <c r="E1317" s="299">
        <v>50</v>
      </c>
      <c r="F1317" s="430" t="s">
        <v>3504</v>
      </c>
      <c r="G1317" s="300" t="str">
        <f t="shared" si="44"/>
        <v>ChardonnayBayern</v>
      </c>
    </row>
    <row r="1318" spans="1:7" ht="12" customHeight="1">
      <c r="A1318" s="298">
        <v>36201</v>
      </c>
      <c r="B1318" s="299" t="s">
        <v>3506</v>
      </c>
      <c r="C1318" s="299">
        <v>210</v>
      </c>
      <c r="D1318" s="299">
        <f t="shared" si="43"/>
        <v>2</v>
      </c>
      <c r="E1318" s="299">
        <v>48</v>
      </c>
      <c r="F1318" s="430" t="s">
        <v>3504</v>
      </c>
      <c r="G1318" s="300" t="str">
        <f t="shared" si="44"/>
        <v>ChardonnayBayern</v>
      </c>
    </row>
    <row r="1319" spans="1:7" ht="12" customHeight="1">
      <c r="A1319" s="298">
        <v>36211</v>
      </c>
      <c r="B1319" s="299" t="s">
        <v>3506</v>
      </c>
      <c r="C1319" s="299">
        <v>90</v>
      </c>
      <c r="D1319" s="299">
        <f t="shared" si="43"/>
        <v>2</v>
      </c>
      <c r="E1319" s="299">
        <v>48</v>
      </c>
      <c r="F1319" s="430" t="s">
        <v>3504</v>
      </c>
      <c r="G1319" s="300" t="str">
        <f t="shared" si="44"/>
        <v>ChardonnayBayern</v>
      </c>
    </row>
    <row r="1320" spans="1:7" ht="12" customHeight="1">
      <c r="A1320" s="298">
        <v>36215</v>
      </c>
      <c r="B1320" s="299" t="s">
        <v>3506</v>
      </c>
      <c r="C1320" s="299">
        <v>30</v>
      </c>
      <c r="D1320" s="299">
        <f t="shared" si="43"/>
        <v>2</v>
      </c>
      <c r="E1320" s="299">
        <v>48</v>
      </c>
      <c r="F1320" s="430" t="s">
        <v>3504</v>
      </c>
      <c r="G1320" s="300" t="str">
        <f t="shared" si="44"/>
        <v>ChardonnayBayern</v>
      </c>
    </row>
    <row r="1321" spans="1:7" ht="12" customHeight="1">
      <c r="A1321" s="298">
        <v>36226</v>
      </c>
      <c r="B1321" s="299" t="s">
        <v>3506</v>
      </c>
      <c r="C1321" s="299">
        <v>150</v>
      </c>
      <c r="D1321" s="299">
        <f t="shared" si="43"/>
        <v>3</v>
      </c>
      <c r="E1321" s="299">
        <v>50</v>
      </c>
      <c r="F1321" s="430" t="s">
        <v>3504</v>
      </c>
      <c r="G1321" s="300" t="str">
        <f t="shared" si="44"/>
        <v>ChardonnayBayern</v>
      </c>
    </row>
    <row r="1322" spans="1:7" ht="12" customHeight="1">
      <c r="A1322" s="298">
        <v>36466</v>
      </c>
      <c r="B1322" s="299" t="s">
        <v>3506</v>
      </c>
      <c r="C1322" s="299">
        <v>50</v>
      </c>
      <c r="D1322" s="299">
        <f t="shared" si="43"/>
        <v>11</v>
      </c>
      <c r="E1322" s="299">
        <v>49</v>
      </c>
      <c r="F1322" s="430" t="s">
        <v>3504</v>
      </c>
      <c r="G1322" s="300" t="str">
        <f t="shared" si="44"/>
        <v>ChardonnayBayern</v>
      </c>
    </row>
    <row r="1323" spans="1:7" ht="12" customHeight="1">
      <c r="A1323" s="298">
        <v>36472</v>
      </c>
      <c r="B1323" s="299" t="s">
        <v>3506</v>
      </c>
      <c r="C1323" s="299">
        <v>100</v>
      </c>
      <c r="D1323" s="299">
        <f t="shared" si="43"/>
        <v>11</v>
      </c>
      <c r="E1323" s="299">
        <v>49</v>
      </c>
      <c r="F1323" s="430" t="s">
        <v>3504</v>
      </c>
      <c r="G1323" s="300" t="str">
        <f t="shared" si="44"/>
        <v>ChardonnayBayern</v>
      </c>
    </row>
    <row r="1324" spans="1:7" ht="12" customHeight="1">
      <c r="A1324" s="298">
        <v>36474</v>
      </c>
      <c r="B1324" s="299" t="s">
        <v>3506</v>
      </c>
      <c r="C1324" s="299">
        <v>90</v>
      </c>
      <c r="D1324" s="299">
        <f t="shared" si="43"/>
        <v>11</v>
      </c>
      <c r="E1324" s="299">
        <v>49</v>
      </c>
      <c r="F1324" s="430" t="s">
        <v>3504</v>
      </c>
      <c r="G1324" s="300" t="str">
        <f t="shared" si="44"/>
        <v>ChardonnayBayern</v>
      </c>
    </row>
    <row r="1325" spans="1:7" ht="12" customHeight="1">
      <c r="A1325" s="298">
        <v>36491</v>
      </c>
      <c r="B1325" s="299" t="s">
        <v>3506</v>
      </c>
      <c r="C1325" s="299">
        <v>30</v>
      </c>
      <c r="D1325" s="299">
        <f t="shared" si="43"/>
        <v>11</v>
      </c>
      <c r="E1325" s="299">
        <v>49</v>
      </c>
      <c r="F1325" s="430" t="s">
        <v>3504</v>
      </c>
      <c r="G1325" s="300" t="str">
        <f t="shared" si="44"/>
        <v>ChardonnayBayern</v>
      </c>
    </row>
    <row r="1326" spans="1:7" ht="12" customHeight="1">
      <c r="A1326" s="298">
        <v>36208</v>
      </c>
      <c r="B1326" s="299" t="s">
        <v>3506</v>
      </c>
      <c r="C1326" s="299">
        <v>240</v>
      </c>
      <c r="D1326" s="299">
        <f t="shared" si="43"/>
        <v>2</v>
      </c>
      <c r="E1326" s="299">
        <v>48</v>
      </c>
      <c r="F1326" s="430" t="s">
        <v>3501</v>
      </c>
      <c r="G1326" s="300" t="str">
        <f t="shared" si="44"/>
        <v>ChardonnayBW</v>
      </c>
    </row>
    <row r="1327" spans="1:7" ht="12" customHeight="1">
      <c r="A1327" s="298">
        <v>36213</v>
      </c>
      <c r="B1327" s="299" t="s">
        <v>3506</v>
      </c>
      <c r="C1327" s="299">
        <v>90</v>
      </c>
      <c r="D1327" s="299">
        <f t="shared" si="43"/>
        <v>2</v>
      </c>
      <c r="E1327" s="299">
        <v>53</v>
      </c>
      <c r="F1327" s="430" t="s">
        <v>3501</v>
      </c>
      <c r="G1327" s="300" t="str">
        <f t="shared" si="44"/>
        <v>ChardonnayBW</v>
      </c>
    </row>
    <row r="1328" spans="1:7" ht="12" customHeight="1">
      <c r="A1328" s="298">
        <v>36347</v>
      </c>
      <c r="B1328" s="299" t="s">
        <v>3506</v>
      </c>
      <c r="C1328" s="299">
        <v>150</v>
      </c>
      <c r="D1328" s="299">
        <f t="shared" si="43"/>
        <v>7</v>
      </c>
      <c r="E1328" s="299">
        <v>50</v>
      </c>
      <c r="F1328" s="430" t="s">
        <v>3501</v>
      </c>
      <c r="G1328" s="300" t="str">
        <f t="shared" si="44"/>
        <v>ChardonnayBW</v>
      </c>
    </row>
    <row r="1329" spans="1:7" ht="12" customHeight="1">
      <c r="A1329" s="298">
        <v>36494</v>
      </c>
      <c r="B1329" s="299" t="s">
        <v>3506</v>
      </c>
      <c r="C1329" s="299">
        <v>100</v>
      </c>
      <c r="D1329" s="299">
        <f t="shared" si="43"/>
        <v>11</v>
      </c>
      <c r="E1329" s="299">
        <v>50</v>
      </c>
      <c r="F1329" s="430" t="s">
        <v>3501</v>
      </c>
      <c r="G1329" s="300" t="str">
        <f t="shared" si="44"/>
        <v>ChardonnayBW</v>
      </c>
    </row>
    <row r="1330" spans="1:7" ht="12" customHeight="1">
      <c r="A1330" s="298">
        <v>36167</v>
      </c>
      <c r="B1330" s="299" t="s">
        <v>3506</v>
      </c>
      <c r="C1330" s="299">
        <v>180</v>
      </c>
      <c r="D1330" s="299">
        <f t="shared" si="43"/>
        <v>1</v>
      </c>
      <c r="E1330" s="299">
        <v>49</v>
      </c>
      <c r="F1330" s="430" t="s">
        <v>3503</v>
      </c>
      <c r="G1330" s="300" t="str">
        <f t="shared" si="44"/>
        <v>ChardonnayHolstein</v>
      </c>
    </row>
    <row r="1331" spans="1:7" ht="12" customHeight="1">
      <c r="A1331" s="298">
        <v>36312</v>
      </c>
      <c r="B1331" s="299" t="s">
        <v>3506</v>
      </c>
      <c r="C1331" s="299">
        <v>30</v>
      </c>
      <c r="D1331" s="299">
        <f t="shared" si="43"/>
        <v>6</v>
      </c>
      <c r="E1331" s="299">
        <v>46</v>
      </c>
      <c r="F1331" s="430" t="s">
        <v>3503</v>
      </c>
      <c r="G1331" s="300" t="str">
        <f t="shared" si="44"/>
        <v>ChardonnayHolstein</v>
      </c>
    </row>
    <row r="1332" spans="1:7" ht="12" customHeight="1">
      <c r="A1332" s="298">
        <v>36323</v>
      </c>
      <c r="B1332" s="299" t="s">
        <v>3506</v>
      </c>
      <c r="C1332" s="299">
        <v>210</v>
      </c>
      <c r="D1332" s="299">
        <f t="shared" si="43"/>
        <v>6</v>
      </c>
      <c r="E1332" s="299">
        <v>46</v>
      </c>
      <c r="F1332" s="430" t="s">
        <v>3503</v>
      </c>
      <c r="G1332" s="300" t="str">
        <f t="shared" si="44"/>
        <v>ChardonnayHolstein</v>
      </c>
    </row>
    <row r="1333" spans="1:7" ht="12" customHeight="1">
      <c r="A1333" s="298">
        <v>36335</v>
      </c>
      <c r="B1333" s="299" t="s">
        <v>3506</v>
      </c>
      <c r="C1333" s="299">
        <v>40</v>
      </c>
      <c r="D1333" s="299">
        <f t="shared" si="43"/>
        <v>6</v>
      </c>
      <c r="E1333" s="299">
        <v>46</v>
      </c>
      <c r="F1333" s="430" t="s">
        <v>3503</v>
      </c>
      <c r="G1333" s="300" t="str">
        <f t="shared" si="44"/>
        <v>ChardonnayHolstein</v>
      </c>
    </row>
    <row r="1334" spans="1:7" ht="12" customHeight="1">
      <c r="A1334" s="298">
        <v>36344</v>
      </c>
      <c r="B1334" s="299" t="s">
        <v>3506</v>
      </c>
      <c r="C1334" s="299">
        <v>20</v>
      </c>
      <c r="D1334" s="299">
        <f t="shared" si="43"/>
        <v>7</v>
      </c>
      <c r="E1334" s="299">
        <v>50</v>
      </c>
      <c r="F1334" s="430" t="s">
        <v>3503</v>
      </c>
      <c r="G1334" s="300" t="str">
        <f t="shared" si="44"/>
        <v>ChardonnayHolstein</v>
      </c>
    </row>
    <row r="1335" spans="1:7" ht="12" customHeight="1">
      <c r="A1335" s="298">
        <v>36344</v>
      </c>
      <c r="B1335" s="299" t="s">
        <v>3506</v>
      </c>
      <c r="C1335" s="299">
        <v>30</v>
      </c>
      <c r="D1335" s="299">
        <f t="shared" si="43"/>
        <v>7</v>
      </c>
      <c r="E1335" s="299">
        <v>50</v>
      </c>
      <c r="F1335" s="430" t="s">
        <v>3503</v>
      </c>
      <c r="G1335" s="300" t="str">
        <f t="shared" si="44"/>
        <v>ChardonnayHolstein</v>
      </c>
    </row>
    <row r="1336" spans="1:7" ht="12" customHeight="1">
      <c r="A1336" s="298">
        <v>36361</v>
      </c>
      <c r="B1336" s="299" t="s">
        <v>3506</v>
      </c>
      <c r="C1336" s="299">
        <v>180</v>
      </c>
      <c r="D1336" s="299">
        <f t="shared" si="43"/>
        <v>7</v>
      </c>
      <c r="E1336" s="299">
        <v>50</v>
      </c>
      <c r="F1336" s="430" t="s">
        <v>3503</v>
      </c>
      <c r="G1336" s="300" t="str">
        <f t="shared" si="44"/>
        <v>ChardonnayHolstein</v>
      </c>
    </row>
    <row r="1337" spans="1:7" ht="12" customHeight="1">
      <c r="A1337" s="298">
        <v>36483</v>
      </c>
      <c r="B1337" s="299" t="s">
        <v>3506</v>
      </c>
      <c r="C1337" s="299">
        <v>10</v>
      </c>
      <c r="D1337" s="299">
        <f t="shared" si="43"/>
        <v>11</v>
      </c>
      <c r="E1337" s="299">
        <v>50</v>
      </c>
      <c r="F1337" s="430" t="s">
        <v>3503</v>
      </c>
      <c r="G1337" s="300" t="str">
        <f t="shared" si="44"/>
        <v>ChardonnayHolstein</v>
      </c>
    </row>
    <row r="1338" spans="1:7" ht="12" customHeight="1">
      <c r="A1338" s="298">
        <v>36167</v>
      </c>
      <c r="B1338" s="299" t="s">
        <v>3506</v>
      </c>
      <c r="C1338" s="299">
        <v>90</v>
      </c>
      <c r="D1338" s="299">
        <f t="shared" si="43"/>
        <v>1</v>
      </c>
      <c r="E1338" s="299">
        <v>49</v>
      </c>
      <c r="F1338" s="430" t="s">
        <v>3497</v>
      </c>
      <c r="G1338" s="300" t="str">
        <f t="shared" si="44"/>
        <v>ChardonnayNRW</v>
      </c>
    </row>
    <row r="1339" spans="1:7" ht="12" customHeight="1">
      <c r="A1339" s="298">
        <v>36173</v>
      </c>
      <c r="B1339" s="299" t="s">
        <v>3506</v>
      </c>
      <c r="C1339" s="299">
        <v>60</v>
      </c>
      <c r="D1339" s="299">
        <f t="shared" si="43"/>
        <v>1</v>
      </c>
      <c r="E1339" s="299">
        <v>49</v>
      </c>
      <c r="F1339" s="430" t="s">
        <v>3497</v>
      </c>
      <c r="G1339" s="300" t="str">
        <f t="shared" si="44"/>
        <v>ChardonnayNRW</v>
      </c>
    </row>
    <row r="1340" spans="1:7" ht="12" customHeight="1">
      <c r="A1340" s="298">
        <v>36182</v>
      </c>
      <c r="B1340" s="299" t="s">
        <v>3506</v>
      </c>
      <c r="C1340" s="299">
        <v>60</v>
      </c>
      <c r="D1340" s="299">
        <f t="shared" si="43"/>
        <v>1</v>
      </c>
      <c r="E1340" s="299">
        <v>49</v>
      </c>
      <c r="F1340" s="430" t="s">
        <v>3497</v>
      </c>
      <c r="G1340" s="300" t="str">
        <f t="shared" si="44"/>
        <v>ChardonnayNRW</v>
      </c>
    </row>
    <row r="1341" spans="1:7" ht="12" customHeight="1">
      <c r="A1341" s="298">
        <v>36192</v>
      </c>
      <c r="B1341" s="299" t="s">
        <v>3506</v>
      </c>
      <c r="C1341" s="299">
        <v>30</v>
      </c>
      <c r="D1341" s="299">
        <f t="shared" si="43"/>
        <v>2</v>
      </c>
      <c r="E1341" s="299">
        <v>46</v>
      </c>
      <c r="F1341" s="430" t="s">
        <v>3497</v>
      </c>
      <c r="G1341" s="300" t="str">
        <f t="shared" si="44"/>
        <v>ChardonnayNRW</v>
      </c>
    </row>
    <row r="1342" spans="1:7" ht="12" customHeight="1">
      <c r="A1342" s="298">
        <v>36203</v>
      </c>
      <c r="B1342" s="299" t="s">
        <v>3506</v>
      </c>
      <c r="C1342" s="299">
        <v>30</v>
      </c>
      <c r="D1342" s="299">
        <f t="shared" si="43"/>
        <v>2</v>
      </c>
      <c r="E1342" s="299">
        <v>49</v>
      </c>
      <c r="F1342" s="430" t="s">
        <v>3497</v>
      </c>
      <c r="G1342" s="300" t="str">
        <f t="shared" si="44"/>
        <v>ChardonnayNRW</v>
      </c>
    </row>
    <row r="1343" spans="1:7" ht="12" customHeight="1">
      <c r="A1343" s="298">
        <v>36224</v>
      </c>
      <c r="B1343" s="299" t="s">
        <v>3506</v>
      </c>
      <c r="C1343" s="299">
        <v>30</v>
      </c>
      <c r="D1343" s="299">
        <f t="shared" si="43"/>
        <v>3</v>
      </c>
      <c r="E1343" s="299">
        <v>46</v>
      </c>
      <c r="F1343" s="430" t="s">
        <v>3497</v>
      </c>
      <c r="G1343" s="300" t="str">
        <f t="shared" si="44"/>
        <v>ChardonnayNRW</v>
      </c>
    </row>
    <row r="1344" spans="1:7" ht="12" customHeight="1">
      <c r="A1344" s="298">
        <v>36240</v>
      </c>
      <c r="B1344" s="299" t="s">
        <v>3506</v>
      </c>
      <c r="C1344" s="299">
        <v>80</v>
      </c>
      <c r="D1344" s="299">
        <f t="shared" si="43"/>
        <v>3</v>
      </c>
      <c r="E1344" s="299">
        <v>49</v>
      </c>
      <c r="F1344" s="430" t="s">
        <v>3497</v>
      </c>
      <c r="G1344" s="300" t="str">
        <f t="shared" si="44"/>
        <v>ChardonnayNRW</v>
      </c>
    </row>
    <row r="1345" spans="1:7" ht="12" customHeight="1">
      <c r="A1345" s="298">
        <v>36248</v>
      </c>
      <c r="B1345" s="299" t="s">
        <v>3506</v>
      </c>
      <c r="C1345" s="299">
        <v>210</v>
      </c>
      <c r="D1345" s="299">
        <f t="shared" si="43"/>
        <v>3</v>
      </c>
      <c r="E1345" s="299">
        <v>49</v>
      </c>
      <c r="F1345" s="430" t="s">
        <v>3497</v>
      </c>
      <c r="G1345" s="300" t="str">
        <f t="shared" si="44"/>
        <v>ChardonnayNRW</v>
      </c>
    </row>
    <row r="1346" spans="1:7" ht="12" customHeight="1">
      <c r="A1346" s="298">
        <v>36257</v>
      </c>
      <c r="B1346" s="299" t="s">
        <v>3506</v>
      </c>
      <c r="C1346" s="299">
        <v>10</v>
      </c>
      <c r="D1346" s="299">
        <f t="shared" si="43"/>
        <v>4</v>
      </c>
      <c r="E1346" s="299">
        <v>53</v>
      </c>
      <c r="F1346" s="430" t="s">
        <v>3497</v>
      </c>
      <c r="G1346" s="300" t="str">
        <f t="shared" si="44"/>
        <v>ChardonnayNRW</v>
      </c>
    </row>
    <row r="1347" spans="1:7" ht="12" customHeight="1">
      <c r="A1347" s="298">
        <v>36259</v>
      </c>
      <c r="B1347" s="299" t="s">
        <v>3506</v>
      </c>
      <c r="C1347" s="299">
        <v>30</v>
      </c>
      <c r="D1347" s="299">
        <f t="shared" si="43"/>
        <v>4</v>
      </c>
      <c r="E1347" s="299">
        <v>53</v>
      </c>
      <c r="F1347" s="430" t="s">
        <v>3497</v>
      </c>
      <c r="G1347" s="300" t="str">
        <f t="shared" si="44"/>
        <v>ChardonnayNRW</v>
      </c>
    </row>
    <row r="1348" spans="1:7" ht="12" customHeight="1">
      <c r="A1348" s="298">
        <v>36275</v>
      </c>
      <c r="B1348" s="299" t="s">
        <v>3506</v>
      </c>
      <c r="C1348" s="299">
        <v>240</v>
      </c>
      <c r="D1348" s="299">
        <f t="shared" si="43"/>
        <v>4</v>
      </c>
      <c r="E1348" s="299">
        <v>50</v>
      </c>
      <c r="F1348" s="430" t="s">
        <v>3497</v>
      </c>
      <c r="G1348" s="300" t="str">
        <f t="shared" si="44"/>
        <v>ChardonnayNRW</v>
      </c>
    </row>
    <row r="1349" spans="1:7" ht="12" customHeight="1">
      <c r="A1349" s="298">
        <v>36278</v>
      </c>
      <c r="B1349" s="299" t="s">
        <v>3506</v>
      </c>
      <c r="C1349" s="299">
        <v>90</v>
      </c>
      <c r="D1349" s="299">
        <f t="shared" si="43"/>
        <v>4</v>
      </c>
      <c r="E1349" s="299">
        <v>48</v>
      </c>
      <c r="F1349" s="430" t="s">
        <v>3497</v>
      </c>
      <c r="G1349" s="300" t="str">
        <f t="shared" si="44"/>
        <v>ChardonnayNRW</v>
      </c>
    </row>
    <row r="1350" spans="1:7" ht="12" customHeight="1">
      <c r="A1350" s="298">
        <v>36308</v>
      </c>
      <c r="B1350" s="299" t="s">
        <v>3506</v>
      </c>
      <c r="C1350" s="299">
        <v>20</v>
      </c>
      <c r="D1350" s="299">
        <f t="shared" ref="D1350:D1413" si="45">MONTH(A1350)</f>
        <v>5</v>
      </c>
      <c r="E1350" s="299">
        <v>53</v>
      </c>
      <c r="F1350" s="430" t="s">
        <v>3497</v>
      </c>
      <c r="G1350" s="300" t="str">
        <f t="shared" ref="G1350:G1413" si="46">B1350&amp;F1350</f>
        <v>ChardonnayNRW</v>
      </c>
    </row>
    <row r="1351" spans="1:7" ht="12" customHeight="1">
      <c r="A1351" s="298">
        <v>36314</v>
      </c>
      <c r="B1351" s="299" t="s">
        <v>3506</v>
      </c>
      <c r="C1351" s="299">
        <v>210</v>
      </c>
      <c r="D1351" s="299">
        <f t="shared" si="45"/>
        <v>6</v>
      </c>
      <c r="E1351" s="299">
        <v>49</v>
      </c>
      <c r="F1351" s="430" t="s">
        <v>3497</v>
      </c>
      <c r="G1351" s="300" t="str">
        <f t="shared" si="46"/>
        <v>ChardonnayNRW</v>
      </c>
    </row>
    <row r="1352" spans="1:7" ht="12" customHeight="1">
      <c r="A1352" s="298">
        <v>36327</v>
      </c>
      <c r="B1352" s="299" t="s">
        <v>3506</v>
      </c>
      <c r="C1352" s="299">
        <v>180</v>
      </c>
      <c r="D1352" s="299">
        <f t="shared" si="45"/>
        <v>6</v>
      </c>
      <c r="E1352" s="299">
        <v>45</v>
      </c>
      <c r="F1352" s="430" t="s">
        <v>3497</v>
      </c>
      <c r="G1352" s="300" t="str">
        <f t="shared" si="46"/>
        <v>ChardonnayNRW</v>
      </c>
    </row>
    <row r="1353" spans="1:7" ht="12" customHeight="1">
      <c r="A1353" s="298">
        <v>36347</v>
      </c>
      <c r="B1353" s="299" t="s">
        <v>3506</v>
      </c>
      <c r="C1353" s="299">
        <v>80</v>
      </c>
      <c r="D1353" s="299">
        <f t="shared" si="45"/>
        <v>7</v>
      </c>
      <c r="E1353" s="299">
        <v>46</v>
      </c>
      <c r="F1353" s="430" t="s">
        <v>3497</v>
      </c>
      <c r="G1353" s="300" t="str">
        <f t="shared" si="46"/>
        <v>ChardonnayNRW</v>
      </c>
    </row>
    <row r="1354" spans="1:7" ht="12" customHeight="1">
      <c r="A1354" s="298">
        <v>36354</v>
      </c>
      <c r="B1354" s="299" t="s">
        <v>3506</v>
      </c>
      <c r="C1354" s="299">
        <v>210</v>
      </c>
      <c r="D1354" s="299">
        <f t="shared" si="45"/>
        <v>7</v>
      </c>
      <c r="E1354" s="299">
        <v>46</v>
      </c>
      <c r="F1354" s="430" t="s">
        <v>3497</v>
      </c>
      <c r="G1354" s="300" t="str">
        <f t="shared" si="46"/>
        <v>ChardonnayNRW</v>
      </c>
    </row>
    <row r="1355" spans="1:7" ht="12" customHeight="1">
      <c r="A1355" s="298">
        <v>36365</v>
      </c>
      <c r="B1355" s="299" t="s">
        <v>3506</v>
      </c>
      <c r="C1355" s="299">
        <v>80</v>
      </c>
      <c r="D1355" s="299">
        <f t="shared" si="45"/>
        <v>7</v>
      </c>
      <c r="E1355" s="299">
        <v>49</v>
      </c>
      <c r="F1355" s="430" t="s">
        <v>3497</v>
      </c>
      <c r="G1355" s="300" t="str">
        <f t="shared" si="46"/>
        <v>ChardonnayNRW</v>
      </c>
    </row>
    <row r="1356" spans="1:7" ht="12" customHeight="1">
      <c r="A1356" s="298">
        <v>36365</v>
      </c>
      <c r="B1356" s="299" t="s">
        <v>3506</v>
      </c>
      <c r="C1356" s="299">
        <v>120</v>
      </c>
      <c r="D1356" s="299">
        <f t="shared" si="45"/>
        <v>7</v>
      </c>
      <c r="E1356" s="299">
        <v>46</v>
      </c>
      <c r="F1356" s="430" t="s">
        <v>3497</v>
      </c>
      <c r="G1356" s="300" t="str">
        <f t="shared" si="46"/>
        <v>ChardonnayNRW</v>
      </c>
    </row>
    <row r="1357" spans="1:7" ht="12" customHeight="1">
      <c r="A1357" s="298">
        <v>36365</v>
      </c>
      <c r="B1357" s="299" t="s">
        <v>3506</v>
      </c>
      <c r="C1357" s="299">
        <v>180</v>
      </c>
      <c r="D1357" s="299">
        <f t="shared" si="45"/>
        <v>7</v>
      </c>
      <c r="E1357" s="299">
        <v>51</v>
      </c>
      <c r="F1357" s="430" t="s">
        <v>3497</v>
      </c>
      <c r="G1357" s="300" t="str">
        <f t="shared" si="46"/>
        <v>ChardonnayNRW</v>
      </c>
    </row>
    <row r="1358" spans="1:7" ht="12" customHeight="1">
      <c r="A1358" s="298">
        <v>36379</v>
      </c>
      <c r="B1358" s="299" t="s">
        <v>3506</v>
      </c>
      <c r="C1358" s="299">
        <v>60</v>
      </c>
      <c r="D1358" s="299">
        <f t="shared" si="45"/>
        <v>8</v>
      </c>
      <c r="E1358" s="299">
        <v>50</v>
      </c>
      <c r="F1358" s="430" t="s">
        <v>3497</v>
      </c>
      <c r="G1358" s="300" t="str">
        <f t="shared" si="46"/>
        <v>ChardonnayNRW</v>
      </c>
    </row>
    <row r="1359" spans="1:7" ht="12" customHeight="1">
      <c r="A1359" s="298">
        <v>36379</v>
      </c>
      <c r="B1359" s="299" t="s">
        <v>3506</v>
      </c>
      <c r="C1359" s="299">
        <v>10</v>
      </c>
      <c r="D1359" s="299">
        <f t="shared" si="45"/>
        <v>8</v>
      </c>
      <c r="E1359" s="299">
        <v>50</v>
      </c>
      <c r="F1359" s="430" t="s">
        <v>3497</v>
      </c>
      <c r="G1359" s="300" t="str">
        <f t="shared" si="46"/>
        <v>ChardonnayNRW</v>
      </c>
    </row>
    <row r="1360" spans="1:7" ht="12" customHeight="1">
      <c r="A1360" s="298">
        <v>36385</v>
      </c>
      <c r="B1360" s="299" t="s">
        <v>3506</v>
      </c>
      <c r="C1360" s="299">
        <v>100</v>
      </c>
      <c r="D1360" s="299">
        <f t="shared" si="45"/>
        <v>8</v>
      </c>
      <c r="E1360" s="299">
        <v>53</v>
      </c>
      <c r="F1360" s="430" t="s">
        <v>3497</v>
      </c>
      <c r="G1360" s="300" t="str">
        <f t="shared" si="46"/>
        <v>ChardonnayNRW</v>
      </c>
    </row>
    <row r="1361" spans="1:7" ht="12" customHeight="1">
      <c r="A1361" s="298">
        <v>36397</v>
      </c>
      <c r="B1361" s="299" t="s">
        <v>3506</v>
      </c>
      <c r="C1361" s="299">
        <v>100</v>
      </c>
      <c r="D1361" s="299">
        <f t="shared" si="45"/>
        <v>8</v>
      </c>
      <c r="E1361" s="299">
        <v>54</v>
      </c>
      <c r="F1361" s="430" t="s">
        <v>3497</v>
      </c>
      <c r="G1361" s="300" t="str">
        <f t="shared" si="46"/>
        <v>ChardonnayNRW</v>
      </c>
    </row>
    <row r="1362" spans="1:7" ht="12" customHeight="1">
      <c r="A1362" s="298">
        <v>36398</v>
      </c>
      <c r="B1362" s="299" t="s">
        <v>3506</v>
      </c>
      <c r="C1362" s="299">
        <v>100</v>
      </c>
      <c r="D1362" s="299">
        <f t="shared" si="45"/>
        <v>8</v>
      </c>
      <c r="E1362" s="299">
        <v>54</v>
      </c>
      <c r="F1362" s="430" t="s">
        <v>3497</v>
      </c>
      <c r="G1362" s="300" t="str">
        <f t="shared" si="46"/>
        <v>ChardonnayNRW</v>
      </c>
    </row>
    <row r="1363" spans="1:7" ht="12" customHeight="1">
      <c r="A1363" s="298">
        <v>36405</v>
      </c>
      <c r="B1363" s="299" t="s">
        <v>3506</v>
      </c>
      <c r="C1363" s="299">
        <v>210</v>
      </c>
      <c r="D1363" s="299">
        <f t="shared" si="45"/>
        <v>9</v>
      </c>
      <c r="E1363" s="299">
        <v>53</v>
      </c>
      <c r="F1363" s="430" t="s">
        <v>3497</v>
      </c>
      <c r="G1363" s="300" t="str">
        <f t="shared" si="46"/>
        <v>ChardonnayNRW</v>
      </c>
    </row>
    <row r="1364" spans="1:7" ht="12" customHeight="1">
      <c r="A1364" s="298">
        <v>36413</v>
      </c>
      <c r="B1364" s="299" t="s">
        <v>3506</v>
      </c>
      <c r="C1364" s="299">
        <v>180</v>
      </c>
      <c r="D1364" s="299">
        <f t="shared" si="45"/>
        <v>9</v>
      </c>
      <c r="E1364" s="299">
        <v>51</v>
      </c>
      <c r="F1364" s="430" t="s">
        <v>3497</v>
      </c>
      <c r="G1364" s="300" t="str">
        <f t="shared" si="46"/>
        <v>ChardonnayNRW</v>
      </c>
    </row>
    <row r="1365" spans="1:7" ht="12" customHeight="1">
      <c r="A1365" s="298">
        <v>36421</v>
      </c>
      <c r="B1365" s="299" t="s">
        <v>3506</v>
      </c>
      <c r="C1365" s="299">
        <v>210</v>
      </c>
      <c r="D1365" s="299">
        <f t="shared" si="45"/>
        <v>9</v>
      </c>
      <c r="E1365" s="299">
        <v>53</v>
      </c>
      <c r="F1365" s="430" t="s">
        <v>3497</v>
      </c>
      <c r="G1365" s="300" t="str">
        <f t="shared" si="46"/>
        <v>ChardonnayNRW</v>
      </c>
    </row>
    <row r="1366" spans="1:7" ht="12" customHeight="1">
      <c r="A1366" s="298">
        <v>36449</v>
      </c>
      <c r="B1366" s="299" t="s">
        <v>3506</v>
      </c>
      <c r="C1366" s="299">
        <v>100</v>
      </c>
      <c r="D1366" s="299">
        <f t="shared" si="45"/>
        <v>10</v>
      </c>
      <c r="E1366" s="299">
        <v>54</v>
      </c>
      <c r="F1366" s="430" t="s">
        <v>3497</v>
      </c>
      <c r="G1366" s="300" t="str">
        <f t="shared" si="46"/>
        <v>ChardonnayNRW</v>
      </c>
    </row>
    <row r="1367" spans="1:7" ht="12" customHeight="1">
      <c r="A1367" s="298">
        <v>36462</v>
      </c>
      <c r="B1367" s="299" t="s">
        <v>3506</v>
      </c>
      <c r="C1367" s="299">
        <v>80</v>
      </c>
      <c r="D1367" s="299">
        <f t="shared" si="45"/>
        <v>10</v>
      </c>
      <c r="E1367" s="299">
        <v>54</v>
      </c>
      <c r="F1367" s="430" t="s">
        <v>3497</v>
      </c>
      <c r="G1367" s="300" t="str">
        <f t="shared" si="46"/>
        <v>ChardonnayNRW</v>
      </c>
    </row>
    <row r="1368" spans="1:7" ht="12" customHeight="1">
      <c r="A1368" s="298">
        <v>36468</v>
      </c>
      <c r="B1368" s="299" t="s">
        <v>3506</v>
      </c>
      <c r="C1368" s="299">
        <v>120</v>
      </c>
      <c r="D1368" s="299">
        <f t="shared" si="45"/>
        <v>11</v>
      </c>
      <c r="E1368" s="299">
        <v>50</v>
      </c>
      <c r="F1368" s="430" t="s">
        <v>3497</v>
      </c>
      <c r="G1368" s="300" t="str">
        <f t="shared" si="46"/>
        <v>ChardonnayNRW</v>
      </c>
    </row>
    <row r="1369" spans="1:7" ht="12" customHeight="1">
      <c r="A1369" s="298">
        <v>36473</v>
      </c>
      <c r="B1369" s="299" t="s">
        <v>3506</v>
      </c>
      <c r="C1369" s="299">
        <v>40</v>
      </c>
      <c r="D1369" s="299">
        <f t="shared" si="45"/>
        <v>11</v>
      </c>
      <c r="E1369" s="299">
        <v>54</v>
      </c>
      <c r="F1369" s="430" t="s">
        <v>3497</v>
      </c>
      <c r="G1369" s="300" t="str">
        <f t="shared" si="46"/>
        <v>ChardonnayNRW</v>
      </c>
    </row>
    <row r="1370" spans="1:7" ht="12" customHeight="1">
      <c r="A1370" s="298">
        <v>36486</v>
      </c>
      <c r="B1370" s="299" t="s">
        <v>3506</v>
      </c>
      <c r="C1370" s="299">
        <v>110</v>
      </c>
      <c r="D1370" s="299">
        <f t="shared" si="45"/>
        <v>11</v>
      </c>
      <c r="E1370" s="299">
        <v>50</v>
      </c>
      <c r="F1370" s="430" t="s">
        <v>3497</v>
      </c>
      <c r="G1370" s="300" t="str">
        <f t="shared" si="46"/>
        <v>ChardonnayNRW</v>
      </c>
    </row>
    <row r="1371" spans="1:7" ht="12" customHeight="1">
      <c r="A1371" s="298">
        <v>36507</v>
      </c>
      <c r="B1371" s="299" t="s">
        <v>3506</v>
      </c>
      <c r="C1371" s="299">
        <v>120</v>
      </c>
      <c r="D1371" s="299">
        <f t="shared" si="45"/>
        <v>12</v>
      </c>
      <c r="E1371" s="299">
        <v>49</v>
      </c>
      <c r="F1371" s="430" t="s">
        <v>3497</v>
      </c>
      <c r="G1371" s="300" t="str">
        <f t="shared" si="46"/>
        <v>ChardonnayNRW</v>
      </c>
    </row>
    <row r="1372" spans="1:7" ht="12" customHeight="1">
      <c r="A1372" s="298">
        <v>36170</v>
      </c>
      <c r="B1372" s="299" t="s">
        <v>3506</v>
      </c>
      <c r="C1372" s="299">
        <v>80</v>
      </c>
      <c r="D1372" s="299">
        <f t="shared" si="45"/>
        <v>1</v>
      </c>
      <c r="E1372" s="299">
        <v>54</v>
      </c>
      <c r="F1372" s="430" t="s">
        <v>3499</v>
      </c>
      <c r="G1372" s="300" t="str">
        <f t="shared" si="46"/>
        <v>ChardonnayPfalz</v>
      </c>
    </row>
    <row r="1373" spans="1:7" ht="12" customHeight="1">
      <c r="A1373" s="298">
        <v>36214</v>
      </c>
      <c r="B1373" s="299" t="s">
        <v>3506</v>
      </c>
      <c r="C1373" s="299">
        <v>180</v>
      </c>
      <c r="D1373" s="299">
        <f t="shared" si="45"/>
        <v>2</v>
      </c>
      <c r="E1373" s="299">
        <v>46</v>
      </c>
      <c r="F1373" s="430" t="s">
        <v>3499</v>
      </c>
      <c r="G1373" s="300" t="str">
        <f t="shared" si="46"/>
        <v>ChardonnayPfalz</v>
      </c>
    </row>
    <row r="1374" spans="1:7" ht="12" customHeight="1">
      <c r="A1374" s="298">
        <v>36253</v>
      </c>
      <c r="B1374" s="299" t="s">
        <v>3506</v>
      </c>
      <c r="C1374" s="299">
        <v>120</v>
      </c>
      <c r="D1374" s="299">
        <f t="shared" si="45"/>
        <v>4</v>
      </c>
      <c r="E1374" s="299">
        <v>50</v>
      </c>
      <c r="F1374" s="430" t="s">
        <v>3499</v>
      </c>
      <c r="G1374" s="300" t="str">
        <f t="shared" si="46"/>
        <v>ChardonnayPfalz</v>
      </c>
    </row>
    <row r="1375" spans="1:7" ht="12" customHeight="1">
      <c r="A1375" s="298">
        <v>36256</v>
      </c>
      <c r="B1375" s="299" t="s">
        <v>3506</v>
      </c>
      <c r="C1375" s="299">
        <v>150</v>
      </c>
      <c r="D1375" s="299">
        <f t="shared" si="45"/>
        <v>4</v>
      </c>
      <c r="E1375" s="299">
        <v>46</v>
      </c>
      <c r="F1375" s="430" t="s">
        <v>3499</v>
      </c>
      <c r="G1375" s="300" t="str">
        <f t="shared" si="46"/>
        <v>ChardonnayPfalz</v>
      </c>
    </row>
    <row r="1376" spans="1:7" ht="12" customHeight="1">
      <c r="A1376" s="298">
        <v>36266</v>
      </c>
      <c r="B1376" s="299" t="s">
        <v>3506</v>
      </c>
      <c r="C1376" s="299">
        <v>30</v>
      </c>
      <c r="D1376" s="299">
        <f t="shared" si="45"/>
        <v>4</v>
      </c>
      <c r="E1376" s="299">
        <v>46</v>
      </c>
      <c r="F1376" s="430" t="s">
        <v>3499</v>
      </c>
      <c r="G1376" s="300" t="str">
        <f t="shared" si="46"/>
        <v>ChardonnayPfalz</v>
      </c>
    </row>
    <row r="1377" spans="1:7" ht="12" customHeight="1">
      <c r="A1377" s="298">
        <v>36275</v>
      </c>
      <c r="B1377" s="299" t="s">
        <v>3506</v>
      </c>
      <c r="C1377" s="299">
        <v>70</v>
      </c>
      <c r="D1377" s="299">
        <f t="shared" si="45"/>
        <v>4</v>
      </c>
      <c r="E1377" s="299">
        <v>46</v>
      </c>
      <c r="F1377" s="430" t="s">
        <v>3499</v>
      </c>
      <c r="G1377" s="300" t="str">
        <f t="shared" si="46"/>
        <v>ChardonnayPfalz</v>
      </c>
    </row>
    <row r="1378" spans="1:7" ht="12" customHeight="1">
      <c r="A1378" s="298">
        <v>36290</v>
      </c>
      <c r="B1378" s="299" t="s">
        <v>3506</v>
      </c>
      <c r="C1378" s="299">
        <v>80</v>
      </c>
      <c r="D1378" s="299">
        <f t="shared" si="45"/>
        <v>5</v>
      </c>
      <c r="E1378" s="299">
        <v>46</v>
      </c>
      <c r="F1378" s="430" t="s">
        <v>3499</v>
      </c>
      <c r="G1378" s="300" t="str">
        <f t="shared" si="46"/>
        <v>ChardonnayPfalz</v>
      </c>
    </row>
    <row r="1379" spans="1:7" ht="12" customHeight="1">
      <c r="A1379" s="298">
        <v>36301</v>
      </c>
      <c r="B1379" s="299" t="s">
        <v>3506</v>
      </c>
      <c r="C1379" s="299">
        <v>10</v>
      </c>
      <c r="D1379" s="299">
        <f t="shared" si="45"/>
        <v>5</v>
      </c>
      <c r="E1379" s="299">
        <v>50</v>
      </c>
      <c r="F1379" s="430" t="s">
        <v>3499</v>
      </c>
      <c r="G1379" s="300" t="str">
        <f t="shared" si="46"/>
        <v>ChardonnayPfalz</v>
      </c>
    </row>
    <row r="1380" spans="1:7" ht="12" customHeight="1">
      <c r="A1380" s="298">
        <v>36305</v>
      </c>
      <c r="B1380" s="299" t="s">
        <v>3506</v>
      </c>
      <c r="C1380" s="299">
        <v>80</v>
      </c>
      <c r="D1380" s="299">
        <f t="shared" si="45"/>
        <v>5</v>
      </c>
      <c r="E1380" s="299">
        <v>46</v>
      </c>
      <c r="F1380" s="430" t="s">
        <v>3499</v>
      </c>
      <c r="G1380" s="300" t="str">
        <f t="shared" si="46"/>
        <v>ChardonnayPfalz</v>
      </c>
    </row>
    <row r="1381" spans="1:7" ht="12" customHeight="1">
      <c r="A1381" s="298">
        <v>36310</v>
      </c>
      <c r="B1381" s="299" t="s">
        <v>3506</v>
      </c>
      <c r="C1381" s="299">
        <v>10</v>
      </c>
      <c r="D1381" s="299">
        <f t="shared" si="45"/>
        <v>5</v>
      </c>
      <c r="E1381" s="299">
        <v>54</v>
      </c>
      <c r="F1381" s="430" t="s">
        <v>3499</v>
      </c>
      <c r="G1381" s="300" t="str">
        <f t="shared" si="46"/>
        <v>ChardonnayPfalz</v>
      </c>
    </row>
    <row r="1382" spans="1:7" ht="12" customHeight="1">
      <c r="A1382" s="298">
        <v>36342</v>
      </c>
      <c r="B1382" s="299" t="s">
        <v>3506</v>
      </c>
      <c r="C1382" s="299">
        <v>50</v>
      </c>
      <c r="D1382" s="299">
        <f t="shared" si="45"/>
        <v>7</v>
      </c>
      <c r="E1382" s="299">
        <v>54</v>
      </c>
      <c r="F1382" s="430" t="s">
        <v>3499</v>
      </c>
      <c r="G1382" s="300" t="str">
        <f t="shared" si="46"/>
        <v>ChardonnayPfalz</v>
      </c>
    </row>
    <row r="1383" spans="1:7" ht="12" customHeight="1">
      <c r="A1383" s="298">
        <v>36344</v>
      </c>
      <c r="B1383" s="299" t="s">
        <v>3506</v>
      </c>
      <c r="C1383" s="299">
        <v>100</v>
      </c>
      <c r="D1383" s="299">
        <f t="shared" si="45"/>
        <v>7</v>
      </c>
      <c r="E1383" s="299">
        <v>54</v>
      </c>
      <c r="F1383" s="430" t="s">
        <v>3499</v>
      </c>
      <c r="G1383" s="300" t="str">
        <f t="shared" si="46"/>
        <v>ChardonnayPfalz</v>
      </c>
    </row>
    <row r="1384" spans="1:7" ht="12" customHeight="1">
      <c r="A1384" s="298">
        <v>36352</v>
      </c>
      <c r="B1384" s="299" t="s">
        <v>3506</v>
      </c>
      <c r="C1384" s="299">
        <v>90</v>
      </c>
      <c r="D1384" s="299">
        <f t="shared" si="45"/>
        <v>7</v>
      </c>
      <c r="E1384" s="299">
        <v>54</v>
      </c>
      <c r="F1384" s="430" t="s">
        <v>3499</v>
      </c>
      <c r="G1384" s="300" t="str">
        <f t="shared" si="46"/>
        <v>ChardonnayPfalz</v>
      </c>
    </row>
    <row r="1385" spans="1:7" ht="12" customHeight="1">
      <c r="A1385" s="298">
        <v>36379</v>
      </c>
      <c r="B1385" s="299" t="s">
        <v>3506</v>
      </c>
      <c r="C1385" s="299">
        <v>60</v>
      </c>
      <c r="D1385" s="299">
        <f t="shared" si="45"/>
        <v>8</v>
      </c>
      <c r="E1385" s="299">
        <v>46</v>
      </c>
      <c r="F1385" s="430" t="s">
        <v>3499</v>
      </c>
      <c r="G1385" s="300" t="str">
        <f t="shared" si="46"/>
        <v>ChardonnayPfalz</v>
      </c>
    </row>
    <row r="1386" spans="1:7" ht="12" customHeight="1">
      <c r="A1386" s="298">
        <v>36389</v>
      </c>
      <c r="B1386" s="299" t="s">
        <v>3506</v>
      </c>
      <c r="C1386" s="299">
        <v>110</v>
      </c>
      <c r="D1386" s="299">
        <f t="shared" si="45"/>
        <v>8</v>
      </c>
      <c r="E1386" s="299">
        <v>46</v>
      </c>
      <c r="F1386" s="430" t="s">
        <v>3499</v>
      </c>
      <c r="G1386" s="300" t="str">
        <f t="shared" si="46"/>
        <v>ChardonnayPfalz</v>
      </c>
    </row>
    <row r="1387" spans="1:7" ht="12" customHeight="1">
      <c r="A1387" s="298">
        <v>36397</v>
      </c>
      <c r="B1387" s="299" t="s">
        <v>3506</v>
      </c>
      <c r="C1387" s="299">
        <v>120</v>
      </c>
      <c r="D1387" s="299">
        <f t="shared" si="45"/>
        <v>8</v>
      </c>
      <c r="E1387" s="299">
        <v>46</v>
      </c>
      <c r="F1387" s="430" t="s">
        <v>3499</v>
      </c>
      <c r="G1387" s="300" t="str">
        <f t="shared" si="46"/>
        <v>ChardonnayPfalz</v>
      </c>
    </row>
    <row r="1388" spans="1:7" ht="12" customHeight="1">
      <c r="A1388" s="298">
        <v>36400</v>
      </c>
      <c r="B1388" s="299" t="s">
        <v>3506</v>
      </c>
      <c r="C1388" s="299">
        <v>100</v>
      </c>
      <c r="D1388" s="299">
        <f t="shared" si="45"/>
        <v>8</v>
      </c>
      <c r="E1388" s="299">
        <v>46</v>
      </c>
      <c r="F1388" s="430" t="s">
        <v>3499</v>
      </c>
      <c r="G1388" s="300" t="str">
        <f t="shared" si="46"/>
        <v>ChardonnayPfalz</v>
      </c>
    </row>
    <row r="1389" spans="1:7" ht="12" customHeight="1">
      <c r="A1389" s="298">
        <v>36400</v>
      </c>
      <c r="B1389" s="299" t="s">
        <v>3506</v>
      </c>
      <c r="C1389" s="299">
        <v>10</v>
      </c>
      <c r="D1389" s="299">
        <f t="shared" si="45"/>
        <v>8</v>
      </c>
      <c r="E1389" s="299">
        <v>46</v>
      </c>
      <c r="F1389" s="430" t="s">
        <v>3499</v>
      </c>
      <c r="G1389" s="300" t="str">
        <f t="shared" si="46"/>
        <v>ChardonnayPfalz</v>
      </c>
    </row>
    <row r="1390" spans="1:7" ht="12" customHeight="1">
      <c r="A1390" s="298">
        <v>36407</v>
      </c>
      <c r="B1390" s="299" t="s">
        <v>3506</v>
      </c>
      <c r="C1390" s="299">
        <v>120</v>
      </c>
      <c r="D1390" s="299">
        <f t="shared" si="45"/>
        <v>9</v>
      </c>
      <c r="E1390" s="299">
        <v>46</v>
      </c>
      <c r="F1390" s="430" t="s">
        <v>3499</v>
      </c>
      <c r="G1390" s="300" t="str">
        <f t="shared" si="46"/>
        <v>ChardonnayPfalz</v>
      </c>
    </row>
    <row r="1391" spans="1:7" ht="12" customHeight="1">
      <c r="A1391" s="298">
        <v>36466</v>
      </c>
      <c r="B1391" s="299" t="s">
        <v>3506</v>
      </c>
      <c r="C1391" s="299">
        <v>80</v>
      </c>
      <c r="D1391" s="299">
        <f t="shared" si="45"/>
        <v>11</v>
      </c>
      <c r="E1391" s="299">
        <v>46</v>
      </c>
      <c r="F1391" s="430" t="s">
        <v>3499</v>
      </c>
      <c r="G1391" s="300" t="str">
        <f t="shared" si="46"/>
        <v>ChardonnayPfalz</v>
      </c>
    </row>
    <row r="1392" spans="1:7" ht="12" customHeight="1">
      <c r="A1392" s="298">
        <v>36481</v>
      </c>
      <c r="B1392" s="299" t="s">
        <v>3506</v>
      </c>
      <c r="C1392" s="299">
        <v>80</v>
      </c>
      <c r="D1392" s="299">
        <f t="shared" si="45"/>
        <v>11</v>
      </c>
      <c r="E1392" s="299">
        <v>46</v>
      </c>
      <c r="F1392" s="430" t="s">
        <v>3499</v>
      </c>
      <c r="G1392" s="300" t="str">
        <f t="shared" si="46"/>
        <v>ChardonnayPfalz</v>
      </c>
    </row>
    <row r="1393" spans="1:7" ht="12" customHeight="1">
      <c r="A1393" s="298">
        <v>36485</v>
      </c>
      <c r="B1393" s="299" t="s">
        <v>3506</v>
      </c>
      <c r="C1393" s="299">
        <v>100</v>
      </c>
      <c r="D1393" s="299">
        <f t="shared" si="45"/>
        <v>11</v>
      </c>
      <c r="E1393" s="299">
        <v>46</v>
      </c>
      <c r="F1393" s="430" t="s">
        <v>3499</v>
      </c>
      <c r="G1393" s="300" t="str">
        <f t="shared" si="46"/>
        <v>ChardonnayPfalz</v>
      </c>
    </row>
    <row r="1394" spans="1:7" ht="12" customHeight="1">
      <c r="A1394" s="298">
        <v>36501</v>
      </c>
      <c r="B1394" s="299" t="s">
        <v>3506</v>
      </c>
      <c r="C1394" s="299">
        <v>180</v>
      </c>
      <c r="D1394" s="299">
        <f t="shared" si="45"/>
        <v>12</v>
      </c>
      <c r="E1394" s="299">
        <v>52</v>
      </c>
      <c r="F1394" s="430" t="s">
        <v>3499</v>
      </c>
      <c r="G1394" s="300" t="str">
        <f t="shared" si="46"/>
        <v>ChardonnayPfalz</v>
      </c>
    </row>
    <row r="1395" spans="1:7" ht="12" customHeight="1">
      <c r="A1395" s="298">
        <v>36503</v>
      </c>
      <c r="B1395" s="299" t="s">
        <v>3506</v>
      </c>
      <c r="C1395" s="299">
        <v>90</v>
      </c>
      <c r="D1395" s="299">
        <f t="shared" si="45"/>
        <v>12</v>
      </c>
      <c r="E1395" s="299">
        <v>50</v>
      </c>
      <c r="F1395" s="430" t="s">
        <v>3499</v>
      </c>
      <c r="G1395" s="300" t="str">
        <f t="shared" si="46"/>
        <v>ChardonnayPfalz</v>
      </c>
    </row>
    <row r="1396" spans="1:7" ht="12" customHeight="1">
      <c r="A1396" s="298">
        <v>36509</v>
      </c>
      <c r="B1396" s="299" t="s">
        <v>3506</v>
      </c>
      <c r="C1396" s="299">
        <v>110</v>
      </c>
      <c r="D1396" s="299">
        <f t="shared" si="45"/>
        <v>12</v>
      </c>
      <c r="E1396" s="299">
        <v>52</v>
      </c>
      <c r="F1396" s="430" t="s">
        <v>3499</v>
      </c>
      <c r="G1396" s="300" t="str">
        <f t="shared" si="46"/>
        <v>ChardonnayPfalz</v>
      </c>
    </row>
    <row r="1397" spans="1:7" ht="12" customHeight="1">
      <c r="A1397" s="298">
        <v>36510</v>
      </c>
      <c r="B1397" s="299" t="s">
        <v>3506</v>
      </c>
      <c r="C1397" s="299">
        <v>120</v>
      </c>
      <c r="D1397" s="299">
        <f t="shared" si="45"/>
        <v>12</v>
      </c>
      <c r="E1397" s="299">
        <v>52</v>
      </c>
      <c r="F1397" s="430" t="s">
        <v>3499</v>
      </c>
      <c r="G1397" s="300" t="str">
        <f t="shared" si="46"/>
        <v>ChardonnayPfalz</v>
      </c>
    </row>
    <row r="1398" spans="1:7" ht="12" customHeight="1">
      <c r="A1398" s="298">
        <v>36514</v>
      </c>
      <c r="B1398" s="299" t="s">
        <v>3506</v>
      </c>
      <c r="C1398" s="299">
        <v>80</v>
      </c>
      <c r="D1398" s="299">
        <f t="shared" si="45"/>
        <v>12</v>
      </c>
      <c r="E1398" s="299">
        <v>46</v>
      </c>
      <c r="F1398" s="430" t="s">
        <v>3499</v>
      </c>
      <c r="G1398" s="300" t="str">
        <f t="shared" si="46"/>
        <v>ChardonnayPfalz</v>
      </c>
    </row>
    <row r="1399" spans="1:7" ht="12" customHeight="1">
      <c r="A1399" s="298">
        <v>36184</v>
      </c>
      <c r="B1399" s="299" t="s">
        <v>3506</v>
      </c>
      <c r="C1399" s="299">
        <v>100</v>
      </c>
      <c r="D1399" s="299">
        <f t="shared" si="45"/>
        <v>1</v>
      </c>
      <c r="E1399" s="299">
        <v>48</v>
      </c>
      <c r="F1399" s="430" t="s">
        <v>3500</v>
      </c>
      <c r="G1399" s="300" t="str">
        <f t="shared" si="46"/>
        <v>ChardonnaySaarland</v>
      </c>
    </row>
    <row r="1400" spans="1:7" ht="12" customHeight="1">
      <c r="A1400" s="298">
        <v>36192</v>
      </c>
      <c r="B1400" s="299" t="s">
        <v>3506</v>
      </c>
      <c r="C1400" s="299">
        <v>110</v>
      </c>
      <c r="D1400" s="299">
        <f t="shared" si="45"/>
        <v>2</v>
      </c>
      <c r="E1400" s="299">
        <v>49</v>
      </c>
      <c r="F1400" s="430" t="s">
        <v>3500</v>
      </c>
      <c r="G1400" s="300" t="str">
        <f t="shared" si="46"/>
        <v>ChardonnaySaarland</v>
      </c>
    </row>
    <row r="1401" spans="1:7" ht="12" customHeight="1">
      <c r="A1401" s="298">
        <v>36192</v>
      </c>
      <c r="B1401" s="299" t="s">
        <v>3506</v>
      </c>
      <c r="C1401" s="299">
        <v>120</v>
      </c>
      <c r="D1401" s="299">
        <f t="shared" si="45"/>
        <v>2</v>
      </c>
      <c r="E1401" s="299">
        <v>48</v>
      </c>
      <c r="F1401" s="430" t="s">
        <v>3500</v>
      </c>
      <c r="G1401" s="300" t="str">
        <f t="shared" si="46"/>
        <v>ChardonnaySaarland</v>
      </c>
    </row>
    <row r="1402" spans="1:7" ht="12" customHeight="1">
      <c r="A1402" s="298">
        <v>36196</v>
      </c>
      <c r="B1402" s="299" t="s">
        <v>3506</v>
      </c>
      <c r="C1402" s="299">
        <v>90</v>
      </c>
      <c r="D1402" s="299">
        <f t="shared" si="45"/>
        <v>2</v>
      </c>
      <c r="E1402" s="299">
        <v>48</v>
      </c>
      <c r="F1402" s="430" t="s">
        <v>3500</v>
      </c>
      <c r="G1402" s="300" t="str">
        <f t="shared" si="46"/>
        <v>ChardonnaySaarland</v>
      </c>
    </row>
    <row r="1403" spans="1:7" ht="12" customHeight="1">
      <c r="A1403" s="298">
        <v>36198</v>
      </c>
      <c r="B1403" s="299" t="s">
        <v>3506</v>
      </c>
      <c r="C1403" s="299">
        <v>210</v>
      </c>
      <c r="D1403" s="299">
        <f t="shared" si="45"/>
        <v>2</v>
      </c>
      <c r="E1403" s="299">
        <v>50</v>
      </c>
      <c r="F1403" s="430" t="s">
        <v>3500</v>
      </c>
      <c r="G1403" s="300" t="str">
        <f t="shared" si="46"/>
        <v>ChardonnaySaarland</v>
      </c>
    </row>
    <row r="1404" spans="1:7" ht="12" customHeight="1">
      <c r="A1404" s="298">
        <v>36198</v>
      </c>
      <c r="B1404" s="299" t="s">
        <v>3506</v>
      </c>
      <c r="C1404" s="299">
        <v>100</v>
      </c>
      <c r="D1404" s="299">
        <f t="shared" si="45"/>
        <v>2</v>
      </c>
      <c r="E1404" s="299">
        <v>48</v>
      </c>
      <c r="F1404" s="430" t="s">
        <v>3500</v>
      </c>
      <c r="G1404" s="300" t="str">
        <f t="shared" si="46"/>
        <v>ChardonnaySaarland</v>
      </c>
    </row>
    <row r="1405" spans="1:7" ht="12" customHeight="1">
      <c r="A1405" s="298">
        <v>36207</v>
      </c>
      <c r="B1405" s="299" t="s">
        <v>3506</v>
      </c>
      <c r="C1405" s="299">
        <v>10</v>
      </c>
      <c r="D1405" s="299">
        <f t="shared" si="45"/>
        <v>2</v>
      </c>
      <c r="E1405" s="299">
        <v>54</v>
      </c>
      <c r="F1405" s="430" t="s">
        <v>3500</v>
      </c>
      <c r="G1405" s="300" t="str">
        <f t="shared" si="46"/>
        <v>ChardonnaySaarland</v>
      </c>
    </row>
    <row r="1406" spans="1:7" ht="12" customHeight="1">
      <c r="A1406" s="298">
        <v>36214</v>
      </c>
      <c r="B1406" s="299" t="s">
        <v>3506</v>
      </c>
      <c r="C1406" s="299">
        <v>210</v>
      </c>
      <c r="D1406" s="299">
        <f t="shared" si="45"/>
        <v>2</v>
      </c>
      <c r="E1406" s="299">
        <v>48</v>
      </c>
      <c r="F1406" s="430" t="s">
        <v>3500</v>
      </c>
      <c r="G1406" s="300" t="str">
        <f t="shared" si="46"/>
        <v>ChardonnaySaarland</v>
      </c>
    </row>
    <row r="1407" spans="1:7" ht="12" customHeight="1">
      <c r="A1407" s="298">
        <v>36215</v>
      </c>
      <c r="B1407" s="299" t="s">
        <v>3506</v>
      </c>
      <c r="C1407" s="299">
        <v>120</v>
      </c>
      <c r="D1407" s="299">
        <f t="shared" si="45"/>
        <v>2</v>
      </c>
      <c r="E1407" s="299">
        <v>54</v>
      </c>
      <c r="F1407" s="430" t="s">
        <v>3500</v>
      </c>
      <c r="G1407" s="300" t="str">
        <f t="shared" si="46"/>
        <v>ChardonnaySaarland</v>
      </c>
    </row>
    <row r="1408" spans="1:7" ht="12" customHeight="1">
      <c r="A1408" s="298">
        <v>36220</v>
      </c>
      <c r="B1408" s="299" t="s">
        <v>3506</v>
      </c>
      <c r="C1408" s="299">
        <v>90</v>
      </c>
      <c r="D1408" s="299">
        <f t="shared" si="45"/>
        <v>3</v>
      </c>
      <c r="E1408" s="299">
        <v>51</v>
      </c>
      <c r="F1408" s="430" t="s">
        <v>3500</v>
      </c>
      <c r="G1408" s="300" t="str">
        <f t="shared" si="46"/>
        <v>ChardonnaySaarland</v>
      </c>
    </row>
    <row r="1409" spans="1:7" ht="12" customHeight="1">
      <c r="A1409" s="298">
        <v>36221</v>
      </c>
      <c r="B1409" s="299" t="s">
        <v>3506</v>
      </c>
      <c r="C1409" s="299">
        <v>90</v>
      </c>
      <c r="D1409" s="299">
        <f t="shared" si="45"/>
        <v>3</v>
      </c>
      <c r="E1409" s="299">
        <v>49</v>
      </c>
      <c r="F1409" s="430" t="s">
        <v>3500</v>
      </c>
      <c r="G1409" s="300" t="str">
        <f t="shared" si="46"/>
        <v>ChardonnaySaarland</v>
      </c>
    </row>
    <row r="1410" spans="1:7" ht="12" customHeight="1">
      <c r="A1410" s="298">
        <v>36227</v>
      </c>
      <c r="B1410" s="299" t="s">
        <v>3506</v>
      </c>
      <c r="C1410" s="299">
        <v>90</v>
      </c>
      <c r="D1410" s="299">
        <f t="shared" si="45"/>
        <v>3</v>
      </c>
      <c r="E1410" s="299">
        <v>53</v>
      </c>
      <c r="F1410" s="430" t="s">
        <v>3500</v>
      </c>
      <c r="G1410" s="300" t="str">
        <f t="shared" si="46"/>
        <v>ChardonnaySaarland</v>
      </c>
    </row>
    <row r="1411" spans="1:7" ht="12" customHeight="1">
      <c r="A1411" s="298">
        <v>36244</v>
      </c>
      <c r="B1411" s="299" t="s">
        <v>3506</v>
      </c>
      <c r="C1411" s="299">
        <v>80</v>
      </c>
      <c r="D1411" s="299">
        <f t="shared" si="45"/>
        <v>3</v>
      </c>
      <c r="E1411" s="299">
        <v>50</v>
      </c>
      <c r="F1411" s="430" t="s">
        <v>3500</v>
      </c>
      <c r="G1411" s="300" t="str">
        <f t="shared" si="46"/>
        <v>ChardonnaySaarland</v>
      </c>
    </row>
    <row r="1412" spans="1:7" ht="12" customHeight="1">
      <c r="A1412" s="298">
        <v>36249</v>
      </c>
      <c r="B1412" s="299" t="s">
        <v>3506</v>
      </c>
      <c r="C1412" s="299">
        <v>50</v>
      </c>
      <c r="D1412" s="299">
        <f t="shared" si="45"/>
        <v>3</v>
      </c>
      <c r="E1412" s="299">
        <v>45</v>
      </c>
      <c r="F1412" s="430" t="s">
        <v>3500</v>
      </c>
      <c r="G1412" s="300" t="str">
        <f t="shared" si="46"/>
        <v>ChardonnaySaarland</v>
      </c>
    </row>
    <row r="1413" spans="1:7" ht="12" customHeight="1">
      <c r="A1413" s="298">
        <v>36264</v>
      </c>
      <c r="B1413" s="299" t="s">
        <v>3506</v>
      </c>
      <c r="C1413" s="299">
        <v>60</v>
      </c>
      <c r="D1413" s="299">
        <f t="shared" si="45"/>
        <v>4</v>
      </c>
      <c r="E1413" s="299">
        <v>50</v>
      </c>
      <c r="F1413" s="430" t="s">
        <v>3500</v>
      </c>
      <c r="G1413" s="300" t="str">
        <f t="shared" si="46"/>
        <v>ChardonnaySaarland</v>
      </c>
    </row>
    <row r="1414" spans="1:7" ht="12" customHeight="1">
      <c r="A1414" s="298">
        <v>36266</v>
      </c>
      <c r="B1414" s="299" t="s">
        <v>3506</v>
      </c>
      <c r="C1414" s="299">
        <v>20</v>
      </c>
      <c r="D1414" s="299">
        <f t="shared" ref="D1414:D1477" si="47">MONTH(A1414)</f>
        <v>4</v>
      </c>
      <c r="E1414" s="299">
        <v>48</v>
      </c>
      <c r="F1414" s="430" t="s">
        <v>3500</v>
      </c>
      <c r="G1414" s="300" t="str">
        <f t="shared" ref="G1414:G1477" si="48">B1414&amp;F1414</f>
        <v>ChardonnaySaarland</v>
      </c>
    </row>
    <row r="1415" spans="1:7" ht="12" customHeight="1">
      <c r="A1415" s="298">
        <v>36268</v>
      </c>
      <c r="B1415" s="299" t="s">
        <v>3506</v>
      </c>
      <c r="C1415" s="299">
        <v>10</v>
      </c>
      <c r="D1415" s="299">
        <f t="shared" si="47"/>
        <v>4</v>
      </c>
      <c r="E1415" s="299">
        <v>48</v>
      </c>
      <c r="F1415" s="430" t="s">
        <v>3500</v>
      </c>
      <c r="G1415" s="300" t="str">
        <f t="shared" si="48"/>
        <v>ChardonnaySaarland</v>
      </c>
    </row>
    <row r="1416" spans="1:7" ht="12" customHeight="1">
      <c r="A1416" s="298">
        <v>36281</v>
      </c>
      <c r="B1416" s="299" t="s">
        <v>3506</v>
      </c>
      <c r="C1416" s="299">
        <v>110</v>
      </c>
      <c r="D1416" s="299">
        <f t="shared" si="47"/>
        <v>5</v>
      </c>
      <c r="E1416" s="299">
        <v>54</v>
      </c>
      <c r="F1416" s="430" t="s">
        <v>3500</v>
      </c>
      <c r="G1416" s="300" t="str">
        <f t="shared" si="48"/>
        <v>ChardonnaySaarland</v>
      </c>
    </row>
    <row r="1417" spans="1:7" ht="12" customHeight="1">
      <c r="A1417" s="298">
        <v>36283</v>
      </c>
      <c r="B1417" s="299" t="s">
        <v>3506</v>
      </c>
      <c r="C1417" s="299">
        <v>30</v>
      </c>
      <c r="D1417" s="299">
        <f t="shared" si="47"/>
        <v>5</v>
      </c>
      <c r="E1417" s="299">
        <v>48</v>
      </c>
      <c r="F1417" s="430" t="s">
        <v>3500</v>
      </c>
      <c r="G1417" s="300" t="str">
        <f t="shared" si="48"/>
        <v>ChardonnaySaarland</v>
      </c>
    </row>
    <row r="1418" spans="1:7" ht="12" customHeight="1">
      <c r="A1418" s="298">
        <v>36284</v>
      </c>
      <c r="B1418" s="299" t="s">
        <v>3506</v>
      </c>
      <c r="C1418" s="299">
        <v>90</v>
      </c>
      <c r="D1418" s="299">
        <f t="shared" si="47"/>
        <v>5</v>
      </c>
      <c r="E1418" s="299">
        <v>53</v>
      </c>
      <c r="F1418" s="430" t="s">
        <v>3500</v>
      </c>
      <c r="G1418" s="300" t="str">
        <f t="shared" si="48"/>
        <v>ChardonnaySaarland</v>
      </c>
    </row>
    <row r="1419" spans="1:7" ht="12" customHeight="1">
      <c r="A1419" s="298">
        <v>36286</v>
      </c>
      <c r="B1419" s="299" t="s">
        <v>3506</v>
      </c>
      <c r="C1419" s="299">
        <v>210</v>
      </c>
      <c r="D1419" s="299">
        <f t="shared" si="47"/>
        <v>5</v>
      </c>
      <c r="E1419" s="299">
        <v>51</v>
      </c>
      <c r="F1419" s="430" t="s">
        <v>3500</v>
      </c>
      <c r="G1419" s="300" t="str">
        <f t="shared" si="48"/>
        <v>ChardonnaySaarland</v>
      </c>
    </row>
    <row r="1420" spans="1:7" ht="12" customHeight="1">
      <c r="A1420" s="298">
        <v>36287</v>
      </c>
      <c r="B1420" s="299" t="s">
        <v>3506</v>
      </c>
      <c r="C1420" s="299">
        <v>10</v>
      </c>
      <c r="D1420" s="299">
        <f t="shared" si="47"/>
        <v>5</v>
      </c>
      <c r="E1420" s="299">
        <v>50</v>
      </c>
      <c r="F1420" s="430" t="s">
        <v>3500</v>
      </c>
      <c r="G1420" s="300" t="str">
        <f t="shared" si="48"/>
        <v>ChardonnaySaarland</v>
      </c>
    </row>
    <row r="1421" spans="1:7" ht="12" customHeight="1">
      <c r="A1421" s="298">
        <v>36290</v>
      </c>
      <c r="B1421" s="299" t="s">
        <v>3506</v>
      </c>
      <c r="C1421" s="299">
        <v>210</v>
      </c>
      <c r="D1421" s="299">
        <f t="shared" si="47"/>
        <v>5</v>
      </c>
      <c r="E1421" s="299">
        <v>48</v>
      </c>
      <c r="F1421" s="430" t="s">
        <v>3500</v>
      </c>
      <c r="G1421" s="300" t="str">
        <f t="shared" si="48"/>
        <v>ChardonnaySaarland</v>
      </c>
    </row>
    <row r="1422" spans="1:7" ht="12" customHeight="1">
      <c r="A1422" s="298">
        <v>36292</v>
      </c>
      <c r="B1422" s="299" t="s">
        <v>3506</v>
      </c>
      <c r="C1422" s="299">
        <v>90</v>
      </c>
      <c r="D1422" s="299">
        <f t="shared" si="47"/>
        <v>5</v>
      </c>
      <c r="E1422" s="299">
        <v>54</v>
      </c>
      <c r="F1422" s="430" t="s">
        <v>3500</v>
      </c>
      <c r="G1422" s="300" t="str">
        <f t="shared" si="48"/>
        <v>ChardonnaySaarland</v>
      </c>
    </row>
    <row r="1423" spans="1:7" ht="12" customHeight="1">
      <c r="A1423" s="298">
        <v>36299</v>
      </c>
      <c r="B1423" s="299" t="s">
        <v>3506</v>
      </c>
      <c r="C1423" s="299">
        <v>80</v>
      </c>
      <c r="D1423" s="299">
        <f t="shared" si="47"/>
        <v>5</v>
      </c>
      <c r="E1423" s="299">
        <v>48</v>
      </c>
      <c r="F1423" s="430" t="s">
        <v>3500</v>
      </c>
      <c r="G1423" s="300" t="str">
        <f t="shared" si="48"/>
        <v>ChardonnaySaarland</v>
      </c>
    </row>
    <row r="1424" spans="1:7" ht="12" customHeight="1">
      <c r="A1424" s="298">
        <v>36299</v>
      </c>
      <c r="B1424" s="299" t="s">
        <v>3506</v>
      </c>
      <c r="C1424" s="299">
        <v>120</v>
      </c>
      <c r="D1424" s="299">
        <f t="shared" si="47"/>
        <v>5</v>
      </c>
      <c r="E1424" s="299">
        <v>45</v>
      </c>
      <c r="F1424" s="430" t="s">
        <v>3500</v>
      </c>
      <c r="G1424" s="300" t="str">
        <f t="shared" si="48"/>
        <v>ChardonnaySaarland</v>
      </c>
    </row>
    <row r="1425" spans="1:7" ht="12" customHeight="1">
      <c r="A1425" s="298">
        <v>36304</v>
      </c>
      <c r="B1425" s="299" t="s">
        <v>3506</v>
      </c>
      <c r="C1425" s="299">
        <v>150</v>
      </c>
      <c r="D1425" s="299">
        <f t="shared" si="47"/>
        <v>5</v>
      </c>
      <c r="E1425" s="299">
        <v>50</v>
      </c>
      <c r="F1425" s="430" t="s">
        <v>3500</v>
      </c>
      <c r="G1425" s="300" t="str">
        <f t="shared" si="48"/>
        <v>ChardonnaySaarland</v>
      </c>
    </row>
    <row r="1426" spans="1:7" ht="12" customHeight="1">
      <c r="A1426" s="298">
        <v>36304</v>
      </c>
      <c r="B1426" s="299" t="s">
        <v>3506</v>
      </c>
      <c r="C1426" s="299">
        <v>10</v>
      </c>
      <c r="D1426" s="299">
        <f t="shared" si="47"/>
        <v>5</v>
      </c>
      <c r="E1426" s="299">
        <v>53</v>
      </c>
      <c r="F1426" s="430" t="s">
        <v>3500</v>
      </c>
      <c r="G1426" s="300" t="str">
        <f t="shared" si="48"/>
        <v>ChardonnaySaarland</v>
      </c>
    </row>
    <row r="1427" spans="1:7" ht="12" customHeight="1">
      <c r="A1427" s="298">
        <v>36312</v>
      </c>
      <c r="B1427" s="299" t="s">
        <v>3506</v>
      </c>
      <c r="C1427" s="299">
        <v>210</v>
      </c>
      <c r="D1427" s="299">
        <f t="shared" si="47"/>
        <v>6</v>
      </c>
      <c r="E1427" s="299">
        <v>48</v>
      </c>
      <c r="F1427" s="430" t="s">
        <v>3500</v>
      </c>
      <c r="G1427" s="300" t="str">
        <f t="shared" si="48"/>
        <v>ChardonnaySaarland</v>
      </c>
    </row>
    <row r="1428" spans="1:7" ht="12" customHeight="1">
      <c r="A1428" s="298">
        <v>36312</v>
      </c>
      <c r="B1428" s="299" t="s">
        <v>3506</v>
      </c>
      <c r="C1428" s="299">
        <v>100</v>
      </c>
      <c r="D1428" s="299">
        <f t="shared" si="47"/>
        <v>6</v>
      </c>
      <c r="E1428" s="299">
        <v>46</v>
      </c>
      <c r="F1428" s="430" t="s">
        <v>3500</v>
      </c>
      <c r="G1428" s="300" t="str">
        <f t="shared" si="48"/>
        <v>ChardonnaySaarland</v>
      </c>
    </row>
    <row r="1429" spans="1:7" ht="12" customHeight="1">
      <c r="A1429" s="298">
        <v>36315</v>
      </c>
      <c r="B1429" s="299" t="s">
        <v>3506</v>
      </c>
      <c r="C1429" s="299">
        <v>150</v>
      </c>
      <c r="D1429" s="299">
        <f t="shared" si="47"/>
        <v>6</v>
      </c>
      <c r="E1429" s="299">
        <v>45</v>
      </c>
      <c r="F1429" s="430" t="s">
        <v>3500</v>
      </c>
      <c r="G1429" s="300" t="str">
        <f t="shared" si="48"/>
        <v>ChardonnaySaarland</v>
      </c>
    </row>
    <row r="1430" spans="1:7" ht="12" customHeight="1">
      <c r="A1430" s="298">
        <v>36315</v>
      </c>
      <c r="B1430" s="299" t="s">
        <v>3506</v>
      </c>
      <c r="C1430" s="299">
        <v>80</v>
      </c>
      <c r="D1430" s="299">
        <f t="shared" si="47"/>
        <v>6</v>
      </c>
      <c r="E1430" s="299">
        <v>45</v>
      </c>
      <c r="F1430" s="430" t="s">
        <v>3500</v>
      </c>
      <c r="G1430" s="300" t="str">
        <f t="shared" si="48"/>
        <v>ChardonnaySaarland</v>
      </c>
    </row>
    <row r="1431" spans="1:7" ht="12" customHeight="1">
      <c r="A1431" s="298">
        <v>36315</v>
      </c>
      <c r="B1431" s="299" t="s">
        <v>3506</v>
      </c>
      <c r="C1431" s="299">
        <v>100</v>
      </c>
      <c r="D1431" s="299">
        <f t="shared" si="47"/>
        <v>6</v>
      </c>
      <c r="E1431" s="299">
        <v>49</v>
      </c>
      <c r="F1431" s="430" t="s">
        <v>3500</v>
      </c>
      <c r="G1431" s="300" t="str">
        <f t="shared" si="48"/>
        <v>ChardonnaySaarland</v>
      </c>
    </row>
    <row r="1432" spans="1:7" ht="12" customHeight="1">
      <c r="A1432" s="298">
        <v>36316</v>
      </c>
      <c r="B1432" s="299" t="s">
        <v>3506</v>
      </c>
      <c r="C1432" s="299">
        <v>80</v>
      </c>
      <c r="D1432" s="299">
        <f t="shared" si="47"/>
        <v>6</v>
      </c>
      <c r="E1432" s="299">
        <v>49</v>
      </c>
      <c r="F1432" s="430" t="s">
        <v>3500</v>
      </c>
      <c r="G1432" s="300" t="str">
        <f t="shared" si="48"/>
        <v>ChardonnaySaarland</v>
      </c>
    </row>
    <row r="1433" spans="1:7" ht="12" customHeight="1">
      <c r="A1433" s="298">
        <v>36321</v>
      </c>
      <c r="B1433" s="299" t="s">
        <v>3506</v>
      </c>
      <c r="C1433" s="299">
        <v>10</v>
      </c>
      <c r="D1433" s="299">
        <f t="shared" si="47"/>
        <v>6</v>
      </c>
      <c r="E1433" s="299">
        <v>54</v>
      </c>
      <c r="F1433" s="430" t="s">
        <v>3500</v>
      </c>
      <c r="G1433" s="300" t="str">
        <f t="shared" si="48"/>
        <v>ChardonnaySaarland</v>
      </c>
    </row>
    <row r="1434" spans="1:7" ht="12" customHeight="1">
      <c r="A1434" s="298">
        <v>36322</v>
      </c>
      <c r="B1434" s="299" t="s">
        <v>3506</v>
      </c>
      <c r="C1434" s="299">
        <v>80</v>
      </c>
      <c r="D1434" s="299">
        <f t="shared" si="47"/>
        <v>6</v>
      </c>
      <c r="E1434" s="299">
        <v>51</v>
      </c>
      <c r="F1434" s="430" t="s">
        <v>3500</v>
      </c>
      <c r="G1434" s="300" t="str">
        <f t="shared" si="48"/>
        <v>ChardonnaySaarland</v>
      </c>
    </row>
    <row r="1435" spans="1:7" ht="12" customHeight="1">
      <c r="A1435" s="298">
        <v>36322</v>
      </c>
      <c r="B1435" s="299" t="s">
        <v>3506</v>
      </c>
      <c r="C1435" s="299">
        <v>90</v>
      </c>
      <c r="D1435" s="299">
        <f t="shared" si="47"/>
        <v>6</v>
      </c>
      <c r="E1435" s="299">
        <v>50</v>
      </c>
      <c r="F1435" s="430" t="s">
        <v>3500</v>
      </c>
      <c r="G1435" s="300" t="str">
        <f t="shared" si="48"/>
        <v>ChardonnaySaarland</v>
      </c>
    </row>
    <row r="1436" spans="1:7" ht="12" customHeight="1">
      <c r="A1436" s="298">
        <v>36324</v>
      </c>
      <c r="B1436" s="299" t="s">
        <v>3506</v>
      </c>
      <c r="C1436" s="299">
        <v>240</v>
      </c>
      <c r="D1436" s="299">
        <f t="shared" si="47"/>
        <v>6</v>
      </c>
      <c r="E1436" s="299">
        <v>46</v>
      </c>
      <c r="F1436" s="430" t="s">
        <v>3500</v>
      </c>
      <c r="G1436" s="300" t="str">
        <f t="shared" si="48"/>
        <v>ChardonnaySaarland</v>
      </c>
    </row>
    <row r="1437" spans="1:7" ht="12" customHeight="1">
      <c r="A1437" s="298">
        <v>36324</v>
      </c>
      <c r="B1437" s="299" t="s">
        <v>3506</v>
      </c>
      <c r="C1437" s="299">
        <v>180</v>
      </c>
      <c r="D1437" s="299">
        <f t="shared" si="47"/>
        <v>6</v>
      </c>
      <c r="E1437" s="299">
        <v>51</v>
      </c>
      <c r="F1437" s="430" t="s">
        <v>3500</v>
      </c>
      <c r="G1437" s="300" t="str">
        <f t="shared" si="48"/>
        <v>ChardonnaySaarland</v>
      </c>
    </row>
    <row r="1438" spans="1:7" ht="12" customHeight="1">
      <c r="A1438" s="298">
        <v>36330</v>
      </c>
      <c r="B1438" s="299" t="s">
        <v>3506</v>
      </c>
      <c r="C1438" s="299">
        <v>150</v>
      </c>
      <c r="D1438" s="299">
        <f t="shared" si="47"/>
        <v>6</v>
      </c>
      <c r="E1438" s="299">
        <v>48</v>
      </c>
      <c r="F1438" s="430" t="s">
        <v>3500</v>
      </c>
      <c r="G1438" s="300" t="str">
        <f t="shared" si="48"/>
        <v>ChardonnaySaarland</v>
      </c>
    </row>
    <row r="1439" spans="1:7" ht="12" customHeight="1">
      <c r="A1439" s="298">
        <v>36336</v>
      </c>
      <c r="B1439" s="299" t="s">
        <v>3506</v>
      </c>
      <c r="C1439" s="299">
        <v>120</v>
      </c>
      <c r="D1439" s="299">
        <f t="shared" si="47"/>
        <v>6</v>
      </c>
      <c r="E1439" s="299">
        <v>54</v>
      </c>
      <c r="F1439" s="430" t="s">
        <v>3500</v>
      </c>
      <c r="G1439" s="300" t="str">
        <f t="shared" si="48"/>
        <v>ChardonnaySaarland</v>
      </c>
    </row>
    <row r="1440" spans="1:7" ht="12" customHeight="1">
      <c r="A1440" s="298">
        <v>36337</v>
      </c>
      <c r="B1440" s="299" t="s">
        <v>3506</v>
      </c>
      <c r="C1440" s="299">
        <v>60</v>
      </c>
      <c r="D1440" s="299">
        <f t="shared" si="47"/>
        <v>6</v>
      </c>
      <c r="E1440" s="299">
        <v>54</v>
      </c>
      <c r="F1440" s="430" t="s">
        <v>3500</v>
      </c>
      <c r="G1440" s="300" t="str">
        <f t="shared" si="48"/>
        <v>ChardonnaySaarland</v>
      </c>
    </row>
    <row r="1441" spans="1:7" ht="12" customHeight="1">
      <c r="A1441" s="298">
        <v>36339</v>
      </c>
      <c r="B1441" s="299" t="s">
        <v>3506</v>
      </c>
      <c r="C1441" s="299">
        <v>180</v>
      </c>
      <c r="D1441" s="299">
        <f t="shared" si="47"/>
        <v>6</v>
      </c>
      <c r="E1441" s="299">
        <v>50</v>
      </c>
      <c r="F1441" s="430" t="s">
        <v>3500</v>
      </c>
      <c r="G1441" s="300" t="str">
        <f t="shared" si="48"/>
        <v>ChardonnaySaarland</v>
      </c>
    </row>
    <row r="1442" spans="1:7" ht="12" customHeight="1">
      <c r="A1442" s="298">
        <v>36342</v>
      </c>
      <c r="B1442" s="299" t="s">
        <v>3506</v>
      </c>
      <c r="C1442" s="299">
        <v>120</v>
      </c>
      <c r="D1442" s="299">
        <f t="shared" si="47"/>
        <v>7</v>
      </c>
      <c r="E1442" s="299">
        <v>50</v>
      </c>
      <c r="F1442" s="430" t="s">
        <v>3500</v>
      </c>
      <c r="G1442" s="300" t="str">
        <f t="shared" si="48"/>
        <v>ChardonnaySaarland</v>
      </c>
    </row>
    <row r="1443" spans="1:7" ht="12" customHeight="1">
      <c r="A1443" s="298">
        <v>36343</v>
      </c>
      <c r="B1443" s="299" t="s">
        <v>3506</v>
      </c>
      <c r="C1443" s="299">
        <v>90</v>
      </c>
      <c r="D1443" s="299">
        <f t="shared" si="47"/>
        <v>7</v>
      </c>
      <c r="E1443" s="299">
        <v>49</v>
      </c>
      <c r="F1443" s="430" t="s">
        <v>3500</v>
      </c>
      <c r="G1443" s="300" t="str">
        <f t="shared" si="48"/>
        <v>ChardonnaySaarland</v>
      </c>
    </row>
    <row r="1444" spans="1:7" ht="12" customHeight="1">
      <c r="A1444" s="298">
        <v>36343</v>
      </c>
      <c r="B1444" s="299" t="s">
        <v>3506</v>
      </c>
      <c r="C1444" s="299">
        <v>240</v>
      </c>
      <c r="D1444" s="299">
        <f t="shared" si="47"/>
        <v>7</v>
      </c>
      <c r="E1444" s="299">
        <v>46</v>
      </c>
      <c r="F1444" s="430" t="s">
        <v>3500</v>
      </c>
      <c r="G1444" s="300" t="str">
        <f t="shared" si="48"/>
        <v>ChardonnaySaarland</v>
      </c>
    </row>
    <row r="1445" spans="1:7" ht="12" customHeight="1">
      <c r="A1445" s="298">
        <v>36343</v>
      </c>
      <c r="B1445" s="299" t="s">
        <v>3506</v>
      </c>
      <c r="C1445" s="299">
        <v>120</v>
      </c>
      <c r="D1445" s="299">
        <f t="shared" si="47"/>
        <v>7</v>
      </c>
      <c r="E1445" s="299">
        <v>50</v>
      </c>
      <c r="F1445" s="430" t="s">
        <v>3500</v>
      </c>
      <c r="G1445" s="300" t="str">
        <f t="shared" si="48"/>
        <v>ChardonnaySaarland</v>
      </c>
    </row>
    <row r="1446" spans="1:7" ht="12" customHeight="1">
      <c r="A1446" s="298">
        <v>36349</v>
      </c>
      <c r="B1446" s="299" t="s">
        <v>3506</v>
      </c>
      <c r="C1446" s="299">
        <v>50</v>
      </c>
      <c r="D1446" s="299">
        <f t="shared" si="47"/>
        <v>7</v>
      </c>
      <c r="E1446" s="299">
        <v>45</v>
      </c>
      <c r="F1446" s="430" t="s">
        <v>3500</v>
      </c>
      <c r="G1446" s="300" t="str">
        <f t="shared" si="48"/>
        <v>ChardonnaySaarland</v>
      </c>
    </row>
    <row r="1447" spans="1:7" ht="12" customHeight="1">
      <c r="A1447" s="298">
        <v>36353</v>
      </c>
      <c r="B1447" s="299" t="s">
        <v>3506</v>
      </c>
      <c r="C1447" s="299">
        <v>80</v>
      </c>
      <c r="D1447" s="299">
        <f t="shared" si="47"/>
        <v>7</v>
      </c>
      <c r="E1447" s="299">
        <v>49</v>
      </c>
      <c r="F1447" s="430" t="s">
        <v>3500</v>
      </c>
      <c r="G1447" s="300" t="str">
        <f t="shared" si="48"/>
        <v>ChardonnaySaarland</v>
      </c>
    </row>
    <row r="1448" spans="1:7" ht="12" customHeight="1">
      <c r="A1448" s="298">
        <v>36355</v>
      </c>
      <c r="B1448" s="299" t="s">
        <v>3506</v>
      </c>
      <c r="C1448" s="299">
        <v>80</v>
      </c>
      <c r="D1448" s="299">
        <f t="shared" si="47"/>
        <v>7</v>
      </c>
      <c r="E1448" s="299">
        <v>49</v>
      </c>
      <c r="F1448" s="430" t="s">
        <v>3500</v>
      </c>
      <c r="G1448" s="300" t="str">
        <f t="shared" si="48"/>
        <v>ChardonnaySaarland</v>
      </c>
    </row>
    <row r="1449" spans="1:7" ht="12" customHeight="1">
      <c r="A1449" s="298">
        <v>36355</v>
      </c>
      <c r="B1449" s="299" t="s">
        <v>3506</v>
      </c>
      <c r="C1449" s="299">
        <v>80</v>
      </c>
      <c r="D1449" s="299">
        <f t="shared" si="47"/>
        <v>7</v>
      </c>
      <c r="E1449" s="299">
        <v>49</v>
      </c>
      <c r="F1449" s="430" t="s">
        <v>3500</v>
      </c>
      <c r="G1449" s="300" t="str">
        <f t="shared" si="48"/>
        <v>ChardonnaySaarland</v>
      </c>
    </row>
    <row r="1450" spans="1:7" ht="12" customHeight="1">
      <c r="A1450" s="298">
        <v>36357</v>
      </c>
      <c r="B1450" s="299" t="s">
        <v>3506</v>
      </c>
      <c r="C1450" s="299">
        <v>210</v>
      </c>
      <c r="D1450" s="299">
        <f t="shared" si="47"/>
        <v>7</v>
      </c>
      <c r="E1450" s="299">
        <v>45</v>
      </c>
      <c r="F1450" s="430" t="s">
        <v>3500</v>
      </c>
      <c r="G1450" s="300" t="str">
        <f t="shared" si="48"/>
        <v>ChardonnaySaarland</v>
      </c>
    </row>
    <row r="1451" spans="1:7" ht="12" customHeight="1">
      <c r="A1451" s="298">
        <v>36363</v>
      </c>
      <c r="B1451" s="299" t="s">
        <v>3506</v>
      </c>
      <c r="C1451" s="299">
        <v>240</v>
      </c>
      <c r="D1451" s="299">
        <f t="shared" si="47"/>
        <v>7</v>
      </c>
      <c r="E1451" s="299">
        <v>50</v>
      </c>
      <c r="F1451" s="430" t="s">
        <v>3500</v>
      </c>
      <c r="G1451" s="300" t="str">
        <f t="shared" si="48"/>
        <v>ChardonnaySaarland</v>
      </c>
    </row>
    <row r="1452" spans="1:7" ht="12" customHeight="1">
      <c r="A1452" s="298">
        <v>36366</v>
      </c>
      <c r="B1452" s="299" t="s">
        <v>3506</v>
      </c>
      <c r="C1452" s="299">
        <v>90</v>
      </c>
      <c r="D1452" s="299">
        <f t="shared" si="47"/>
        <v>7</v>
      </c>
      <c r="E1452" s="299">
        <v>53</v>
      </c>
      <c r="F1452" s="430" t="s">
        <v>3500</v>
      </c>
      <c r="G1452" s="300" t="str">
        <f t="shared" si="48"/>
        <v>ChardonnaySaarland</v>
      </c>
    </row>
    <row r="1453" spans="1:7" ht="12" customHeight="1">
      <c r="A1453" s="298">
        <v>36374</v>
      </c>
      <c r="B1453" s="299" t="s">
        <v>3506</v>
      </c>
      <c r="C1453" s="299">
        <v>210</v>
      </c>
      <c r="D1453" s="299">
        <f t="shared" si="47"/>
        <v>8</v>
      </c>
      <c r="E1453" s="299">
        <v>54</v>
      </c>
      <c r="F1453" s="430" t="s">
        <v>3500</v>
      </c>
      <c r="G1453" s="300" t="str">
        <f t="shared" si="48"/>
        <v>ChardonnaySaarland</v>
      </c>
    </row>
    <row r="1454" spans="1:7" ht="12" customHeight="1">
      <c r="A1454" s="298">
        <v>36377</v>
      </c>
      <c r="B1454" s="299" t="s">
        <v>3506</v>
      </c>
      <c r="C1454" s="299">
        <v>90</v>
      </c>
      <c r="D1454" s="299">
        <f t="shared" si="47"/>
        <v>8</v>
      </c>
      <c r="E1454" s="299">
        <v>54</v>
      </c>
      <c r="F1454" s="430" t="s">
        <v>3500</v>
      </c>
      <c r="G1454" s="300" t="str">
        <f t="shared" si="48"/>
        <v>ChardonnaySaarland</v>
      </c>
    </row>
    <row r="1455" spans="1:7" ht="12" customHeight="1">
      <c r="A1455" s="298">
        <v>36380</v>
      </c>
      <c r="B1455" s="299" t="s">
        <v>3506</v>
      </c>
      <c r="C1455" s="299">
        <v>60</v>
      </c>
      <c r="D1455" s="299">
        <f t="shared" si="47"/>
        <v>8</v>
      </c>
      <c r="E1455" s="299">
        <v>51</v>
      </c>
      <c r="F1455" s="430" t="s">
        <v>3500</v>
      </c>
      <c r="G1455" s="300" t="str">
        <f t="shared" si="48"/>
        <v>ChardonnaySaarland</v>
      </c>
    </row>
    <row r="1456" spans="1:7" ht="12" customHeight="1">
      <c r="A1456" s="298">
        <v>36382</v>
      </c>
      <c r="B1456" s="299" t="s">
        <v>3506</v>
      </c>
      <c r="C1456" s="299">
        <v>50</v>
      </c>
      <c r="D1456" s="299">
        <f t="shared" si="47"/>
        <v>8</v>
      </c>
      <c r="E1456" s="299">
        <v>54</v>
      </c>
      <c r="F1456" s="430" t="s">
        <v>3500</v>
      </c>
      <c r="G1456" s="300" t="str">
        <f t="shared" si="48"/>
        <v>ChardonnaySaarland</v>
      </c>
    </row>
    <row r="1457" spans="1:7" ht="12" customHeight="1">
      <c r="A1457" s="298">
        <v>36382</v>
      </c>
      <c r="B1457" s="299" t="s">
        <v>3506</v>
      </c>
      <c r="C1457" s="299">
        <v>70</v>
      </c>
      <c r="D1457" s="299">
        <f t="shared" si="47"/>
        <v>8</v>
      </c>
      <c r="E1457" s="299">
        <v>51</v>
      </c>
      <c r="F1457" s="430" t="s">
        <v>3500</v>
      </c>
      <c r="G1457" s="300" t="str">
        <f t="shared" si="48"/>
        <v>ChardonnaySaarland</v>
      </c>
    </row>
    <row r="1458" spans="1:7" ht="12" customHeight="1">
      <c r="A1458" s="298">
        <v>36391</v>
      </c>
      <c r="B1458" s="299" t="s">
        <v>3506</v>
      </c>
      <c r="C1458" s="299">
        <v>100</v>
      </c>
      <c r="D1458" s="299">
        <f t="shared" si="47"/>
        <v>8</v>
      </c>
      <c r="E1458" s="299">
        <v>48</v>
      </c>
      <c r="F1458" s="430" t="s">
        <v>3500</v>
      </c>
      <c r="G1458" s="300" t="str">
        <f t="shared" si="48"/>
        <v>ChardonnaySaarland</v>
      </c>
    </row>
    <row r="1459" spans="1:7" ht="12" customHeight="1">
      <c r="A1459" s="298">
        <v>36392</v>
      </c>
      <c r="B1459" s="299" t="s">
        <v>3506</v>
      </c>
      <c r="C1459" s="299">
        <v>40</v>
      </c>
      <c r="D1459" s="299">
        <f t="shared" si="47"/>
        <v>8</v>
      </c>
      <c r="E1459" s="299">
        <v>54</v>
      </c>
      <c r="F1459" s="430" t="s">
        <v>3500</v>
      </c>
      <c r="G1459" s="300" t="str">
        <f t="shared" si="48"/>
        <v>ChardonnaySaarland</v>
      </c>
    </row>
    <row r="1460" spans="1:7" ht="12" customHeight="1">
      <c r="A1460" s="298">
        <v>36393</v>
      </c>
      <c r="B1460" s="299" t="s">
        <v>3506</v>
      </c>
      <c r="C1460" s="299">
        <v>80</v>
      </c>
      <c r="D1460" s="299">
        <f t="shared" si="47"/>
        <v>8</v>
      </c>
      <c r="E1460" s="299">
        <v>54</v>
      </c>
      <c r="F1460" s="430" t="s">
        <v>3500</v>
      </c>
      <c r="G1460" s="300" t="str">
        <f t="shared" si="48"/>
        <v>ChardonnaySaarland</v>
      </c>
    </row>
    <row r="1461" spans="1:7" ht="12" customHeight="1">
      <c r="A1461" s="298">
        <v>36394</v>
      </c>
      <c r="B1461" s="299" t="s">
        <v>3506</v>
      </c>
      <c r="C1461" s="299">
        <v>150</v>
      </c>
      <c r="D1461" s="299">
        <f t="shared" si="47"/>
        <v>8</v>
      </c>
      <c r="E1461" s="299">
        <v>54</v>
      </c>
      <c r="F1461" s="430" t="s">
        <v>3500</v>
      </c>
      <c r="G1461" s="300" t="str">
        <f t="shared" si="48"/>
        <v>ChardonnaySaarland</v>
      </c>
    </row>
    <row r="1462" spans="1:7" ht="12" customHeight="1">
      <c r="A1462" s="298">
        <v>36398</v>
      </c>
      <c r="B1462" s="299" t="s">
        <v>3506</v>
      </c>
      <c r="C1462" s="299">
        <v>240</v>
      </c>
      <c r="D1462" s="299">
        <f t="shared" si="47"/>
        <v>8</v>
      </c>
      <c r="E1462" s="299">
        <v>50</v>
      </c>
      <c r="F1462" s="430" t="s">
        <v>3500</v>
      </c>
      <c r="G1462" s="300" t="str">
        <f t="shared" si="48"/>
        <v>ChardonnaySaarland</v>
      </c>
    </row>
    <row r="1463" spans="1:7" ht="12" customHeight="1">
      <c r="A1463" s="298">
        <v>36404</v>
      </c>
      <c r="B1463" s="299" t="s">
        <v>3506</v>
      </c>
      <c r="C1463" s="299">
        <v>90</v>
      </c>
      <c r="D1463" s="299">
        <f t="shared" si="47"/>
        <v>9</v>
      </c>
      <c r="E1463" s="299">
        <v>45</v>
      </c>
      <c r="F1463" s="430" t="s">
        <v>3500</v>
      </c>
      <c r="G1463" s="300" t="str">
        <f t="shared" si="48"/>
        <v>ChardonnaySaarland</v>
      </c>
    </row>
    <row r="1464" spans="1:7" ht="12" customHeight="1">
      <c r="A1464" s="298">
        <v>36406</v>
      </c>
      <c r="B1464" s="299" t="s">
        <v>3506</v>
      </c>
      <c r="C1464" s="299">
        <v>100</v>
      </c>
      <c r="D1464" s="299">
        <f t="shared" si="47"/>
        <v>9</v>
      </c>
      <c r="E1464" s="299">
        <v>45</v>
      </c>
      <c r="F1464" s="430" t="s">
        <v>3500</v>
      </c>
      <c r="G1464" s="300" t="str">
        <f t="shared" si="48"/>
        <v>ChardonnaySaarland</v>
      </c>
    </row>
    <row r="1465" spans="1:7" ht="12" customHeight="1">
      <c r="A1465" s="298">
        <v>36406</v>
      </c>
      <c r="B1465" s="299" t="s">
        <v>3506</v>
      </c>
      <c r="C1465" s="299">
        <v>20</v>
      </c>
      <c r="D1465" s="299">
        <f t="shared" si="47"/>
        <v>9</v>
      </c>
      <c r="E1465" s="299">
        <v>45</v>
      </c>
      <c r="F1465" s="430" t="s">
        <v>3500</v>
      </c>
      <c r="G1465" s="300" t="str">
        <f t="shared" si="48"/>
        <v>ChardonnaySaarland</v>
      </c>
    </row>
    <row r="1466" spans="1:7" ht="12" customHeight="1">
      <c r="A1466" s="298">
        <v>36415</v>
      </c>
      <c r="B1466" s="299" t="s">
        <v>3506</v>
      </c>
      <c r="C1466" s="299">
        <v>150</v>
      </c>
      <c r="D1466" s="299">
        <f t="shared" si="47"/>
        <v>9</v>
      </c>
      <c r="E1466" s="299">
        <v>49</v>
      </c>
      <c r="F1466" s="430" t="s">
        <v>3500</v>
      </c>
      <c r="G1466" s="300" t="str">
        <f t="shared" si="48"/>
        <v>ChardonnaySaarland</v>
      </c>
    </row>
    <row r="1467" spans="1:7" ht="12" customHeight="1">
      <c r="A1467" s="298">
        <v>36420</v>
      </c>
      <c r="B1467" s="299" t="s">
        <v>3506</v>
      </c>
      <c r="C1467" s="299">
        <v>120</v>
      </c>
      <c r="D1467" s="299">
        <f t="shared" si="47"/>
        <v>9</v>
      </c>
      <c r="E1467" s="299">
        <v>46</v>
      </c>
      <c r="F1467" s="430" t="s">
        <v>3500</v>
      </c>
      <c r="G1467" s="300" t="str">
        <f t="shared" si="48"/>
        <v>ChardonnaySaarland</v>
      </c>
    </row>
    <row r="1468" spans="1:7" ht="12" customHeight="1">
      <c r="A1468" s="298">
        <v>36424</v>
      </c>
      <c r="B1468" s="299" t="s">
        <v>3506</v>
      </c>
      <c r="C1468" s="299">
        <v>180</v>
      </c>
      <c r="D1468" s="299">
        <f t="shared" si="47"/>
        <v>9</v>
      </c>
      <c r="E1468" s="299">
        <v>50</v>
      </c>
      <c r="F1468" s="430" t="s">
        <v>3500</v>
      </c>
      <c r="G1468" s="300" t="str">
        <f t="shared" si="48"/>
        <v>ChardonnaySaarland</v>
      </c>
    </row>
    <row r="1469" spans="1:7" ht="12" customHeight="1">
      <c r="A1469" s="298">
        <v>36424</v>
      </c>
      <c r="B1469" s="299" t="s">
        <v>3506</v>
      </c>
      <c r="C1469" s="299">
        <v>180</v>
      </c>
      <c r="D1469" s="299">
        <f t="shared" si="47"/>
        <v>9</v>
      </c>
      <c r="E1469" s="299">
        <v>46</v>
      </c>
      <c r="F1469" s="430" t="s">
        <v>3500</v>
      </c>
      <c r="G1469" s="300" t="str">
        <f t="shared" si="48"/>
        <v>ChardonnaySaarland</v>
      </c>
    </row>
    <row r="1470" spans="1:7" ht="12" customHeight="1">
      <c r="A1470" s="298">
        <v>36439</v>
      </c>
      <c r="B1470" s="299" t="s">
        <v>3506</v>
      </c>
      <c r="C1470" s="299">
        <v>120</v>
      </c>
      <c r="D1470" s="299">
        <f t="shared" si="47"/>
        <v>10</v>
      </c>
      <c r="E1470" s="299">
        <v>48</v>
      </c>
      <c r="F1470" s="430" t="s">
        <v>3500</v>
      </c>
      <c r="G1470" s="300" t="str">
        <f t="shared" si="48"/>
        <v>ChardonnaySaarland</v>
      </c>
    </row>
    <row r="1471" spans="1:7" ht="12" customHeight="1">
      <c r="A1471" s="298">
        <v>36451</v>
      </c>
      <c r="B1471" s="299" t="s">
        <v>3506</v>
      </c>
      <c r="C1471" s="299">
        <v>150</v>
      </c>
      <c r="D1471" s="299">
        <f t="shared" si="47"/>
        <v>10</v>
      </c>
      <c r="E1471" s="299">
        <v>50</v>
      </c>
      <c r="F1471" s="430" t="s">
        <v>3500</v>
      </c>
      <c r="G1471" s="300" t="str">
        <f t="shared" si="48"/>
        <v>ChardonnaySaarland</v>
      </c>
    </row>
    <row r="1472" spans="1:7" ht="12" customHeight="1">
      <c r="A1472" s="298">
        <v>36457</v>
      </c>
      <c r="B1472" s="299" t="s">
        <v>3506</v>
      </c>
      <c r="C1472" s="299">
        <v>120</v>
      </c>
      <c r="D1472" s="299">
        <f t="shared" si="47"/>
        <v>10</v>
      </c>
      <c r="E1472" s="299">
        <v>48</v>
      </c>
      <c r="F1472" s="430" t="s">
        <v>3500</v>
      </c>
      <c r="G1472" s="300" t="str">
        <f t="shared" si="48"/>
        <v>ChardonnaySaarland</v>
      </c>
    </row>
    <row r="1473" spans="1:7" ht="12" customHeight="1">
      <c r="A1473" s="298">
        <v>36459</v>
      </c>
      <c r="B1473" s="299" t="s">
        <v>3506</v>
      </c>
      <c r="C1473" s="299">
        <v>60</v>
      </c>
      <c r="D1473" s="299">
        <f t="shared" si="47"/>
        <v>10</v>
      </c>
      <c r="E1473" s="299">
        <v>48</v>
      </c>
      <c r="F1473" s="430" t="s">
        <v>3500</v>
      </c>
      <c r="G1473" s="300" t="str">
        <f t="shared" si="48"/>
        <v>ChardonnaySaarland</v>
      </c>
    </row>
    <row r="1474" spans="1:7" ht="12" customHeight="1">
      <c r="A1474" s="298">
        <v>36461</v>
      </c>
      <c r="B1474" s="299" t="s">
        <v>3506</v>
      </c>
      <c r="C1474" s="299">
        <v>10</v>
      </c>
      <c r="D1474" s="299">
        <f t="shared" si="47"/>
        <v>10</v>
      </c>
      <c r="E1474" s="299">
        <v>49</v>
      </c>
      <c r="F1474" s="430" t="s">
        <v>3500</v>
      </c>
      <c r="G1474" s="300" t="str">
        <f t="shared" si="48"/>
        <v>ChardonnaySaarland</v>
      </c>
    </row>
    <row r="1475" spans="1:7" ht="12" customHeight="1">
      <c r="A1475" s="298">
        <v>36470</v>
      </c>
      <c r="B1475" s="299" t="s">
        <v>3506</v>
      </c>
      <c r="C1475" s="299">
        <v>240</v>
      </c>
      <c r="D1475" s="299">
        <f t="shared" si="47"/>
        <v>11</v>
      </c>
      <c r="E1475" s="299">
        <v>48</v>
      </c>
      <c r="F1475" s="430" t="s">
        <v>3500</v>
      </c>
      <c r="G1475" s="300" t="str">
        <f t="shared" si="48"/>
        <v>ChardonnaySaarland</v>
      </c>
    </row>
    <row r="1476" spans="1:7" ht="12" customHeight="1">
      <c r="A1476" s="298">
        <v>36475</v>
      </c>
      <c r="B1476" s="299" t="s">
        <v>3506</v>
      </c>
      <c r="C1476" s="299">
        <v>120</v>
      </c>
      <c r="D1476" s="299">
        <f t="shared" si="47"/>
        <v>11</v>
      </c>
      <c r="E1476" s="299">
        <v>48</v>
      </c>
      <c r="F1476" s="430" t="s">
        <v>3500</v>
      </c>
      <c r="G1476" s="300" t="str">
        <f t="shared" si="48"/>
        <v>ChardonnaySaarland</v>
      </c>
    </row>
    <row r="1477" spans="1:7" ht="12" customHeight="1">
      <c r="A1477" s="298">
        <v>36477</v>
      </c>
      <c r="B1477" s="299" t="s">
        <v>3506</v>
      </c>
      <c r="C1477" s="299">
        <v>80</v>
      </c>
      <c r="D1477" s="299">
        <f t="shared" si="47"/>
        <v>11</v>
      </c>
      <c r="E1477" s="299">
        <v>48</v>
      </c>
      <c r="F1477" s="430" t="s">
        <v>3500</v>
      </c>
      <c r="G1477" s="300" t="str">
        <f t="shared" si="48"/>
        <v>ChardonnaySaarland</v>
      </c>
    </row>
    <row r="1478" spans="1:7" ht="12" customHeight="1">
      <c r="A1478" s="298">
        <v>36478</v>
      </c>
      <c r="B1478" s="299" t="s">
        <v>3506</v>
      </c>
      <c r="C1478" s="299">
        <v>20</v>
      </c>
      <c r="D1478" s="299">
        <f t="shared" ref="D1478:D1541" si="49">MONTH(A1478)</f>
        <v>11</v>
      </c>
      <c r="E1478" s="299">
        <v>45</v>
      </c>
      <c r="F1478" s="430" t="s">
        <v>3500</v>
      </c>
      <c r="G1478" s="300" t="str">
        <f t="shared" ref="G1478:G1541" si="50">B1478&amp;F1478</f>
        <v>ChardonnaySaarland</v>
      </c>
    </row>
    <row r="1479" spans="1:7" ht="12" customHeight="1">
      <c r="A1479" s="298">
        <v>36505</v>
      </c>
      <c r="B1479" s="299" t="s">
        <v>3506</v>
      </c>
      <c r="C1479" s="299">
        <v>80</v>
      </c>
      <c r="D1479" s="299">
        <f t="shared" si="49"/>
        <v>12</v>
      </c>
      <c r="E1479" s="299">
        <v>48</v>
      </c>
      <c r="F1479" s="430" t="s">
        <v>3500</v>
      </c>
      <c r="G1479" s="300" t="str">
        <f t="shared" si="50"/>
        <v>ChardonnaySaarland</v>
      </c>
    </row>
    <row r="1480" spans="1:7" ht="12" customHeight="1">
      <c r="A1480" s="298">
        <v>36514</v>
      </c>
      <c r="B1480" s="299" t="s">
        <v>3506</v>
      </c>
      <c r="C1480" s="299">
        <v>90</v>
      </c>
      <c r="D1480" s="299">
        <f t="shared" si="49"/>
        <v>12</v>
      </c>
      <c r="E1480" s="299">
        <v>46</v>
      </c>
      <c r="F1480" s="430" t="s">
        <v>3500</v>
      </c>
      <c r="G1480" s="300" t="str">
        <f t="shared" si="50"/>
        <v>ChardonnaySaarland</v>
      </c>
    </row>
    <row r="1481" spans="1:7" ht="12" customHeight="1">
      <c r="A1481" s="298">
        <v>36515</v>
      </c>
      <c r="B1481" s="299" t="s">
        <v>3506</v>
      </c>
      <c r="C1481" s="299">
        <v>50</v>
      </c>
      <c r="D1481" s="299">
        <f t="shared" si="49"/>
        <v>12</v>
      </c>
      <c r="E1481" s="299">
        <v>49</v>
      </c>
      <c r="F1481" s="430" t="s">
        <v>3500</v>
      </c>
      <c r="G1481" s="300" t="str">
        <f t="shared" si="50"/>
        <v>ChardonnaySaarland</v>
      </c>
    </row>
    <row r="1482" spans="1:7" ht="12" customHeight="1">
      <c r="A1482" s="298">
        <v>36524</v>
      </c>
      <c r="B1482" s="299" t="s">
        <v>3506</v>
      </c>
      <c r="C1482" s="299">
        <v>120</v>
      </c>
      <c r="D1482" s="299">
        <f t="shared" si="49"/>
        <v>12</v>
      </c>
      <c r="E1482" s="299">
        <v>49</v>
      </c>
      <c r="F1482" s="430" t="s">
        <v>3500</v>
      </c>
      <c r="G1482" s="300" t="str">
        <f t="shared" si="50"/>
        <v>ChardonnaySaarland</v>
      </c>
    </row>
    <row r="1483" spans="1:7" ht="12" customHeight="1">
      <c r="A1483" s="298">
        <v>36219</v>
      </c>
      <c r="B1483" s="299" t="s">
        <v>3507</v>
      </c>
      <c r="C1483" s="299">
        <v>100</v>
      </c>
      <c r="D1483" s="299">
        <f t="shared" si="49"/>
        <v>2</v>
      </c>
      <c r="E1483" s="299">
        <v>48</v>
      </c>
      <c r="F1483" s="430" t="s">
        <v>3504</v>
      </c>
      <c r="G1483" s="300" t="str">
        <f t="shared" si="50"/>
        <v>ChiantiBayern</v>
      </c>
    </row>
    <row r="1484" spans="1:7" ht="12" customHeight="1">
      <c r="A1484" s="298">
        <v>36232</v>
      </c>
      <c r="B1484" s="299" t="s">
        <v>3507</v>
      </c>
      <c r="C1484" s="299">
        <v>20</v>
      </c>
      <c r="D1484" s="299">
        <f t="shared" si="49"/>
        <v>3</v>
      </c>
      <c r="E1484" s="299">
        <v>48</v>
      </c>
      <c r="F1484" s="430" t="s">
        <v>3504</v>
      </c>
      <c r="G1484" s="300" t="str">
        <f t="shared" si="50"/>
        <v>ChiantiBayern</v>
      </c>
    </row>
    <row r="1485" spans="1:7" ht="12" customHeight="1">
      <c r="A1485" s="298">
        <v>36260</v>
      </c>
      <c r="B1485" s="299" t="s">
        <v>3507</v>
      </c>
      <c r="C1485" s="299">
        <v>210</v>
      </c>
      <c r="D1485" s="299">
        <f t="shared" si="49"/>
        <v>4</v>
      </c>
      <c r="E1485" s="299">
        <v>49</v>
      </c>
      <c r="F1485" s="430" t="s">
        <v>3504</v>
      </c>
      <c r="G1485" s="300" t="str">
        <f t="shared" si="50"/>
        <v>ChiantiBayern</v>
      </c>
    </row>
    <row r="1486" spans="1:7" ht="12" customHeight="1">
      <c r="A1486" s="298">
        <v>36283</v>
      </c>
      <c r="B1486" s="299" t="s">
        <v>3507</v>
      </c>
      <c r="C1486" s="299">
        <v>80</v>
      </c>
      <c r="D1486" s="299">
        <f t="shared" si="49"/>
        <v>5</v>
      </c>
      <c r="E1486" s="299">
        <v>53</v>
      </c>
      <c r="F1486" s="430" t="s">
        <v>3504</v>
      </c>
      <c r="G1486" s="300" t="str">
        <f t="shared" si="50"/>
        <v>ChiantiBayern</v>
      </c>
    </row>
    <row r="1487" spans="1:7" ht="12" customHeight="1">
      <c r="A1487" s="298">
        <v>36291</v>
      </c>
      <c r="B1487" s="299" t="s">
        <v>3507</v>
      </c>
      <c r="C1487" s="299">
        <v>60</v>
      </c>
      <c r="D1487" s="299">
        <f t="shared" si="49"/>
        <v>5</v>
      </c>
      <c r="E1487" s="299">
        <v>50</v>
      </c>
      <c r="F1487" s="430" t="s">
        <v>3504</v>
      </c>
      <c r="G1487" s="300" t="str">
        <f t="shared" si="50"/>
        <v>ChiantiBayern</v>
      </c>
    </row>
    <row r="1488" spans="1:7" ht="12" customHeight="1">
      <c r="A1488" s="298">
        <v>36293</v>
      </c>
      <c r="B1488" s="299" t="s">
        <v>3507</v>
      </c>
      <c r="C1488" s="299">
        <v>90</v>
      </c>
      <c r="D1488" s="299">
        <f t="shared" si="49"/>
        <v>5</v>
      </c>
      <c r="E1488" s="299">
        <v>48</v>
      </c>
      <c r="F1488" s="430" t="s">
        <v>3504</v>
      </c>
      <c r="G1488" s="300" t="str">
        <f t="shared" si="50"/>
        <v>ChiantiBayern</v>
      </c>
    </row>
    <row r="1489" spans="1:7" ht="12" customHeight="1">
      <c r="A1489" s="298">
        <v>36299</v>
      </c>
      <c r="B1489" s="299" t="s">
        <v>3507</v>
      </c>
      <c r="C1489" s="299">
        <v>60</v>
      </c>
      <c r="D1489" s="299">
        <f t="shared" si="49"/>
        <v>5</v>
      </c>
      <c r="E1489" s="299">
        <v>48</v>
      </c>
      <c r="F1489" s="430" t="s">
        <v>3504</v>
      </c>
      <c r="G1489" s="300" t="str">
        <f t="shared" si="50"/>
        <v>ChiantiBayern</v>
      </c>
    </row>
    <row r="1490" spans="1:7" ht="12" customHeight="1">
      <c r="A1490" s="298">
        <v>36302</v>
      </c>
      <c r="B1490" s="299" t="s">
        <v>3507</v>
      </c>
      <c r="C1490" s="299">
        <v>60</v>
      </c>
      <c r="D1490" s="299">
        <f t="shared" si="49"/>
        <v>5</v>
      </c>
      <c r="E1490" s="299">
        <v>48</v>
      </c>
      <c r="F1490" s="430" t="s">
        <v>3504</v>
      </c>
      <c r="G1490" s="300" t="str">
        <f t="shared" si="50"/>
        <v>ChiantiBayern</v>
      </c>
    </row>
    <row r="1491" spans="1:7" ht="12" customHeight="1">
      <c r="A1491" s="298">
        <v>36303</v>
      </c>
      <c r="B1491" s="299" t="s">
        <v>3507</v>
      </c>
      <c r="C1491" s="299">
        <v>180</v>
      </c>
      <c r="D1491" s="299">
        <f t="shared" si="49"/>
        <v>5</v>
      </c>
      <c r="E1491" s="299">
        <v>53</v>
      </c>
      <c r="F1491" s="430" t="s">
        <v>3504</v>
      </c>
      <c r="G1491" s="300" t="str">
        <f t="shared" si="50"/>
        <v>ChiantiBayern</v>
      </c>
    </row>
    <row r="1492" spans="1:7" ht="12" customHeight="1">
      <c r="A1492" s="298">
        <v>36322</v>
      </c>
      <c r="B1492" s="299" t="s">
        <v>3507</v>
      </c>
      <c r="C1492" s="299">
        <v>50</v>
      </c>
      <c r="D1492" s="299">
        <f t="shared" si="49"/>
        <v>6</v>
      </c>
      <c r="E1492" s="299">
        <v>48</v>
      </c>
      <c r="F1492" s="430" t="s">
        <v>3504</v>
      </c>
      <c r="G1492" s="300" t="str">
        <f t="shared" si="50"/>
        <v>ChiantiBayern</v>
      </c>
    </row>
    <row r="1493" spans="1:7" ht="12" customHeight="1">
      <c r="A1493" s="298">
        <v>36324</v>
      </c>
      <c r="B1493" s="299" t="s">
        <v>3507</v>
      </c>
      <c r="C1493" s="299">
        <v>50</v>
      </c>
      <c r="D1493" s="299">
        <f t="shared" si="49"/>
        <v>6</v>
      </c>
      <c r="E1493" s="299">
        <v>48</v>
      </c>
      <c r="F1493" s="430" t="s">
        <v>3504</v>
      </c>
      <c r="G1493" s="300" t="str">
        <f t="shared" si="50"/>
        <v>ChiantiBayern</v>
      </c>
    </row>
    <row r="1494" spans="1:7" ht="12" customHeight="1">
      <c r="A1494" s="298">
        <v>36328</v>
      </c>
      <c r="B1494" s="299" t="s">
        <v>3507</v>
      </c>
      <c r="C1494" s="299">
        <v>150</v>
      </c>
      <c r="D1494" s="299">
        <f t="shared" si="49"/>
        <v>6</v>
      </c>
      <c r="E1494" s="299">
        <v>50</v>
      </c>
      <c r="F1494" s="430" t="s">
        <v>3504</v>
      </c>
      <c r="G1494" s="300" t="str">
        <f t="shared" si="50"/>
        <v>ChiantiBayern</v>
      </c>
    </row>
    <row r="1495" spans="1:7" ht="12" customHeight="1">
      <c r="A1495" s="298">
        <v>36337</v>
      </c>
      <c r="B1495" s="299" t="s">
        <v>3507</v>
      </c>
      <c r="C1495" s="299">
        <v>20</v>
      </c>
      <c r="D1495" s="299">
        <f t="shared" si="49"/>
        <v>6</v>
      </c>
      <c r="E1495" s="299">
        <v>54</v>
      </c>
      <c r="F1495" s="430" t="s">
        <v>3504</v>
      </c>
      <c r="G1495" s="300" t="str">
        <f t="shared" si="50"/>
        <v>ChiantiBayern</v>
      </c>
    </row>
    <row r="1496" spans="1:7" ht="12" customHeight="1">
      <c r="A1496" s="298">
        <v>36337</v>
      </c>
      <c r="B1496" s="299" t="s">
        <v>3507</v>
      </c>
      <c r="C1496" s="299">
        <v>40</v>
      </c>
      <c r="D1496" s="299">
        <f t="shared" si="49"/>
        <v>6</v>
      </c>
      <c r="E1496" s="299">
        <v>48</v>
      </c>
      <c r="F1496" s="430" t="s">
        <v>3504</v>
      </c>
      <c r="G1496" s="300" t="str">
        <f t="shared" si="50"/>
        <v>ChiantiBayern</v>
      </c>
    </row>
    <row r="1497" spans="1:7" ht="12" customHeight="1">
      <c r="A1497" s="298">
        <v>36338</v>
      </c>
      <c r="B1497" s="299" t="s">
        <v>3507</v>
      </c>
      <c r="C1497" s="299">
        <v>120</v>
      </c>
      <c r="D1497" s="299">
        <f t="shared" si="49"/>
        <v>6</v>
      </c>
      <c r="E1497" s="299">
        <v>54</v>
      </c>
      <c r="F1497" s="430" t="s">
        <v>3504</v>
      </c>
      <c r="G1497" s="300" t="str">
        <f t="shared" si="50"/>
        <v>ChiantiBayern</v>
      </c>
    </row>
    <row r="1498" spans="1:7" ht="12" customHeight="1">
      <c r="A1498" s="298">
        <v>36345</v>
      </c>
      <c r="B1498" s="299" t="s">
        <v>3507</v>
      </c>
      <c r="C1498" s="299">
        <v>120</v>
      </c>
      <c r="D1498" s="299">
        <f t="shared" si="49"/>
        <v>7</v>
      </c>
      <c r="E1498" s="299">
        <v>49</v>
      </c>
      <c r="F1498" s="430" t="s">
        <v>3504</v>
      </c>
      <c r="G1498" s="300" t="str">
        <f t="shared" si="50"/>
        <v>ChiantiBayern</v>
      </c>
    </row>
    <row r="1499" spans="1:7" ht="12" customHeight="1">
      <c r="A1499" s="298">
        <v>36358</v>
      </c>
      <c r="B1499" s="299" t="s">
        <v>3507</v>
      </c>
      <c r="C1499" s="299">
        <v>120</v>
      </c>
      <c r="D1499" s="299">
        <f t="shared" si="49"/>
        <v>7</v>
      </c>
      <c r="E1499" s="299">
        <v>54</v>
      </c>
      <c r="F1499" s="430" t="s">
        <v>3504</v>
      </c>
      <c r="G1499" s="300" t="str">
        <f t="shared" si="50"/>
        <v>ChiantiBayern</v>
      </c>
    </row>
    <row r="1500" spans="1:7" ht="12" customHeight="1">
      <c r="A1500" s="298">
        <v>36380</v>
      </c>
      <c r="B1500" s="299" t="s">
        <v>3507</v>
      </c>
      <c r="C1500" s="299">
        <v>20</v>
      </c>
      <c r="D1500" s="299">
        <f t="shared" si="49"/>
        <v>8</v>
      </c>
      <c r="E1500" s="299">
        <v>50</v>
      </c>
      <c r="F1500" s="430" t="s">
        <v>3504</v>
      </c>
      <c r="G1500" s="300" t="str">
        <f t="shared" si="50"/>
        <v>ChiantiBayern</v>
      </c>
    </row>
    <row r="1501" spans="1:7" ht="12" customHeight="1">
      <c r="A1501" s="298">
        <v>36383</v>
      </c>
      <c r="B1501" s="299" t="s">
        <v>3507</v>
      </c>
      <c r="C1501" s="299">
        <v>90</v>
      </c>
      <c r="D1501" s="299">
        <f t="shared" si="49"/>
        <v>8</v>
      </c>
      <c r="E1501" s="299">
        <v>50</v>
      </c>
      <c r="F1501" s="430" t="s">
        <v>3504</v>
      </c>
      <c r="G1501" s="300" t="str">
        <f t="shared" si="50"/>
        <v>ChiantiBayern</v>
      </c>
    </row>
    <row r="1502" spans="1:7" ht="12" customHeight="1">
      <c r="A1502" s="298">
        <v>36390</v>
      </c>
      <c r="B1502" s="299" t="s">
        <v>3507</v>
      </c>
      <c r="C1502" s="299">
        <v>50</v>
      </c>
      <c r="D1502" s="299">
        <f t="shared" si="49"/>
        <v>8</v>
      </c>
      <c r="E1502" s="299">
        <v>48</v>
      </c>
      <c r="F1502" s="430" t="s">
        <v>3504</v>
      </c>
      <c r="G1502" s="300" t="str">
        <f t="shared" si="50"/>
        <v>ChiantiBayern</v>
      </c>
    </row>
    <row r="1503" spans="1:7" ht="12" customHeight="1">
      <c r="A1503" s="298">
        <v>36392</v>
      </c>
      <c r="B1503" s="299" t="s">
        <v>3507</v>
      </c>
      <c r="C1503" s="299">
        <v>80</v>
      </c>
      <c r="D1503" s="299">
        <f t="shared" si="49"/>
        <v>8</v>
      </c>
      <c r="E1503" s="299">
        <v>48</v>
      </c>
      <c r="F1503" s="430" t="s">
        <v>3504</v>
      </c>
      <c r="G1503" s="300" t="str">
        <f t="shared" si="50"/>
        <v>ChiantiBayern</v>
      </c>
    </row>
    <row r="1504" spans="1:7" ht="12" customHeight="1">
      <c r="A1504" s="298">
        <v>36399</v>
      </c>
      <c r="B1504" s="299" t="s">
        <v>3507</v>
      </c>
      <c r="C1504" s="299">
        <v>60</v>
      </c>
      <c r="D1504" s="299">
        <f t="shared" si="49"/>
        <v>8</v>
      </c>
      <c r="E1504" s="299">
        <v>50</v>
      </c>
      <c r="F1504" s="430" t="s">
        <v>3504</v>
      </c>
      <c r="G1504" s="300" t="str">
        <f t="shared" si="50"/>
        <v>ChiantiBayern</v>
      </c>
    </row>
    <row r="1505" spans="1:7" ht="12" customHeight="1">
      <c r="A1505" s="298">
        <v>36408</v>
      </c>
      <c r="B1505" s="299" t="s">
        <v>3507</v>
      </c>
      <c r="C1505" s="299">
        <v>90</v>
      </c>
      <c r="D1505" s="299">
        <f t="shared" si="49"/>
        <v>9</v>
      </c>
      <c r="E1505" s="299">
        <v>53</v>
      </c>
      <c r="F1505" s="430" t="s">
        <v>3504</v>
      </c>
      <c r="G1505" s="300" t="str">
        <f t="shared" si="50"/>
        <v>ChiantiBayern</v>
      </c>
    </row>
    <row r="1506" spans="1:7" ht="12" customHeight="1">
      <c r="A1506" s="298">
        <v>36411</v>
      </c>
      <c r="B1506" s="299" t="s">
        <v>3507</v>
      </c>
      <c r="C1506" s="299">
        <v>70</v>
      </c>
      <c r="D1506" s="299">
        <f t="shared" si="49"/>
        <v>9</v>
      </c>
      <c r="E1506" s="299">
        <v>53</v>
      </c>
      <c r="F1506" s="430" t="s">
        <v>3504</v>
      </c>
      <c r="G1506" s="300" t="str">
        <f t="shared" si="50"/>
        <v>ChiantiBayern</v>
      </c>
    </row>
    <row r="1507" spans="1:7" ht="12" customHeight="1">
      <c r="A1507" s="298">
        <v>36437</v>
      </c>
      <c r="B1507" s="299" t="s">
        <v>3507</v>
      </c>
      <c r="C1507" s="299">
        <v>50</v>
      </c>
      <c r="D1507" s="299">
        <f t="shared" si="49"/>
        <v>10</v>
      </c>
      <c r="E1507" s="299">
        <v>48</v>
      </c>
      <c r="F1507" s="430" t="s">
        <v>3504</v>
      </c>
      <c r="G1507" s="300" t="str">
        <f t="shared" si="50"/>
        <v>ChiantiBayern</v>
      </c>
    </row>
    <row r="1508" spans="1:7" ht="12" customHeight="1">
      <c r="A1508" s="298">
        <v>36459</v>
      </c>
      <c r="B1508" s="299" t="s">
        <v>3507</v>
      </c>
      <c r="C1508" s="299">
        <v>100</v>
      </c>
      <c r="D1508" s="299">
        <f t="shared" si="49"/>
        <v>10</v>
      </c>
      <c r="E1508" s="299">
        <v>54</v>
      </c>
      <c r="F1508" s="430" t="s">
        <v>3504</v>
      </c>
      <c r="G1508" s="300" t="str">
        <f t="shared" si="50"/>
        <v>ChiantiBayern</v>
      </c>
    </row>
    <row r="1509" spans="1:7" ht="12" customHeight="1">
      <c r="A1509" s="298">
        <v>36468</v>
      </c>
      <c r="B1509" s="299" t="s">
        <v>3507</v>
      </c>
      <c r="C1509" s="299">
        <v>50</v>
      </c>
      <c r="D1509" s="299">
        <f t="shared" si="49"/>
        <v>11</v>
      </c>
      <c r="E1509" s="299">
        <v>54</v>
      </c>
      <c r="F1509" s="430" t="s">
        <v>3504</v>
      </c>
      <c r="G1509" s="300" t="str">
        <f t="shared" si="50"/>
        <v>ChiantiBayern</v>
      </c>
    </row>
    <row r="1510" spans="1:7" ht="12" customHeight="1">
      <c r="A1510" s="298">
        <v>36503</v>
      </c>
      <c r="B1510" s="299" t="s">
        <v>3507</v>
      </c>
      <c r="C1510" s="299">
        <v>50</v>
      </c>
      <c r="D1510" s="299">
        <f t="shared" si="49"/>
        <v>12</v>
      </c>
      <c r="E1510" s="299">
        <v>54</v>
      </c>
      <c r="F1510" s="430" t="s">
        <v>3504</v>
      </c>
      <c r="G1510" s="300" t="str">
        <f t="shared" si="50"/>
        <v>ChiantiBayern</v>
      </c>
    </row>
    <row r="1511" spans="1:7" ht="12" customHeight="1">
      <c r="A1511" s="298">
        <v>36520</v>
      </c>
      <c r="B1511" s="299" t="s">
        <v>3507</v>
      </c>
      <c r="C1511" s="299">
        <v>120</v>
      </c>
      <c r="D1511" s="299">
        <f t="shared" si="49"/>
        <v>12</v>
      </c>
      <c r="E1511" s="299">
        <v>49</v>
      </c>
      <c r="F1511" s="430" t="s">
        <v>3504</v>
      </c>
      <c r="G1511" s="300" t="str">
        <f t="shared" si="50"/>
        <v>ChiantiBayern</v>
      </c>
    </row>
    <row r="1512" spans="1:7" ht="12" customHeight="1">
      <c r="A1512" s="298">
        <v>36166</v>
      </c>
      <c r="B1512" s="299" t="s">
        <v>3507</v>
      </c>
      <c r="C1512" s="299">
        <v>210</v>
      </c>
      <c r="D1512" s="299">
        <f t="shared" si="49"/>
        <v>1</v>
      </c>
      <c r="E1512" s="299">
        <v>49</v>
      </c>
      <c r="F1512" s="430" t="s">
        <v>3501</v>
      </c>
      <c r="G1512" s="300" t="str">
        <f t="shared" si="50"/>
        <v>ChiantiBW</v>
      </c>
    </row>
    <row r="1513" spans="1:7" ht="12" customHeight="1">
      <c r="A1513" s="298">
        <v>36206</v>
      </c>
      <c r="B1513" s="299" t="s">
        <v>3507</v>
      </c>
      <c r="C1513" s="299">
        <v>80</v>
      </c>
      <c r="D1513" s="299">
        <f t="shared" si="49"/>
        <v>2</v>
      </c>
      <c r="E1513" s="299">
        <v>46</v>
      </c>
      <c r="F1513" s="430" t="s">
        <v>3501</v>
      </c>
      <c r="G1513" s="300" t="str">
        <f t="shared" si="50"/>
        <v>ChiantiBW</v>
      </c>
    </row>
    <row r="1514" spans="1:7" ht="12" customHeight="1">
      <c r="A1514" s="298">
        <v>36220</v>
      </c>
      <c r="B1514" s="299" t="s">
        <v>3507</v>
      </c>
      <c r="C1514" s="299">
        <v>30</v>
      </c>
      <c r="D1514" s="299">
        <f t="shared" si="49"/>
        <v>3</v>
      </c>
      <c r="E1514" s="299">
        <v>54</v>
      </c>
      <c r="F1514" s="430" t="s">
        <v>3501</v>
      </c>
      <c r="G1514" s="300" t="str">
        <f t="shared" si="50"/>
        <v>ChiantiBW</v>
      </c>
    </row>
    <row r="1515" spans="1:7" ht="12" customHeight="1">
      <c r="A1515" s="298">
        <v>36236</v>
      </c>
      <c r="B1515" s="299" t="s">
        <v>3507</v>
      </c>
      <c r="C1515" s="299">
        <v>240</v>
      </c>
      <c r="D1515" s="299">
        <f t="shared" si="49"/>
        <v>3</v>
      </c>
      <c r="E1515" s="299">
        <v>49</v>
      </c>
      <c r="F1515" s="430" t="s">
        <v>3501</v>
      </c>
      <c r="G1515" s="300" t="str">
        <f t="shared" si="50"/>
        <v>ChiantiBW</v>
      </c>
    </row>
    <row r="1516" spans="1:7" ht="12" customHeight="1">
      <c r="A1516" s="298">
        <v>36237</v>
      </c>
      <c r="B1516" s="299" t="s">
        <v>3507</v>
      </c>
      <c r="C1516" s="299">
        <v>70</v>
      </c>
      <c r="D1516" s="299">
        <f t="shared" si="49"/>
        <v>3</v>
      </c>
      <c r="E1516" s="299">
        <v>54</v>
      </c>
      <c r="F1516" s="430" t="s">
        <v>3501</v>
      </c>
      <c r="G1516" s="300" t="str">
        <f t="shared" si="50"/>
        <v>ChiantiBW</v>
      </c>
    </row>
    <row r="1517" spans="1:7" ht="12" customHeight="1">
      <c r="A1517" s="298">
        <v>36269</v>
      </c>
      <c r="B1517" s="299" t="s">
        <v>3507</v>
      </c>
      <c r="C1517" s="299">
        <v>90</v>
      </c>
      <c r="D1517" s="299">
        <f t="shared" si="49"/>
        <v>4</v>
      </c>
      <c r="E1517" s="299">
        <v>51</v>
      </c>
      <c r="F1517" s="430" t="s">
        <v>3501</v>
      </c>
      <c r="G1517" s="300" t="str">
        <f t="shared" si="50"/>
        <v>ChiantiBW</v>
      </c>
    </row>
    <row r="1518" spans="1:7" ht="12" customHeight="1">
      <c r="A1518" s="298">
        <v>36365</v>
      </c>
      <c r="B1518" s="299" t="s">
        <v>3507</v>
      </c>
      <c r="C1518" s="299">
        <v>90</v>
      </c>
      <c r="D1518" s="299">
        <f t="shared" si="49"/>
        <v>7</v>
      </c>
      <c r="E1518" s="299">
        <v>50</v>
      </c>
      <c r="F1518" s="430" t="s">
        <v>3501</v>
      </c>
      <c r="G1518" s="300" t="str">
        <f t="shared" si="50"/>
        <v>ChiantiBW</v>
      </c>
    </row>
    <row r="1519" spans="1:7" ht="12" customHeight="1">
      <c r="A1519" s="298">
        <v>36376</v>
      </c>
      <c r="B1519" s="299" t="s">
        <v>3507</v>
      </c>
      <c r="C1519" s="299">
        <v>10</v>
      </c>
      <c r="D1519" s="299">
        <f t="shared" si="49"/>
        <v>8</v>
      </c>
      <c r="E1519" s="299">
        <v>48</v>
      </c>
      <c r="F1519" s="430" t="s">
        <v>3501</v>
      </c>
      <c r="G1519" s="300" t="str">
        <f t="shared" si="50"/>
        <v>ChiantiBW</v>
      </c>
    </row>
    <row r="1520" spans="1:7" ht="12" customHeight="1">
      <c r="A1520" s="298">
        <v>36397</v>
      </c>
      <c r="B1520" s="299" t="s">
        <v>3507</v>
      </c>
      <c r="C1520" s="299">
        <v>60</v>
      </c>
      <c r="D1520" s="299">
        <f t="shared" si="49"/>
        <v>8</v>
      </c>
      <c r="E1520" s="299">
        <v>48</v>
      </c>
      <c r="F1520" s="430" t="s">
        <v>3501</v>
      </c>
      <c r="G1520" s="300" t="str">
        <f t="shared" si="50"/>
        <v>ChiantiBW</v>
      </c>
    </row>
    <row r="1521" spans="1:7" ht="12" customHeight="1">
      <c r="A1521" s="298">
        <v>36397</v>
      </c>
      <c r="B1521" s="299" t="s">
        <v>3507</v>
      </c>
      <c r="C1521" s="299">
        <v>60</v>
      </c>
      <c r="D1521" s="299">
        <f t="shared" si="49"/>
        <v>8</v>
      </c>
      <c r="E1521" s="299">
        <v>48</v>
      </c>
      <c r="F1521" s="430" t="s">
        <v>3501</v>
      </c>
      <c r="G1521" s="300" t="str">
        <f t="shared" si="50"/>
        <v>ChiantiBW</v>
      </c>
    </row>
    <row r="1522" spans="1:7" ht="12" customHeight="1">
      <c r="A1522" s="298">
        <v>36507</v>
      </c>
      <c r="B1522" s="299" t="s">
        <v>3507</v>
      </c>
      <c r="C1522" s="299">
        <v>30</v>
      </c>
      <c r="D1522" s="299">
        <f t="shared" si="49"/>
        <v>12</v>
      </c>
      <c r="E1522" s="299">
        <v>48</v>
      </c>
      <c r="F1522" s="430" t="s">
        <v>3501</v>
      </c>
      <c r="G1522" s="300" t="str">
        <f t="shared" si="50"/>
        <v>ChiantiBW</v>
      </c>
    </row>
    <row r="1523" spans="1:7" ht="12" customHeight="1">
      <c r="A1523" s="298">
        <v>36375</v>
      </c>
      <c r="B1523" s="299" t="s">
        <v>3507</v>
      </c>
      <c r="C1523" s="299">
        <v>50</v>
      </c>
      <c r="D1523" s="299">
        <f t="shared" si="49"/>
        <v>8</v>
      </c>
      <c r="E1523" s="299">
        <v>52</v>
      </c>
      <c r="F1523" s="430" t="s">
        <v>3502</v>
      </c>
      <c r="G1523" s="300" t="str">
        <f t="shared" si="50"/>
        <v>ChiantiHessen</v>
      </c>
    </row>
    <row r="1524" spans="1:7" ht="12" customHeight="1">
      <c r="A1524" s="298">
        <v>36520</v>
      </c>
      <c r="B1524" s="299" t="s">
        <v>3507</v>
      </c>
      <c r="C1524" s="299">
        <v>80</v>
      </c>
      <c r="D1524" s="299">
        <f t="shared" si="49"/>
        <v>12</v>
      </c>
      <c r="E1524" s="299">
        <v>54</v>
      </c>
      <c r="F1524" s="430" t="s">
        <v>3502</v>
      </c>
      <c r="G1524" s="300" t="str">
        <f t="shared" si="50"/>
        <v>ChiantiHessen</v>
      </c>
    </row>
    <row r="1525" spans="1:7" ht="12" customHeight="1">
      <c r="A1525" s="298">
        <v>36355</v>
      </c>
      <c r="B1525" s="299" t="s">
        <v>3507</v>
      </c>
      <c r="C1525" s="299">
        <v>90</v>
      </c>
      <c r="D1525" s="299">
        <f t="shared" si="49"/>
        <v>7</v>
      </c>
      <c r="E1525" s="299">
        <v>49</v>
      </c>
      <c r="F1525" s="430" t="s">
        <v>3503</v>
      </c>
      <c r="G1525" s="300" t="str">
        <f t="shared" si="50"/>
        <v>ChiantiHolstein</v>
      </c>
    </row>
    <row r="1526" spans="1:7" ht="12" customHeight="1">
      <c r="A1526" s="298">
        <v>36164</v>
      </c>
      <c r="B1526" s="299" t="s">
        <v>3507</v>
      </c>
      <c r="C1526" s="299">
        <v>50</v>
      </c>
      <c r="D1526" s="299">
        <f t="shared" si="49"/>
        <v>1</v>
      </c>
      <c r="E1526" s="299">
        <v>49</v>
      </c>
      <c r="F1526" s="430" t="s">
        <v>3497</v>
      </c>
      <c r="G1526" s="300" t="str">
        <f t="shared" si="50"/>
        <v>ChiantiNRW</v>
      </c>
    </row>
    <row r="1527" spans="1:7" ht="12" customHeight="1">
      <c r="A1527" s="298">
        <v>36175</v>
      </c>
      <c r="B1527" s="299" t="s">
        <v>3507</v>
      </c>
      <c r="C1527" s="299">
        <v>40</v>
      </c>
      <c r="D1527" s="299">
        <f t="shared" si="49"/>
        <v>1</v>
      </c>
      <c r="E1527" s="299">
        <v>49</v>
      </c>
      <c r="F1527" s="430" t="s">
        <v>3497</v>
      </c>
      <c r="G1527" s="300" t="str">
        <f t="shared" si="50"/>
        <v>ChiantiNRW</v>
      </c>
    </row>
    <row r="1528" spans="1:7" ht="12" customHeight="1">
      <c r="A1528" s="298">
        <v>36233</v>
      </c>
      <c r="B1528" s="299" t="s">
        <v>3507</v>
      </c>
      <c r="C1528" s="299">
        <v>30</v>
      </c>
      <c r="D1528" s="299">
        <f t="shared" si="49"/>
        <v>3</v>
      </c>
      <c r="E1528" s="299">
        <v>50</v>
      </c>
      <c r="F1528" s="430" t="s">
        <v>3497</v>
      </c>
      <c r="G1528" s="300" t="str">
        <f t="shared" si="50"/>
        <v>ChiantiNRW</v>
      </c>
    </row>
    <row r="1529" spans="1:7" ht="12" customHeight="1">
      <c r="A1529" s="298">
        <v>36238</v>
      </c>
      <c r="B1529" s="299" t="s">
        <v>3507</v>
      </c>
      <c r="C1529" s="299">
        <v>240</v>
      </c>
      <c r="D1529" s="299">
        <f t="shared" si="49"/>
        <v>3</v>
      </c>
      <c r="E1529" s="299">
        <v>49</v>
      </c>
      <c r="F1529" s="430" t="s">
        <v>3497</v>
      </c>
      <c r="G1529" s="300" t="str">
        <f t="shared" si="50"/>
        <v>ChiantiNRW</v>
      </c>
    </row>
    <row r="1530" spans="1:7" ht="12" customHeight="1">
      <c r="A1530" s="298">
        <v>36277</v>
      </c>
      <c r="B1530" s="299" t="s">
        <v>3507</v>
      </c>
      <c r="C1530" s="299">
        <v>120</v>
      </c>
      <c r="D1530" s="299">
        <f t="shared" si="49"/>
        <v>4</v>
      </c>
      <c r="E1530" s="299">
        <v>50</v>
      </c>
      <c r="F1530" s="430" t="s">
        <v>3497</v>
      </c>
      <c r="G1530" s="300" t="str">
        <f t="shared" si="50"/>
        <v>ChiantiNRW</v>
      </c>
    </row>
    <row r="1531" spans="1:7" ht="12" customHeight="1">
      <c r="A1531" s="298">
        <v>36282</v>
      </c>
      <c r="B1531" s="299" t="s">
        <v>3507</v>
      </c>
      <c r="C1531" s="299">
        <v>70</v>
      </c>
      <c r="D1531" s="299">
        <f t="shared" si="49"/>
        <v>5</v>
      </c>
      <c r="E1531" s="299">
        <v>50</v>
      </c>
      <c r="F1531" s="430" t="s">
        <v>3497</v>
      </c>
      <c r="G1531" s="300" t="str">
        <f t="shared" si="50"/>
        <v>ChiantiNRW</v>
      </c>
    </row>
    <row r="1532" spans="1:7" ht="12" customHeight="1">
      <c r="A1532" s="298">
        <v>36293</v>
      </c>
      <c r="B1532" s="299" t="s">
        <v>3507</v>
      </c>
      <c r="C1532" s="299">
        <v>10</v>
      </c>
      <c r="D1532" s="299">
        <f t="shared" si="49"/>
        <v>5</v>
      </c>
      <c r="E1532" s="299">
        <v>50</v>
      </c>
      <c r="F1532" s="430" t="s">
        <v>3497</v>
      </c>
      <c r="G1532" s="300" t="str">
        <f t="shared" si="50"/>
        <v>ChiantiNRW</v>
      </c>
    </row>
    <row r="1533" spans="1:7" ht="12" customHeight="1">
      <c r="A1533" s="298">
        <v>36315</v>
      </c>
      <c r="B1533" s="299" t="s">
        <v>3507</v>
      </c>
      <c r="C1533" s="299">
        <v>110</v>
      </c>
      <c r="D1533" s="299">
        <f t="shared" si="49"/>
        <v>6</v>
      </c>
      <c r="E1533" s="299">
        <v>49</v>
      </c>
      <c r="F1533" s="430" t="s">
        <v>3497</v>
      </c>
      <c r="G1533" s="300" t="str">
        <f t="shared" si="50"/>
        <v>ChiantiNRW</v>
      </c>
    </row>
    <row r="1534" spans="1:7" ht="12" customHeight="1">
      <c r="A1534" s="298">
        <v>36318</v>
      </c>
      <c r="B1534" s="299" t="s">
        <v>3507</v>
      </c>
      <c r="C1534" s="299">
        <v>210</v>
      </c>
      <c r="D1534" s="299">
        <f t="shared" si="49"/>
        <v>6</v>
      </c>
      <c r="E1534" s="299">
        <v>50</v>
      </c>
      <c r="F1534" s="430" t="s">
        <v>3497</v>
      </c>
      <c r="G1534" s="300" t="str">
        <f t="shared" si="50"/>
        <v>ChiantiNRW</v>
      </c>
    </row>
    <row r="1535" spans="1:7" ht="12" customHeight="1">
      <c r="A1535" s="298">
        <v>36330</v>
      </c>
      <c r="B1535" s="299" t="s">
        <v>3507</v>
      </c>
      <c r="C1535" s="299">
        <v>150</v>
      </c>
      <c r="D1535" s="299">
        <f t="shared" si="49"/>
        <v>6</v>
      </c>
      <c r="E1535" s="299">
        <v>47</v>
      </c>
      <c r="F1535" s="430" t="s">
        <v>3497</v>
      </c>
      <c r="G1535" s="300" t="str">
        <f t="shared" si="50"/>
        <v>ChiantiNRW</v>
      </c>
    </row>
    <row r="1536" spans="1:7" ht="12" customHeight="1">
      <c r="A1536" s="298">
        <v>36332</v>
      </c>
      <c r="B1536" s="299" t="s">
        <v>3507</v>
      </c>
      <c r="C1536" s="299">
        <v>150</v>
      </c>
      <c r="D1536" s="299">
        <f t="shared" si="49"/>
        <v>6</v>
      </c>
      <c r="E1536" s="299">
        <v>50</v>
      </c>
      <c r="F1536" s="430" t="s">
        <v>3497</v>
      </c>
      <c r="G1536" s="300" t="str">
        <f t="shared" si="50"/>
        <v>ChiantiNRW</v>
      </c>
    </row>
    <row r="1537" spans="1:7" ht="12" customHeight="1">
      <c r="A1537" s="298">
        <v>36334</v>
      </c>
      <c r="B1537" s="299" t="s">
        <v>3507</v>
      </c>
      <c r="C1537" s="299">
        <v>10</v>
      </c>
      <c r="D1537" s="299">
        <f t="shared" si="49"/>
        <v>6</v>
      </c>
      <c r="E1537" s="299">
        <v>53</v>
      </c>
      <c r="F1537" s="430" t="s">
        <v>3497</v>
      </c>
      <c r="G1537" s="300" t="str">
        <f t="shared" si="50"/>
        <v>ChiantiNRW</v>
      </c>
    </row>
    <row r="1538" spans="1:7" ht="12" customHeight="1">
      <c r="A1538" s="298">
        <v>36343</v>
      </c>
      <c r="B1538" s="299" t="s">
        <v>3507</v>
      </c>
      <c r="C1538" s="299">
        <v>50</v>
      </c>
      <c r="D1538" s="299">
        <f t="shared" si="49"/>
        <v>7</v>
      </c>
      <c r="E1538" s="299">
        <v>53</v>
      </c>
      <c r="F1538" s="430" t="s">
        <v>3497</v>
      </c>
      <c r="G1538" s="300" t="str">
        <f t="shared" si="50"/>
        <v>ChiantiNRW</v>
      </c>
    </row>
    <row r="1539" spans="1:7" ht="12" customHeight="1">
      <c r="A1539" s="298">
        <v>36344</v>
      </c>
      <c r="B1539" s="299" t="s">
        <v>3507</v>
      </c>
      <c r="C1539" s="299">
        <v>120</v>
      </c>
      <c r="D1539" s="299">
        <f t="shared" si="49"/>
        <v>7</v>
      </c>
      <c r="E1539" s="299">
        <v>53</v>
      </c>
      <c r="F1539" s="430" t="s">
        <v>3497</v>
      </c>
      <c r="G1539" s="300" t="str">
        <f t="shared" si="50"/>
        <v>ChiantiNRW</v>
      </c>
    </row>
    <row r="1540" spans="1:7" ht="12" customHeight="1">
      <c r="A1540" s="298">
        <v>36348</v>
      </c>
      <c r="B1540" s="299" t="s">
        <v>3507</v>
      </c>
      <c r="C1540" s="299">
        <v>90</v>
      </c>
      <c r="D1540" s="299">
        <f t="shared" si="49"/>
        <v>7</v>
      </c>
      <c r="E1540" s="299">
        <v>46</v>
      </c>
      <c r="F1540" s="430" t="s">
        <v>3497</v>
      </c>
      <c r="G1540" s="300" t="str">
        <f t="shared" si="50"/>
        <v>ChiantiNRW</v>
      </c>
    </row>
    <row r="1541" spans="1:7" ht="12" customHeight="1">
      <c r="A1541" s="298">
        <v>36349</v>
      </c>
      <c r="B1541" s="299" t="s">
        <v>3507</v>
      </c>
      <c r="C1541" s="299">
        <v>70</v>
      </c>
      <c r="D1541" s="299">
        <f t="shared" si="49"/>
        <v>7</v>
      </c>
      <c r="E1541" s="299">
        <v>49</v>
      </c>
      <c r="F1541" s="430" t="s">
        <v>3497</v>
      </c>
      <c r="G1541" s="300" t="str">
        <f t="shared" si="50"/>
        <v>ChiantiNRW</v>
      </c>
    </row>
    <row r="1542" spans="1:7" ht="12" customHeight="1">
      <c r="A1542" s="298">
        <v>36350</v>
      </c>
      <c r="B1542" s="299" t="s">
        <v>3507</v>
      </c>
      <c r="C1542" s="299">
        <v>50</v>
      </c>
      <c r="D1542" s="299">
        <f t="shared" ref="D1542:D1605" si="51">MONTH(A1542)</f>
        <v>7</v>
      </c>
      <c r="E1542" s="299">
        <v>50</v>
      </c>
      <c r="F1542" s="430" t="s">
        <v>3497</v>
      </c>
      <c r="G1542" s="300" t="str">
        <f t="shared" ref="G1542:G1605" si="52">B1542&amp;F1542</f>
        <v>ChiantiNRW</v>
      </c>
    </row>
    <row r="1543" spans="1:7" ht="12" customHeight="1">
      <c r="A1543" s="298">
        <v>36351</v>
      </c>
      <c r="B1543" s="299" t="s">
        <v>3507</v>
      </c>
      <c r="C1543" s="299">
        <v>30</v>
      </c>
      <c r="D1543" s="299">
        <f t="shared" si="51"/>
        <v>7</v>
      </c>
      <c r="E1543" s="299">
        <v>47</v>
      </c>
      <c r="F1543" s="430" t="s">
        <v>3497</v>
      </c>
      <c r="G1543" s="300" t="str">
        <f t="shared" si="52"/>
        <v>ChiantiNRW</v>
      </c>
    </row>
    <row r="1544" spans="1:7" ht="12" customHeight="1">
      <c r="A1544" s="298">
        <v>36379</v>
      </c>
      <c r="B1544" s="299" t="s">
        <v>3507</v>
      </c>
      <c r="C1544" s="299">
        <v>100</v>
      </c>
      <c r="D1544" s="299">
        <f t="shared" si="51"/>
        <v>8</v>
      </c>
      <c r="E1544" s="299">
        <v>53</v>
      </c>
      <c r="F1544" s="430" t="s">
        <v>3497</v>
      </c>
      <c r="G1544" s="300" t="str">
        <f t="shared" si="52"/>
        <v>ChiantiNRW</v>
      </c>
    </row>
    <row r="1545" spans="1:7" ht="12" customHeight="1">
      <c r="A1545" s="298">
        <v>36379</v>
      </c>
      <c r="B1545" s="299" t="s">
        <v>3507</v>
      </c>
      <c r="C1545" s="299">
        <v>90</v>
      </c>
      <c r="D1545" s="299">
        <f t="shared" si="51"/>
        <v>8</v>
      </c>
      <c r="E1545" s="299">
        <v>53</v>
      </c>
      <c r="F1545" s="430" t="s">
        <v>3497</v>
      </c>
      <c r="G1545" s="300" t="str">
        <f t="shared" si="52"/>
        <v>ChiantiNRW</v>
      </c>
    </row>
    <row r="1546" spans="1:7" ht="12" customHeight="1">
      <c r="A1546" s="298">
        <v>36386</v>
      </c>
      <c r="B1546" s="299" t="s">
        <v>3507</v>
      </c>
      <c r="C1546" s="299">
        <v>100</v>
      </c>
      <c r="D1546" s="299">
        <f t="shared" si="51"/>
        <v>8</v>
      </c>
      <c r="E1546" s="299">
        <v>53</v>
      </c>
      <c r="F1546" s="430" t="s">
        <v>3497</v>
      </c>
      <c r="G1546" s="300" t="str">
        <f t="shared" si="52"/>
        <v>ChiantiNRW</v>
      </c>
    </row>
    <row r="1547" spans="1:7" ht="12" customHeight="1">
      <c r="A1547" s="298">
        <v>36395</v>
      </c>
      <c r="B1547" s="299" t="s">
        <v>3507</v>
      </c>
      <c r="C1547" s="299">
        <v>80</v>
      </c>
      <c r="D1547" s="299">
        <f t="shared" si="51"/>
        <v>8</v>
      </c>
      <c r="E1547" s="299">
        <v>53</v>
      </c>
      <c r="F1547" s="430" t="s">
        <v>3497</v>
      </c>
      <c r="G1547" s="300" t="str">
        <f t="shared" si="52"/>
        <v>ChiantiNRW</v>
      </c>
    </row>
    <row r="1548" spans="1:7" ht="12" customHeight="1">
      <c r="A1548" s="298">
        <v>36408</v>
      </c>
      <c r="B1548" s="299" t="s">
        <v>3507</v>
      </c>
      <c r="C1548" s="299">
        <v>120</v>
      </c>
      <c r="D1548" s="299">
        <f t="shared" si="51"/>
        <v>9</v>
      </c>
      <c r="E1548" s="299">
        <v>46</v>
      </c>
      <c r="F1548" s="430" t="s">
        <v>3497</v>
      </c>
      <c r="G1548" s="300" t="str">
        <f t="shared" si="52"/>
        <v>ChiantiNRW</v>
      </c>
    </row>
    <row r="1549" spans="1:7" ht="12" customHeight="1">
      <c r="A1549" s="298">
        <v>36426</v>
      </c>
      <c r="B1549" s="299" t="s">
        <v>3507</v>
      </c>
      <c r="C1549" s="299">
        <v>10</v>
      </c>
      <c r="D1549" s="299">
        <f t="shared" si="51"/>
        <v>9</v>
      </c>
      <c r="E1549" s="299">
        <v>48</v>
      </c>
      <c r="F1549" s="430" t="s">
        <v>3497</v>
      </c>
      <c r="G1549" s="300" t="str">
        <f t="shared" si="52"/>
        <v>ChiantiNRW</v>
      </c>
    </row>
    <row r="1550" spans="1:7" ht="12" customHeight="1">
      <c r="A1550" s="298">
        <v>36452</v>
      </c>
      <c r="B1550" s="299" t="s">
        <v>3507</v>
      </c>
      <c r="C1550" s="299">
        <v>10</v>
      </c>
      <c r="D1550" s="299">
        <f t="shared" si="51"/>
        <v>10</v>
      </c>
      <c r="E1550" s="299">
        <v>45</v>
      </c>
      <c r="F1550" s="430" t="s">
        <v>3497</v>
      </c>
      <c r="G1550" s="300" t="str">
        <f t="shared" si="52"/>
        <v>ChiantiNRW</v>
      </c>
    </row>
    <row r="1551" spans="1:7" ht="12" customHeight="1">
      <c r="A1551" s="298">
        <v>36461</v>
      </c>
      <c r="B1551" s="299" t="s">
        <v>3507</v>
      </c>
      <c r="C1551" s="299">
        <v>120</v>
      </c>
      <c r="D1551" s="299">
        <f t="shared" si="51"/>
        <v>10</v>
      </c>
      <c r="E1551" s="299">
        <v>47</v>
      </c>
      <c r="F1551" s="430" t="s">
        <v>3497</v>
      </c>
      <c r="G1551" s="300" t="str">
        <f t="shared" si="52"/>
        <v>ChiantiNRW</v>
      </c>
    </row>
    <row r="1552" spans="1:7" ht="12" customHeight="1">
      <c r="A1552" s="298">
        <v>36471</v>
      </c>
      <c r="B1552" s="299" t="s">
        <v>3507</v>
      </c>
      <c r="C1552" s="299">
        <v>150</v>
      </c>
      <c r="D1552" s="299">
        <f t="shared" si="51"/>
        <v>11</v>
      </c>
      <c r="E1552" s="299">
        <v>50</v>
      </c>
      <c r="F1552" s="430" t="s">
        <v>3497</v>
      </c>
      <c r="G1552" s="300" t="str">
        <f t="shared" si="52"/>
        <v>ChiantiNRW</v>
      </c>
    </row>
    <row r="1553" spans="1:7" ht="12" customHeight="1">
      <c r="A1553" s="298">
        <v>36474</v>
      </c>
      <c r="B1553" s="299" t="s">
        <v>3507</v>
      </c>
      <c r="C1553" s="299">
        <v>100</v>
      </c>
      <c r="D1553" s="299">
        <f t="shared" si="51"/>
        <v>11</v>
      </c>
      <c r="E1553" s="299">
        <v>50</v>
      </c>
      <c r="F1553" s="430" t="s">
        <v>3497</v>
      </c>
      <c r="G1553" s="300" t="str">
        <f t="shared" si="52"/>
        <v>ChiantiNRW</v>
      </c>
    </row>
    <row r="1554" spans="1:7" ht="12" customHeight="1">
      <c r="A1554" s="298">
        <v>36261</v>
      </c>
      <c r="B1554" s="299" t="s">
        <v>3507</v>
      </c>
      <c r="C1554" s="299">
        <v>150</v>
      </c>
      <c r="D1554" s="299">
        <f t="shared" si="51"/>
        <v>4</v>
      </c>
      <c r="E1554" s="299">
        <v>54</v>
      </c>
      <c r="F1554" s="430" t="s">
        <v>3499</v>
      </c>
      <c r="G1554" s="300" t="str">
        <f t="shared" si="52"/>
        <v>ChiantiPfalz</v>
      </c>
    </row>
    <row r="1555" spans="1:7" ht="12" customHeight="1">
      <c r="A1555" s="298">
        <v>36317</v>
      </c>
      <c r="B1555" s="299" t="s">
        <v>3507</v>
      </c>
      <c r="C1555" s="299">
        <v>100</v>
      </c>
      <c r="D1555" s="299">
        <f t="shared" si="51"/>
        <v>6</v>
      </c>
      <c r="E1555" s="299">
        <v>46</v>
      </c>
      <c r="F1555" s="430" t="s">
        <v>3499</v>
      </c>
      <c r="G1555" s="300" t="str">
        <f t="shared" si="52"/>
        <v>ChiantiPfalz</v>
      </c>
    </row>
    <row r="1556" spans="1:7" ht="12" customHeight="1">
      <c r="A1556" s="298">
        <v>36341</v>
      </c>
      <c r="B1556" s="299" t="s">
        <v>3507</v>
      </c>
      <c r="C1556" s="299">
        <v>10</v>
      </c>
      <c r="D1556" s="299">
        <f t="shared" si="51"/>
        <v>6</v>
      </c>
      <c r="E1556" s="299">
        <v>46</v>
      </c>
      <c r="F1556" s="430" t="s">
        <v>3499</v>
      </c>
      <c r="G1556" s="300" t="str">
        <f t="shared" si="52"/>
        <v>ChiantiPfalz</v>
      </c>
    </row>
    <row r="1557" spans="1:7" ht="12" customHeight="1">
      <c r="A1557" s="298">
        <v>36251</v>
      </c>
      <c r="B1557" s="299" t="s">
        <v>3508</v>
      </c>
      <c r="C1557" s="299">
        <v>10</v>
      </c>
      <c r="D1557" s="299">
        <f t="shared" si="51"/>
        <v>4</v>
      </c>
      <c r="E1557" s="299">
        <v>53</v>
      </c>
      <c r="F1557" s="430" t="s">
        <v>3504</v>
      </c>
      <c r="G1557" s="300" t="str">
        <f t="shared" si="52"/>
        <v>ChirazBayern</v>
      </c>
    </row>
    <row r="1558" spans="1:7" ht="12" customHeight="1">
      <c r="A1558" s="298">
        <v>36270</v>
      </c>
      <c r="B1558" s="299" t="s">
        <v>3508</v>
      </c>
      <c r="C1558" s="299">
        <v>50</v>
      </c>
      <c r="D1558" s="299">
        <f t="shared" si="51"/>
        <v>4</v>
      </c>
      <c r="E1558" s="299">
        <v>53</v>
      </c>
      <c r="F1558" s="430" t="s">
        <v>3504</v>
      </c>
      <c r="G1558" s="300" t="str">
        <f t="shared" si="52"/>
        <v>ChirazBayern</v>
      </c>
    </row>
    <row r="1559" spans="1:7" ht="12" customHeight="1">
      <c r="A1559" s="298">
        <v>36271</v>
      </c>
      <c r="B1559" s="299" t="s">
        <v>3508</v>
      </c>
      <c r="C1559" s="299">
        <v>90</v>
      </c>
      <c r="D1559" s="299">
        <f t="shared" si="51"/>
        <v>4</v>
      </c>
      <c r="E1559" s="299">
        <v>53</v>
      </c>
      <c r="F1559" s="430" t="s">
        <v>3504</v>
      </c>
      <c r="G1559" s="300" t="str">
        <f t="shared" si="52"/>
        <v>ChirazBayern</v>
      </c>
    </row>
    <row r="1560" spans="1:7" ht="12" customHeight="1">
      <c r="A1560" s="298">
        <v>36272</v>
      </c>
      <c r="B1560" s="299" t="s">
        <v>3508</v>
      </c>
      <c r="C1560" s="299">
        <v>70</v>
      </c>
      <c r="D1560" s="299">
        <f t="shared" si="51"/>
        <v>4</v>
      </c>
      <c r="E1560" s="299">
        <v>53</v>
      </c>
      <c r="F1560" s="430" t="s">
        <v>3504</v>
      </c>
      <c r="G1560" s="300" t="str">
        <f t="shared" si="52"/>
        <v>ChirazBayern</v>
      </c>
    </row>
    <row r="1561" spans="1:7" ht="12" customHeight="1">
      <c r="A1561" s="298">
        <v>36347</v>
      </c>
      <c r="B1561" s="299" t="s">
        <v>3508</v>
      </c>
      <c r="C1561" s="299">
        <v>90</v>
      </c>
      <c r="D1561" s="299">
        <f t="shared" si="51"/>
        <v>7</v>
      </c>
      <c r="E1561" s="299">
        <v>48</v>
      </c>
      <c r="F1561" s="430" t="s">
        <v>3504</v>
      </c>
      <c r="G1561" s="300" t="str">
        <f t="shared" si="52"/>
        <v>ChirazBayern</v>
      </c>
    </row>
    <row r="1562" spans="1:7" ht="12" customHeight="1">
      <c r="A1562" s="298">
        <v>36347</v>
      </c>
      <c r="B1562" s="299" t="s">
        <v>3508</v>
      </c>
      <c r="C1562" s="299">
        <v>10</v>
      </c>
      <c r="D1562" s="299">
        <f t="shared" si="51"/>
        <v>7</v>
      </c>
      <c r="E1562" s="299">
        <v>54</v>
      </c>
      <c r="F1562" s="430" t="s">
        <v>3504</v>
      </c>
      <c r="G1562" s="300" t="str">
        <f t="shared" si="52"/>
        <v>ChirazBayern</v>
      </c>
    </row>
    <row r="1563" spans="1:7" ht="12" customHeight="1">
      <c r="A1563" s="298">
        <v>36352</v>
      </c>
      <c r="B1563" s="299" t="s">
        <v>3508</v>
      </c>
      <c r="C1563" s="299">
        <v>120</v>
      </c>
      <c r="D1563" s="299">
        <f t="shared" si="51"/>
        <v>7</v>
      </c>
      <c r="E1563" s="299">
        <v>48</v>
      </c>
      <c r="F1563" s="430" t="s">
        <v>3504</v>
      </c>
      <c r="G1563" s="300" t="str">
        <f t="shared" si="52"/>
        <v>ChirazBayern</v>
      </c>
    </row>
    <row r="1564" spans="1:7" ht="12" customHeight="1">
      <c r="A1564" s="298">
        <v>36353</v>
      </c>
      <c r="B1564" s="299" t="s">
        <v>3508</v>
      </c>
      <c r="C1564" s="299">
        <v>150</v>
      </c>
      <c r="D1564" s="299">
        <f t="shared" si="51"/>
        <v>7</v>
      </c>
      <c r="E1564" s="299">
        <v>54</v>
      </c>
      <c r="F1564" s="430" t="s">
        <v>3504</v>
      </c>
      <c r="G1564" s="300" t="str">
        <f t="shared" si="52"/>
        <v>ChirazBayern</v>
      </c>
    </row>
    <row r="1565" spans="1:7" ht="12" customHeight="1">
      <c r="A1565" s="298">
        <v>36361</v>
      </c>
      <c r="B1565" s="299" t="s">
        <v>3508</v>
      </c>
      <c r="C1565" s="299">
        <v>150</v>
      </c>
      <c r="D1565" s="299">
        <f t="shared" si="51"/>
        <v>7</v>
      </c>
      <c r="E1565" s="299">
        <v>54</v>
      </c>
      <c r="F1565" s="430" t="s">
        <v>3504</v>
      </c>
      <c r="G1565" s="300" t="str">
        <f t="shared" si="52"/>
        <v>ChirazBayern</v>
      </c>
    </row>
    <row r="1566" spans="1:7" ht="12" customHeight="1">
      <c r="A1566" s="298">
        <v>36368</v>
      </c>
      <c r="B1566" s="299" t="s">
        <v>3508</v>
      </c>
      <c r="C1566" s="299">
        <v>210</v>
      </c>
      <c r="D1566" s="299">
        <f t="shared" si="51"/>
        <v>7</v>
      </c>
      <c r="E1566" s="299">
        <v>48</v>
      </c>
      <c r="F1566" s="430" t="s">
        <v>3504</v>
      </c>
      <c r="G1566" s="300" t="str">
        <f t="shared" si="52"/>
        <v>ChirazBayern</v>
      </c>
    </row>
    <row r="1567" spans="1:7" ht="12" customHeight="1">
      <c r="A1567" s="298">
        <v>36392</v>
      </c>
      <c r="B1567" s="299" t="s">
        <v>3508</v>
      </c>
      <c r="C1567" s="299">
        <v>10</v>
      </c>
      <c r="D1567" s="299">
        <f t="shared" si="51"/>
        <v>8</v>
      </c>
      <c r="E1567" s="299">
        <v>50</v>
      </c>
      <c r="F1567" s="430" t="s">
        <v>3504</v>
      </c>
      <c r="G1567" s="300" t="str">
        <f t="shared" si="52"/>
        <v>ChirazBayern</v>
      </c>
    </row>
    <row r="1568" spans="1:7" ht="12" customHeight="1">
      <c r="A1568" s="298">
        <v>36396</v>
      </c>
      <c r="B1568" s="299" t="s">
        <v>3508</v>
      </c>
      <c r="C1568" s="299">
        <v>60</v>
      </c>
      <c r="D1568" s="299">
        <f t="shared" si="51"/>
        <v>8</v>
      </c>
      <c r="E1568" s="299">
        <v>50</v>
      </c>
      <c r="F1568" s="430" t="s">
        <v>3504</v>
      </c>
      <c r="G1568" s="300" t="str">
        <f t="shared" si="52"/>
        <v>ChirazBayern</v>
      </c>
    </row>
    <row r="1569" spans="1:7" ht="12" customHeight="1">
      <c r="A1569" s="298">
        <v>36435</v>
      </c>
      <c r="B1569" s="299" t="s">
        <v>3508</v>
      </c>
      <c r="C1569" s="299">
        <v>30</v>
      </c>
      <c r="D1569" s="299">
        <f t="shared" si="51"/>
        <v>10</v>
      </c>
      <c r="E1569" s="299">
        <v>48</v>
      </c>
      <c r="F1569" s="430" t="s">
        <v>3504</v>
      </c>
      <c r="G1569" s="300" t="str">
        <f t="shared" si="52"/>
        <v>ChirazBayern</v>
      </c>
    </row>
    <row r="1570" spans="1:7" ht="12" customHeight="1">
      <c r="A1570" s="298">
        <v>36457</v>
      </c>
      <c r="B1570" s="299" t="s">
        <v>3508</v>
      </c>
      <c r="C1570" s="299">
        <v>90</v>
      </c>
      <c r="D1570" s="299">
        <f t="shared" si="51"/>
        <v>10</v>
      </c>
      <c r="E1570" s="299">
        <v>48</v>
      </c>
      <c r="F1570" s="430" t="s">
        <v>3504</v>
      </c>
      <c r="G1570" s="300" t="str">
        <f t="shared" si="52"/>
        <v>ChirazBayern</v>
      </c>
    </row>
    <row r="1571" spans="1:7" ht="12" customHeight="1">
      <c r="A1571" s="298">
        <v>36477</v>
      </c>
      <c r="B1571" s="299" t="s">
        <v>3508</v>
      </c>
      <c r="C1571" s="299">
        <v>110</v>
      </c>
      <c r="D1571" s="299">
        <f t="shared" si="51"/>
        <v>11</v>
      </c>
      <c r="E1571" s="299">
        <v>54</v>
      </c>
      <c r="F1571" s="430" t="s">
        <v>3504</v>
      </c>
      <c r="G1571" s="300" t="str">
        <f t="shared" si="52"/>
        <v>ChirazBayern</v>
      </c>
    </row>
    <row r="1572" spans="1:7" ht="12" customHeight="1">
      <c r="A1572" s="298">
        <v>36520</v>
      </c>
      <c r="B1572" s="299" t="s">
        <v>3508</v>
      </c>
      <c r="C1572" s="299">
        <v>10</v>
      </c>
      <c r="D1572" s="299">
        <f t="shared" si="51"/>
        <v>12</v>
      </c>
      <c r="E1572" s="299">
        <v>50</v>
      </c>
      <c r="F1572" s="430" t="s">
        <v>3504</v>
      </c>
      <c r="G1572" s="300" t="str">
        <f t="shared" si="52"/>
        <v>ChirazBayern</v>
      </c>
    </row>
    <row r="1573" spans="1:7" ht="12" customHeight="1">
      <c r="A1573" s="298">
        <v>36197</v>
      </c>
      <c r="B1573" s="299" t="s">
        <v>3508</v>
      </c>
      <c r="C1573" s="299">
        <v>90</v>
      </c>
      <c r="D1573" s="299">
        <f t="shared" si="51"/>
        <v>2</v>
      </c>
      <c r="E1573" s="299">
        <v>50</v>
      </c>
      <c r="F1573" s="430" t="s">
        <v>3502</v>
      </c>
      <c r="G1573" s="300" t="str">
        <f t="shared" si="52"/>
        <v>ChirazHessen</v>
      </c>
    </row>
    <row r="1574" spans="1:7" ht="12" customHeight="1">
      <c r="A1574" s="298">
        <v>36330</v>
      </c>
      <c r="B1574" s="299" t="s">
        <v>3508</v>
      </c>
      <c r="C1574" s="299">
        <v>150</v>
      </c>
      <c r="D1574" s="299">
        <f t="shared" si="51"/>
        <v>6</v>
      </c>
      <c r="E1574" s="299">
        <v>45</v>
      </c>
      <c r="F1574" s="430" t="s">
        <v>3502</v>
      </c>
      <c r="G1574" s="300" t="str">
        <f t="shared" si="52"/>
        <v>ChirazHessen</v>
      </c>
    </row>
    <row r="1575" spans="1:7" ht="12" customHeight="1">
      <c r="A1575" s="298">
        <v>36221</v>
      </c>
      <c r="B1575" s="299" t="s">
        <v>3508</v>
      </c>
      <c r="C1575" s="299">
        <v>180</v>
      </c>
      <c r="D1575" s="299">
        <f t="shared" si="51"/>
        <v>3</v>
      </c>
      <c r="E1575" s="299">
        <v>50</v>
      </c>
      <c r="F1575" s="430" t="s">
        <v>3503</v>
      </c>
      <c r="G1575" s="300" t="str">
        <f t="shared" si="52"/>
        <v>ChirazHolstein</v>
      </c>
    </row>
    <row r="1576" spans="1:7" ht="12" customHeight="1">
      <c r="A1576" s="298">
        <v>36200</v>
      </c>
      <c r="B1576" s="299" t="s">
        <v>3508</v>
      </c>
      <c r="C1576" s="299">
        <v>150</v>
      </c>
      <c r="D1576" s="299">
        <f t="shared" si="51"/>
        <v>2</v>
      </c>
      <c r="E1576" s="299">
        <v>45</v>
      </c>
      <c r="F1576" s="430" t="s">
        <v>3497</v>
      </c>
      <c r="G1576" s="300" t="str">
        <f t="shared" si="52"/>
        <v>ChirazNRW</v>
      </c>
    </row>
    <row r="1577" spans="1:7" ht="12" customHeight="1">
      <c r="A1577" s="298">
        <v>36289</v>
      </c>
      <c r="B1577" s="299" t="s">
        <v>3508</v>
      </c>
      <c r="C1577" s="299">
        <v>210</v>
      </c>
      <c r="D1577" s="299">
        <f t="shared" si="51"/>
        <v>5</v>
      </c>
      <c r="E1577" s="299">
        <v>46</v>
      </c>
      <c r="F1577" s="430" t="s">
        <v>3497</v>
      </c>
      <c r="G1577" s="300" t="str">
        <f t="shared" si="52"/>
        <v>ChirazNRW</v>
      </c>
    </row>
    <row r="1578" spans="1:7" ht="12" customHeight="1">
      <c r="A1578" s="298">
        <v>36289</v>
      </c>
      <c r="B1578" s="299" t="s">
        <v>3508</v>
      </c>
      <c r="C1578" s="299">
        <v>30</v>
      </c>
      <c r="D1578" s="299">
        <f t="shared" si="51"/>
        <v>5</v>
      </c>
      <c r="E1578" s="299">
        <v>48</v>
      </c>
      <c r="F1578" s="430" t="s">
        <v>3497</v>
      </c>
      <c r="G1578" s="300" t="str">
        <f t="shared" si="52"/>
        <v>ChirazNRW</v>
      </c>
    </row>
    <row r="1579" spans="1:7" ht="12" customHeight="1">
      <c r="A1579" s="298">
        <v>36301</v>
      </c>
      <c r="B1579" s="299" t="s">
        <v>3508</v>
      </c>
      <c r="C1579" s="299">
        <v>90</v>
      </c>
      <c r="D1579" s="299">
        <f t="shared" si="51"/>
        <v>5</v>
      </c>
      <c r="E1579" s="299">
        <v>48</v>
      </c>
      <c r="F1579" s="430" t="s">
        <v>3497</v>
      </c>
      <c r="G1579" s="300" t="str">
        <f t="shared" si="52"/>
        <v>ChirazNRW</v>
      </c>
    </row>
    <row r="1580" spans="1:7" ht="12" customHeight="1">
      <c r="A1580" s="298">
        <v>36305</v>
      </c>
      <c r="B1580" s="299" t="s">
        <v>3508</v>
      </c>
      <c r="C1580" s="299">
        <v>80</v>
      </c>
      <c r="D1580" s="299">
        <f t="shared" si="51"/>
        <v>5</v>
      </c>
      <c r="E1580" s="299">
        <v>48</v>
      </c>
      <c r="F1580" s="430" t="s">
        <v>3497</v>
      </c>
      <c r="G1580" s="300" t="str">
        <f t="shared" si="52"/>
        <v>ChirazNRW</v>
      </c>
    </row>
    <row r="1581" spans="1:7" ht="12" customHeight="1">
      <c r="A1581" s="298">
        <v>36315</v>
      </c>
      <c r="B1581" s="299" t="s">
        <v>3508</v>
      </c>
      <c r="C1581" s="299">
        <v>110</v>
      </c>
      <c r="D1581" s="299">
        <f t="shared" si="51"/>
        <v>6</v>
      </c>
      <c r="E1581" s="299">
        <v>47</v>
      </c>
      <c r="F1581" s="430" t="s">
        <v>3497</v>
      </c>
      <c r="G1581" s="300" t="str">
        <f t="shared" si="52"/>
        <v>ChirazNRW</v>
      </c>
    </row>
    <row r="1582" spans="1:7" ht="12" customHeight="1">
      <c r="A1582" s="298">
        <v>36318</v>
      </c>
      <c r="B1582" s="299" t="s">
        <v>3508</v>
      </c>
      <c r="C1582" s="299">
        <v>10</v>
      </c>
      <c r="D1582" s="299">
        <f t="shared" si="51"/>
        <v>6</v>
      </c>
      <c r="E1582" s="299">
        <v>54</v>
      </c>
      <c r="F1582" s="430" t="s">
        <v>3497</v>
      </c>
      <c r="G1582" s="300" t="str">
        <f t="shared" si="52"/>
        <v>ChirazNRW</v>
      </c>
    </row>
    <row r="1583" spans="1:7" ht="12" customHeight="1">
      <c r="A1583" s="298">
        <v>36345</v>
      </c>
      <c r="B1583" s="299" t="s">
        <v>3508</v>
      </c>
      <c r="C1583" s="299">
        <v>90</v>
      </c>
      <c r="D1583" s="299">
        <f t="shared" si="51"/>
        <v>7</v>
      </c>
      <c r="E1583" s="299">
        <v>47</v>
      </c>
      <c r="F1583" s="430" t="s">
        <v>3497</v>
      </c>
      <c r="G1583" s="300" t="str">
        <f t="shared" si="52"/>
        <v>ChirazNRW</v>
      </c>
    </row>
    <row r="1584" spans="1:7" ht="12" customHeight="1">
      <c r="A1584" s="298">
        <v>36367</v>
      </c>
      <c r="B1584" s="299" t="s">
        <v>3508</v>
      </c>
      <c r="C1584" s="299">
        <v>120</v>
      </c>
      <c r="D1584" s="299">
        <f t="shared" si="51"/>
        <v>7</v>
      </c>
      <c r="E1584" s="299">
        <v>47</v>
      </c>
      <c r="F1584" s="430" t="s">
        <v>3497</v>
      </c>
      <c r="G1584" s="300" t="str">
        <f t="shared" si="52"/>
        <v>ChirazNRW</v>
      </c>
    </row>
    <row r="1585" spans="1:7" ht="12" customHeight="1">
      <c r="A1585" s="298">
        <v>36484</v>
      </c>
      <c r="B1585" s="299" t="s">
        <v>3508</v>
      </c>
      <c r="C1585" s="299">
        <v>20</v>
      </c>
      <c r="D1585" s="299">
        <f t="shared" si="51"/>
        <v>11</v>
      </c>
      <c r="E1585" s="299">
        <v>49</v>
      </c>
      <c r="F1585" s="430" t="s">
        <v>3497</v>
      </c>
      <c r="G1585" s="300" t="str">
        <f t="shared" si="52"/>
        <v>ChirazNRW</v>
      </c>
    </row>
    <row r="1586" spans="1:7" ht="12" customHeight="1">
      <c r="A1586" s="298">
        <v>36206</v>
      </c>
      <c r="B1586" s="299" t="s">
        <v>3508</v>
      </c>
      <c r="C1586" s="299">
        <v>30</v>
      </c>
      <c r="D1586" s="299">
        <f t="shared" si="51"/>
        <v>2</v>
      </c>
      <c r="E1586" s="299">
        <v>50</v>
      </c>
      <c r="F1586" s="430" t="s">
        <v>3499</v>
      </c>
      <c r="G1586" s="300" t="str">
        <f t="shared" si="52"/>
        <v>ChirazPfalz</v>
      </c>
    </row>
    <row r="1587" spans="1:7" ht="12" customHeight="1">
      <c r="A1587" s="298">
        <v>36253</v>
      </c>
      <c r="B1587" s="299" t="s">
        <v>3508</v>
      </c>
      <c r="C1587" s="299">
        <v>20</v>
      </c>
      <c r="D1587" s="299">
        <f t="shared" si="51"/>
        <v>4</v>
      </c>
      <c r="E1587" s="299">
        <v>46</v>
      </c>
      <c r="F1587" s="430" t="s">
        <v>3499</v>
      </c>
      <c r="G1587" s="300" t="str">
        <f t="shared" si="52"/>
        <v>ChirazPfalz</v>
      </c>
    </row>
    <row r="1588" spans="1:7" ht="12" customHeight="1">
      <c r="A1588" s="298">
        <v>36266</v>
      </c>
      <c r="B1588" s="299" t="s">
        <v>3508</v>
      </c>
      <c r="C1588" s="299">
        <v>120</v>
      </c>
      <c r="D1588" s="299">
        <f t="shared" si="51"/>
        <v>4</v>
      </c>
      <c r="E1588" s="299">
        <v>46</v>
      </c>
      <c r="F1588" s="430" t="s">
        <v>3499</v>
      </c>
      <c r="G1588" s="300" t="str">
        <f t="shared" si="52"/>
        <v>ChirazPfalz</v>
      </c>
    </row>
    <row r="1589" spans="1:7" ht="12" customHeight="1">
      <c r="A1589" s="298">
        <v>36391</v>
      </c>
      <c r="B1589" s="299" t="s">
        <v>3508</v>
      </c>
      <c r="C1589" s="299">
        <v>90</v>
      </c>
      <c r="D1589" s="299">
        <f t="shared" si="51"/>
        <v>8</v>
      </c>
      <c r="E1589" s="299">
        <v>54</v>
      </c>
      <c r="F1589" s="430" t="s">
        <v>3499</v>
      </c>
      <c r="G1589" s="300" t="str">
        <f t="shared" si="52"/>
        <v>ChirazPfalz</v>
      </c>
    </row>
    <row r="1590" spans="1:7" ht="12" customHeight="1">
      <c r="A1590" s="298">
        <v>36451</v>
      </c>
      <c r="B1590" s="299" t="s">
        <v>3508</v>
      </c>
      <c r="C1590" s="299">
        <v>150</v>
      </c>
      <c r="D1590" s="299">
        <f t="shared" si="51"/>
        <v>10</v>
      </c>
      <c r="E1590" s="299">
        <v>52</v>
      </c>
      <c r="F1590" s="430" t="s">
        <v>3499</v>
      </c>
      <c r="G1590" s="300" t="str">
        <f t="shared" si="52"/>
        <v>ChirazPfalz</v>
      </c>
    </row>
    <row r="1591" spans="1:7" ht="12" customHeight="1">
      <c r="A1591" s="298">
        <v>36177</v>
      </c>
      <c r="B1591" s="299" t="s">
        <v>3509</v>
      </c>
      <c r="C1591" s="299">
        <v>160</v>
      </c>
      <c r="D1591" s="299">
        <f t="shared" si="51"/>
        <v>1</v>
      </c>
      <c r="E1591" s="299">
        <v>54</v>
      </c>
      <c r="F1591" s="430" t="s">
        <v>3504</v>
      </c>
      <c r="G1591" s="300" t="str">
        <f t="shared" si="52"/>
        <v>DeinhardBayern</v>
      </c>
    </row>
    <row r="1592" spans="1:7" ht="12" customHeight="1">
      <c r="A1592" s="298">
        <v>36253</v>
      </c>
      <c r="B1592" s="299" t="s">
        <v>3509</v>
      </c>
      <c r="C1592" s="299">
        <v>60</v>
      </c>
      <c r="D1592" s="299">
        <f t="shared" si="51"/>
        <v>4</v>
      </c>
      <c r="E1592" s="299">
        <v>50</v>
      </c>
      <c r="F1592" s="430" t="s">
        <v>3504</v>
      </c>
      <c r="G1592" s="300" t="str">
        <f t="shared" si="52"/>
        <v>DeinhardBayern</v>
      </c>
    </row>
    <row r="1593" spans="1:7" ht="12" customHeight="1">
      <c r="A1593" s="298">
        <v>36272</v>
      </c>
      <c r="B1593" s="299" t="s">
        <v>3509</v>
      </c>
      <c r="C1593" s="299">
        <v>60</v>
      </c>
      <c r="D1593" s="299">
        <f t="shared" si="51"/>
        <v>4</v>
      </c>
      <c r="E1593" s="299">
        <v>50</v>
      </c>
      <c r="F1593" s="430" t="s">
        <v>3504</v>
      </c>
      <c r="G1593" s="300" t="str">
        <f t="shared" si="52"/>
        <v>DeinhardBayern</v>
      </c>
    </row>
    <row r="1594" spans="1:7" ht="12" customHeight="1">
      <c r="A1594" s="298">
        <v>36273</v>
      </c>
      <c r="B1594" s="299" t="s">
        <v>3509</v>
      </c>
      <c r="C1594" s="299">
        <v>90</v>
      </c>
      <c r="D1594" s="299">
        <f t="shared" si="51"/>
        <v>4</v>
      </c>
      <c r="E1594" s="299">
        <v>54</v>
      </c>
      <c r="F1594" s="430" t="s">
        <v>3504</v>
      </c>
      <c r="G1594" s="300" t="str">
        <f t="shared" si="52"/>
        <v>DeinhardBayern</v>
      </c>
    </row>
    <row r="1595" spans="1:7" ht="12" customHeight="1">
      <c r="A1595" s="298">
        <v>36275</v>
      </c>
      <c r="B1595" s="299" t="s">
        <v>3509</v>
      </c>
      <c r="C1595" s="299">
        <v>80</v>
      </c>
      <c r="D1595" s="299">
        <f t="shared" si="51"/>
        <v>4</v>
      </c>
      <c r="E1595" s="299">
        <v>48</v>
      </c>
      <c r="F1595" s="430" t="s">
        <v>3504</v>
      </c>
      <c r="G1595" s="300" t="str">
        <f t="shared" si="52"/>
        <v>DeinhardBayern</v>
      </c>
    </row>
    <row r="1596" spans="1:7" ht="12" customHeight="1">
      <c r="A1596" s="298">
        <v>36357</v>
      </c>
      <c r="B1596" s="299" t="s">
        <v>3509</v>
      </c>
      <c r="C1596" s="299">
        <v>60</v>
      </c>
      <c r="D1596" s="299">
        <f t="shared" si="51"/>
        <v>7</v>
      </c>
      <c r="E1596" s="299">
        <v>53</v>
      </c>
      <c r="F1596" s="430" t="s">
        <v>3504</v>
      </c>
      <c r="G1596" s="300" t="str">
        <f t="shared" si="52"/>
        <v>DeinhardBayern</v>
      </c>
    </row>
    <row r="1597" spans="1:7" ht="12" customHeight="1">
      <c r="A1597" s="298">
        <v>36357</v>
      </c>
      <c r="B1597" s="299" t="s">
        <v>3509</v>
      </c>
      <c r="C1597" s="299">
        <v>70</v>
      </c>
      <c r="D1597" s="299">
        <f t="shared" si="51"/>
        <v>7</v>
      </c>
      <c r="E1597" s="299">
        <v>53</v>
      </c>
      <c r="F1597" s="430" t="s">
        <v>3504</v>
      </c>
      <c r="G1597" s="300" t="str">
        <f t="shared" si="52"/>
        <v>DeinhardBayern</v>
      </c>
    </row>
    <row r="1598" spans="1:7" ht="12" customHeight="1">
      <c r="A1598" s="298">
        <v>36365</v>
      </c>
      <c r="B1598" s="299" t="s">
        <v>3509</v>
      </c>
      <c r="C1598" s="299">
        <v>40</v>
      </c>
      <c r="D1598" s="299">
        <f t="shared" si="51"/>
        <v>7</v>
      </c>
      <c r="E1598" s="299">
        <v>49</v>
      </c>
      <c r="F1598" s="430" t="s">
        <v>3504</v>
      </c>
      <c r="G1598" s="300" t="str">
        <f t="shared" si="52"/>
        <v>DeinhardBayern</v>
      </c>
    </row>
    <row r="1599" spans="1:7" ht="12" customHeight="1">
      <c r="A1599" s="298">
        <v>36370</v>
      </c>
      <c r="B1599" s="299" t="s">
        <v>3509</v>
      </c>
      <c r="C1599" s="299">
        <v>10</v>
      </c>
      <c r="D1599" s="299">
        <f t="shared" si="51"/>
        <v>7</v>
      </c>
      <c r="E1599" s="299">
        <v>53</v>
      </c>
      <c r="F1599" s="430" t="s">
        <v>3504</v>
      </c>
      <c r="G1599" s="300" t="str">
        <f t="shared" si="52"/>
        <v>DeinhardBayern</v>
      </c>
    </row>
    <row r="1600" spans="1:7" ht="12" customHeight="1">
      <c r="A1600" s="298">
        <v>36396</v>
      </c>
      <c r="B1600" s="299" t="s">
        <v>3509</v>
      </c>
      <c r="C1600" s="299">
        <v>40</v>
      </c>
      <c r="D1600" s="299">
        <f t="shared" si="51"/>
        <v>8</v>
      </c>
      <c r="E1600" s="299">
        <v>49</v>
      </c>
      <c r="F1600" s="430" t="s">
        <v>3504</v>
      </c>
      <c r="G1600" s="300" t="str">
        <f t="shared" si="52"/>
        <v>DeinhardBayern</v>
      </c>
    </row>
    <row r="1601" spans="1:7" ht="12" customHeight="1">
      <c r="A1601" s="298">
        <v>36513</v>
      </c>
      <c r="B1601" s="299" t="s">
        <v>3509</v>
      </c>
      <c r="C1601" s="299">
        <v>80</v>
      </c>
      <c r="D1601" s="299">
        <f t="shared" si="51"/>
        <v>12</v>
      </c>
      <c r="E1601" s="299">
        <v>48</v>
      </c>
      <c r="F1601" s="430" t="s">
        <v>3504</v>
      </c>
      <c r="G1601" s="300" t="str">
        <f t="shared" si="52"/>
        <v>DeinhardBayern</v>
      </c>
    </row>
    <row r="1602" spans="1:7" ht="12" customHeight="1">
      <c r="A1602" s="298">
        <v>36223</v>
      </c>
      <c r="B1602" s="299" t="s">
        <v>3509</v>
      </c>
      <c r="C1602" s="299">
        <v>120</v>
      </c>
      <c r="D1602" s="299">
        <f t="shared" si="51"/>
        <v>3</v>
      </c>
      <c r="E1602" s="299">
        <v>50</v>
      </c>
      <c r="F1602" s="430" t="s">
        <v>3501</v>
      </c>
      <c r="G1602" s="300" t="str">
        <f t="shared" si="52"/>
        <v>DeinhardBW</v>
      </c>
    </row>
    <row r="1603" spans="1:7" ht="12" customHeight="1">
      <c r="A1603" s="298">
        <v>36224</v>
      </c>
      <c r="B1603" s="299" t="s">
        <v>3509</v>
      </c>
      <c r="C1603" s="299">
        <v>80</v>
      </c>
      <c r="D1603" s="299">
        <f t="shared" si="51"/>
        <v>3</v>
      </c>
      <c r="E1603" s="299">
        <v>50</v>
      </c>
      <c r="F1603" s="430" t="s">
        <v>3501</v>
      </c>
      <c r="G1603" s="300" t="str">
        <f t="shared" si="52"/>
        <v>DeinhardBW</v>
      </c>
    </row>
    <row r="1604" spans="1:7" ht="12" customHeight="1">
      <c r="A1604" s="298">
        <v>36241</v>
      </c>
      <c r="B1604" s="299" t="s">
        <v>3509</v>
      </c>
      <c r="C1604" s="299">
        <v>20</v>
      </c>
      <c r="D1604" s="299">
        <f t="shared" si="51"/>
        <v>3</v>
      </c>
      <c r="E1604" s="299">
        <v>51</v>
      </c>
      <c r="F1604" s="430" t="s">
        <v>3501</v>
      </c>
      <c r="G1604" s="300" t="str">
        <f t="shared" si="52"/>
        <v>DeinhardBW</v>
      </c>
    </row>
    <row r="1605" spans="1:7" ht="12" customHeight="1">
      <c r="A1605" s="298">
        <v>36243</v>
      </c>
      <c r="B1605" s="299" t="s">
        <v>3509</v>
      </c>
      <c r="C1605" s="299">
        <v>20</v>
      </c>
      <c r="D1605" s="299">
        <f t="shared" si="51"/>
        <v>3</v>
      </c>
      <c r="E1605" s="299">
        <v>50</v>
      </c>
      <c r="F1605" s="430" t="s">
        <v>3501</v>
      </c>
      <c r="G1605" s="300" t="str">
        <f t="shared" si="52"/>
        <v>DeinhardBW</v>
      </c>
    </row>
    <row r="1606" spans="1:7" ht="12" customHeight="1">
      <c r="A1606" s="298">
        <v>36260</v>
      </c>
      <c r="B1606" s="299" t="s">
        <v>3509</v>
      </c>
      <c r="C1606" s="299">
        <v>20</v>
      </c>
      <c r="D1606" s="299">
        <f t="shared" ref="D1606:D1669" si="53">MONTH(A1606)</f>
        <v>4</v>
      </c>
      <c r="E1606" s="299">
        <v>46</v>
      </c>
      <c r="F1606" s="430" t="s">
        <v>3501</v>
      </c>
      <c r="G1606" s="300" t="str">
        <f t="shared" ref="G1606:G1669" si="54">B1606&amp;F1606</f>
        <v>DeinhardBW</v>
      </c>
    </row>
    <row r="1607" spans="1:7" ht="12" customHeight="1">
      <c r="A1607" s="298">
        <v>36261</v>
      </c>
      <c r="B1607" s="299" t="s">
        <v>3509</v>
      </c>
      <c r="C1607" s="299">
        <v>20</v>
      </c>
      <c r="D1607" s="299">
        <f t="shared" si="53"/>
        <v>4</v>
      </c>
      <c r="E1607" s="299">
        <v>46</v>
      </c>
      <c r="F1607" s="430" t="s">
        <v>3501</v>
      </c>
      <c r="G1607" s="300" t="str">
        <f t="shared" si="54"/>
        <v>DeinhardBW</v>
      </c>
    </row>
    <row r="1608" spans="1:7" ht="12" customHeight="1">
      <c r="A1608" s="298">
        <v>36295</v>
      </c>
      <c r="B1608" s="299" t="s">
        <v>3509</v>
      </c>
      <c r="C1608" s="299">
        <v>40</v>
      </c>
      <c r="D1608" s="299">
        <f t="shared" si="53"/>
        <v>5</v>
      </c>
      <c r="E1608" s="299">
        <v>51</v>
      </c>
      <c r="F1608" s="430" t="s">
        <v>3501</v>
      </c>
      <c r="G1608" s="300" t="str">
        <f t="shared" si="54"/>
        <v>DeinhardBW</v>
      </c>
    </row>
    <row r="1609" spans="1:7" ht="12" customHeight="1">
      <c r="A1609" s="298">
        <v>36297</v>
      </c>
      <c r="B1609" s="299" t="s">
        <v>3509</v>
      </c>
      <c r="C1609" s="299">
        <v>70</v>
      </c>
      <c r="D1609" s="299">
        <f t="shared" si="53"/>
        <v>5</v>
      </c>
      <c r="E1609" s="299">
        <v>51</v>
      </c>
      <c r="F1609" s="430" t="s">
        <v>3501</v>
      </c>
      <c r="G1609" s="300" t="str">
        <f t="shared" si="54"/>
        <v>DeinhardBW</v>
      </c>
    </row>
    <row r="1610" spans="1:7" ht="12" customHeight="1">
      <c r="A1610" s="298">
        <v>36307</v>
      </c>
      <c r="B1610" s="299" t="s">
        <v>3509</v>
      </c>
      <c r="C1610" s="299">
        <v>10</v>
      </c>
      <c r="D1610" s="299">
        <f t="shared" si="53"/>
        <v>5</v>
      </c>
      <c r="E1610" s="299">
        <v>51</v>
      </c>
      <c r="F1610" s="430" t="s">
        <v>3501</v>
      </c>
      <c r="G1610" s="300" t="str">
        <f t="shared" si="54"/>
        <v>DeinhardBW</v>
      </c>
    </row>
    <row r="1611" spans="1:7" ht="12" customHeight="1">
      <c r="A1611" s="298">
        <v>36320</v>
      </c>
      <c r="B1611" s="299" t="s">
        <v>3509</v>
      </c>
      <c r="C1611" s="299">
        <v>50</v>
      </c>
      <c r="D1611" s="299">
        <f t="shared" si="53"/>
        <v>6</v>
      </c>
      <c r="E1611" s="299">
        <v>48</v>
      </c>
      <c r="F1611" s="430" t="s">
        <v>3501</v>
      </c>
      <c r="G1611" s="300" t="str">
        <f t="shared" si="54"/>
        <v>DeinhardBW</v>
      </c>
    </row>
    <row r="1612" spans="1:7" ht="12" customHeight="1">
      <c r="A1612" s="298">
        <v>36323</v>
      </c>
      <c r="B1612" s="299" t="s">
        <v>3509</v>
      </c>
      <c r="C1612" s="299">
        <v>90</v>
      </c>
      <c r="D1612" s="299">
        <f t="shared" si="53"/>
        <v>6</v>
      </c>
      <c r="E1612" s="299">
        <v>48</v>
      </c>
      <c r="F1612" s="430" t="s">
        <v>3501</v>
      </c>
      <c r="G1612" s="300" t="str">
        <f t="shared" si="54"/>
        <v>DeinhardBW</v>
      </c>
    </row>
    <row r="1613" spans="1:7" ht="12" customHeight="1">
      <c r="A1613" s="298">
        <v>36334</v>
      </c>
      <c r="B1613" s="299" t="s">
        <v>3509</v>
      </c>
      <c r="C1613" s="299">
        <v>120</v>
      </c>
      <c r="D1613" s="299">
        <f t="shared" si="53"/>
        <v>6</v>
      </c>
      <c r="E1613" s="299">
        <v>48</v>
      </c>
      <c r="F1613" s="430" t="s">
        <v>3501</v>
      </c>
      <c r="G1613" s="300" t="str">
        <f t="shared" si="54"/>
        <v>DeinhardBW</v>
      </c>
    </row>
    <row r="1614" spans="1:7" ht="12" customHeight="1">
      <c r="A1614" s="298">
        <v>36376</v>
      </c>
      <c r="B1614" s="299" t="s">
        <v>3509</v>
      </c>
      <c r="C1614" s="299">
        <v>50</v>
      </c>
      <c r="D1614" s="299">
        <f t="shared" si="53"/>
        <v>8</v>
      </c>
      <c r="E1614" s="299">
        <v>50</v>
      </c>
      <c r="F1614" s="430" t="s">
        <v>3501</v>
      </c>
      <c r="G1614" s="300" t="str">
        <f t="shared" si="54"/>
        <v>DeinhardBW</v>
      </c>
    </row>
    <row r="1615" spans="1:7" ht="12" customHeight="1">
      <c r="A1615" s="298">
        <v>36380</v>
      </c>
      <c r="B1615" s="299" t="s">
        <v>3509</v>
      </c>
      <c r="C1615" s="299">
        <v>120</v>
      </c>
      <c r="D1615" s="299">
        <f t="shared" si="53"/>
        <v>8</v>
      </c>
      <c r="E1615" s="299">
        <v>50</v>
      </c>
      <c r="F1615" s="430" t="s">
        <v>3501</v>
      </c>
      <c r="G1615" s="300" t="str">
        <f t="shared" si="54"/>
        <v>DeinhardBW</v>
      </c>
    </row>
    <row r="1616" spans="1:7" ht="12" customHeight="1">
      <c r="A1616" s="298">
        <v>36225</v>
      </c>
      <c r="B1616" s="299" t="s">
        <v>3509</v>
      </c>
      <c r="C1616" s="299">
        <v>30</v>
      </c>
      <c r="D1616" s="299">
        <f t="shared" si="53"/>
        <v>3</v>
      </c>
      <c r="E1616" s="299">
        <v>52</v>
      </c>
      <c r="F1616" s="430" t="s">
        <v>3502</v>
      </c>
      <c r="G1616" s="300" t="str">
        <f t="shared" si="54"/>
        <v>DeinhardHessen</v>
      </c>
    </row>
    <row r="1617" spans="1:7" ht="12" customHeight="1">
      <c r="A1617" s="298">
        <v>36228</v>
      </c>
      <c r="B1617" s="299" t="s">
        <v>3509</v>
      </c>
      <c r="C1617" s="299">
        <v>80</v>
      </c>
      <c r="D1617" s="299">
        <f t="shared" si="53"/>
        <v>3</v>
      </c>
      <c r="E1617" s="299">
        <v>52</v>
      </c>
      <c r="F1617" s="430" t="s">
        <v>3502</v>
      </c>
      <c r="G1617" s="300" t="str">
        <f t="shared" si="54"/>
        <v>DeinhardHessen</v>
      </c>
    </row>
    <row r="1618" spans="1:7" ht="12" customHeight="1">
      <c r="A1618" s="298">
        <v>36296</v>
      </c>
      <c r="B1618" s="299" t="s">
        <v>3509</v>
      </c>
      <c r="C1618" s="299">
        <v>80</v>
      </c>
      <c r="D1618" s="299">
        <f t="shared" si="53"/>
        <v>5</v>
      </c>
      <c r="E1618" s="299">
        <v>54</v>
      </c>
      <c r="F1618" s="430" t="s">
        <v>3502</v>
      </c>
      <c r="G1618" s="300" t="str">
        <f t="shared" si="54"/>
        <v>DeinhardHessen</v>
      </c>
    </row>
    <row r="1619" spans="1:7" ht="12" customHeight="1">
      <c r="A1619" s="298">
        <v>36291</v>
      </c>
      <c r="B1619" s="299" t="s">
        <v>3509</v>
      </c>
      <c r="C1619" s="299">
        <v>80</v>
      </c>
      <c r="D1619" s="299">
        <f t="shared" si="53"/>
        <v>5</v>
      </c>
      <c r="E1619" s="299">
        <v>50</v>
      </c>
      <c r="F1619" s="430" t="s">
        <v>3503</v>
      </c>
      <c r="G1619" s="300" t="str">
        <f t="shared" si="54"/>
        <v>DeinhardHolstein</v>
      </c>
    </row>
    <row r="1620" spans="1:7" ht="12" customHeight="1">
      <c r="A1620" s="298">
        <v>36308</v>
      </c>
      <c r="B1620" s="299" t="s">
        <v>3509</v>
      </c>
      <c r="C1620" s="299">
        <v>40</v>
      </c>
      <c r="D1620" s="299">
        <f t="shared" si="53"/>
        <v>5</v>
      </c>
      <c r="E1620" s="299">
        <v>48</v>
      </c>
      <c r="F1620" s="430" t="s">
        <v>3503</v>
      </c>
      <c r="G1620" s="300" t="str">
        <f t="shared" si="54"/>
        <v>DeinhardHolstein</v>
      </c>
    </row>
    <row r="1621" spans="1:7" ht="12" customHeight="1">
      <c r="A1621" s="298">
        <v>36360</v>
      </c>
      <c r="B1621" s="299" t="s">
        <v>3509</v>
      </c>
      <c r="C1621" s="299">
        <v>120</v>
      </c>
      <c r="D1621" s="299">
        <f t="shared" si="53"/>
        <v>7</v>
      </c>
      <c r="E1621" s="299">
        <v>50</v>
      </c>
      <c r="F1621" s="430" t="s">
        <v>3503</v>
      </c>
      <c r="G1621" s="300" t="str">
        <f t="shared" si="54"/>
        <v>DeinhardHolstein</v>
      </c>
    </row>
    <row r="1622" spans="1:7" ht="12" customHeight="1">
      <c r="A1622" s="298">
        <v>36367</v>
      </c>
      <c r="B1622" s="299" t="s">
        <v>3509</v>
      </c>
      <c r="C1622" s="299">
        <v>50</v>
      </c>
      <c r="D1622" s="299">
        <f t="shared" si="53"/>
        <v>7</v>
      </c>
      <c r="E1622" s="299">
        <v>48</v>
      </c>
      <c r="F1622" s="430" t="s">
        <v>3503</v>
      </c>
      <c r="G1622" s="300" t="str">
        <f t="shared" si="54"/>
        <v>DeinhardHolstein</v>
      </c>
    </row>
    <row r="1623" spans="1:7" ht="12" customHeight="1">
      <c r="A1623" s="298">
        <v>36375</v>
      </c>
      <c r="B1623" s="299" t="s">
        <v>3509</v>
      </c>
      <c r="C1623" s="299">
        <v>40</v>
      </c>
      <c r="D1623" s="299">
        <f t="shared" si="53"/>
        <v>8</v>
      </c>
      <c r="E1623" s="299">
        <v>48</v>
      </c>
      <c r="F1623" s="430" t="s">
        <v>3503</v>
      </c>
      <c r="G1623" s="300" t="str">
        <f t="shared" si="54"/>
        <v>DeinhardHolstein</v>
      </c>
    </row>
    <row r="1624" spans="1:7" ht="12" customHeight="1">
      <c r="A1624" s="298">
        <v>36379</v>
      </c>
      <c r="B1624" s="299" t="s">
        <v>3509</v>
      </c>
      <c r="C1624" s="299">
        <v>40</v>
      </c>
      <c r="D1624" s="299">
        <f t="shared" si="53"/>
        <v>8</v>
      </c>
      <c r="E1624" s="299">
        <v>49</v>
      </c>
      <c r="F1624" s="430" t="s">
        <v>3503</v>
      </c>
      <c r="G1624" s="300" t="str">
        <f t="shared" si="54"/>
        <v>DeinhardHolstein</v>
      </c>
    </row>
    <row r="1625" spans="1:7" ht="12" customHeight="1">
      <c r="A1625" s="298">
        <v>36383</v>
      </c>
      <c r="B1625" s="299" t="s">
        <v>3509</v>
      </c>
      <c r="C1625" s="299">
        <v>50</v>
      </c>
      <c r="D1625" s="299">
        <f t="shared" si="53"/>
        <v>8</v>
      </c>
      <c r="E1625" s="299">
        <v>53</v>
      </c>
      <c r="F1625" s="430" t="s">
        <v>3503</v>
      </c>
      <c r="G1625" s="300" t="str">
        <f t="shared" si="54"/>
        <v>DeinhardHolstein</v>
      </c>
    </row>
    <row r="1626" spans="1:7" ht="12" customHeight="1">
      <c r="A1626" s="298">
        <v>36385</v>
      </c>
      <c r="B1626" s="299" t="s">
        <v>3509</v>
      </c>
      <c r="C1626" s="299">
        <v>120</v>
      </c>
      <c r="D1626" s="299">
        <f t="shared" si="53"/>
        <v>8</v>
      </c>
      <c r="E1626" s="299">
        <v>50</v>
      </c>
      <c r="F1626" s="430" t="s">
        <v>3503</v>
      </c>
      <c r="G1626" s="300" t="str">
        <f t="shared" si="54"/>
        <v>DeinhardHolstein</v>
      </c>
    </row>
    <row r="1627" spans="1:7" ht="12" customHeight="1">
      <c r="A1627" s="298">
        <v>36387</v>
      </c>
      <c r="B1627" s="299" t="s">
        <v>3509</v>
      </c>
      <c r="C1627" s="299">
        <v>40</v>
      </c>
      <c r="D1627" s="299">
        <f t="shared" si="53"/>
        <v>8</v>
      </c>
      <c r="E1627" s="299">
        <v>50</v>
      </c>
      <c r="F1627" s="430" t="s">
        <v>3503</v>
      </c>
      <c r="G1627" s="300" t="str">
        <f t="shared" si="54"/>
        <v>DeinhardHolstein</v>
      </c>
    </row>
    <row r="1628" spans="1:7" ht="12" customHeight="1">
      <c r="A1628" s="298">
        <v>36400</v>
      </c>
      <c r="B1628" s="299" t="s">
        <v>3509</v>
      </c>
      <c r="C1628" s="299">
        <v>40</v>
      </c>
      <c r="D1628" s="299">
        <f t="shared" si="53"/>
        <v>8</v>
      </c>
      <c r="E1628" s="299">
        <v>46</v>
      </c>
      <c r="F1628" s="430" t="s">
        <v>3503</v>
      </c>
      <c r="G1628" s="300" t="str">
        <f t="shared" si="54"/>
        <v>DeinhardHolstein</v>
      </c>
    </row>
    <row r="1629" spans="1:7" ht="12" customHeight="1">
      <c r="A1629" s="298">
        <v>36462</v>
      </c>
      <c r="B1629" s="299" t="s">
        <v>3509</v>
      </c>
      <c r="C1629" s="299">
        <v>80</v>
      </c>
      <c r="D1629" s="299">
        <f t="shared" si="53"/>
        <v>10</v>
      </c>
      <c r="E1629" s="299">
        <v>46</v>
      </c>
      <c r="F1629" s="430" t="s">
        <v>3503</v>
      </c>
      <c r="G1629" s="300" t="str">
        <f t="shared" si="54"/>
        <v>DeinhardHolstein</v>
      </c>
    </row>
    <row r="1630" spans="1:7" ht="12" customHeight="1">
      <c r="A1630" s="298">
        <v>36486</v>
      </c>
      <c r="B1630" s="299" t="s">
        <v>3509</v>
      </c>
      <c r="C1630" s="299">
        <v>60</v>
      </c>
      <c r="D1630" s="299">
        <f t="shared" si="53"/>
        <v>11</v>
      </c>
      <c r="E1630" s="299">
        <v>52</v>
      </c>
      <c r="F1630" s="430" t="s">
        <v>3503</v>
      </c>
      <c r="G1630" s="300" t="str">
        <f t="shared" si="54"/>
        <v>DeinhardHolstein</v>
      </c>
    </row>
    <row r="1631" spans="1:7" ht="12" customHeight="1">
      <c r="A1631" s="298">
        <v>36507</v>
      </c>
      <c r="B1631" s="299" t="s">
        <v>3509</v>
      </c>
      <c r="C1631" s="299">
        <v>10</v>
      </c>
      <c r="D1631" s="299">
        <f t="shared" si="53"/>
        <v>12</v>
      </c>
      <c r="E1631" s="299">
        <v>50</v>
      </c>
      <c r="F1631" s="430" t="s">
        <v>3503</v>
      </c>
      <c r="G1631" s="300" t="str">
        <f t="shared" si="54"/>
        <v>DeinhardHolstein</v>
      </c>
    </row>
    <row r="1632" spans="1:7" ht="12" customHeight="1">
      <c r="A1632" s="298">
        <v>36508</v>
      </c>
      <c r="B1632" s="299" t="s">
        <v>3509</v>
      </c>
      <c r="C1632" s="299">
        <v>70</v>
      </c>
      <c r="D1632" s="299">
        <f t="shared" si="53"/>
        <v>12</v>
      </c>
      <c r="E1632" s="299">
        <v>50</v>
      </c>
      <c r="F1632" s="430" t="s">
        <v>3503</v>
      </c>
      <c r="G1632" s="300" t="str">
        <f t="shared" si="54"/>
        <v>DeinhardHolstein</v>
      </c>
    </row>
    <row r="1633" spans="1:7" ht="12" customHeight="1">
      <c r="A1633" s="298">
        <v>36511</v>
      </c>
      <c r="B1633" s="299" t="s">
        <v>3509</v>
      </c>
      <c r="C1633" s="299">
        <v>60</v>
      </c>
      <c r="D1633" s="299">
        <f t="shared" si="53"/>
        <v>12</v>
      </c>
      <c r="E1633" s="299">
        <v>50</v>
      </c>
      <c r="F1633" s="430" t="s">
        <v>3503</v>
      </c>
      <c r="G1633" s="300" t="str">
        <f t="shared" si="54"/>
        <v>DeinhardHolstein</v>
      </c>
    </row>
    <row r="1634" spans="1:7" ht="12" customHeight="1">
      <c r="A1634" s="298">
        <v>36269</v>
      </c>
      <c r="B1634" s="299" t="s">
        <v>3509</v>
      </c>
      <c r="C1634" s="299">
        <v>40</v>
      </c>
      <c r="D1634" s="299">
        <f t="shared" si="53"/>
        <v>4</v>
      </c>
      <c r="E1634" s="299">
        <v>49</v>
      </c>
      <c r="F1634" s="430" t="s">
        <v>3497</v>
      </c>
      <c r="G1634" s="300" t="str">
        <f t="shared" si="54"/>
        <v>DeinhardNRW</v>
      </c>
    </row>
    <row r="1635" spans="1:7" ht="12" customHeight="1">
      <c r="A1635" s="298">
        <v>36273</v>
      </c>
      <c r="B1635" s="299" t="s">
        <v>3509</v>
      </c>
      <c r="C1635" s="299">
        <v>20</v>
      </c>
      <c r="D1635" s="299">
        <f t="shared" si="53"/>
        <v>4</v>
      </c>
      <c r="E1635" s="299">
        <v>50</v>
      </c>
      <c r="F1635" s="430" t="s">
        <v>3497</v>
      </c>
      <c r="G1635" s="300" t="str">
        <f t="shared" si="54"/>
        <v>DeinhardNRW</v>
      </c>
    </row>
    <row r="1636" spans="1:7" ht="12" customHeight="1">
      <c r="A1636" s="298">
        <v>36327</v>
      </c>
      <c r="B1636" s="299" t="s">
        <v>3509</v>
      </c>
      <c r="C1636" s="299">
        <v>80</v>
      </c>
      <c r="D1636" s="299">
        <f t="shared" si="53"/>
        <v>6</v>
      </c>
      <c r="E1636" s="299">
        <v>49</v>
      </c>
      <c r="F1636" s="430" t="s">
        <v>3497</v>
      </c>
      <c r="G1636" s="300" t="str">
        <f t="shared" si="54"/>
        <v>DeinhardNRW</v>
      </c>
    </row>
    <row r="1637" spans="1:7" ht="12" customHeight="1">
      <c r="A1637" s="298">
        <v>36330</v>
      </c>
      <c r="B1637" s="299" t="s">
        <v>3509</v>
      </c>
      <c r="C1637" s="299">
        <v>100</v>
      </c>
      <c r="D1637" s="299">
        <f t="shared" si="53"/>
        <v>6</v>
      </c>
      <c r="E1637" s="299">
        <v>54</v>
      </c>
      <c r="F1637" s="430" t="s">
        <v>3497</v>
      </c>
      <c r="G1637" s="300" t="str">
        <f t="shared" si="54"/>
        <v>DeinhardNRW</v>
      </c>
    </row>
    <row r="1638" spans="1:7" ht="12" customHeight="1">
      <c r="A1638" s="298">
        <v>36335</v>
      </c>
      <c r="B1638" s="299" t="s">
        <v>3509</v>
      </c>
      <c r="C1638" s="299">
        <v>40</v>
      </c>
      <c r="D1638" s="299">
        <f t="shared" si="53"/>
        <v>6</v>
      </c>
      <c r="E1638" s="299">
        <v>54</v>
      </c>
      <c r="F1638" s="430" t="s">
        <v>3497</v>
      </c>
      <c r="G1638" s="300" t="str">
        <f t="shared" si="54"/>
        <v>DeinhardNRW</v>
      </c>
    </row>
    <row r="1639" spans="1:7" ht="12" customHeight="1">
      <c r="A1639" s="298">
        <v>36343</v>
      </c>
      <c r="B1639" s="299" t="s">
        <v>3509</v>
      </c>
      <c r="C1639" s="299">
        <v>50</v>
      </c>
      <c r="D1639" s="299">
        <f t="shared" si="53"/>
        <v>7</v>
      </c>
      <c r="E1639" s="299">
        <v>46</v>
      </c>
      <c r="F1639" s="430" t="s">
        <v>3497</v>
      </c>
      <c r="G1639" s="300" t="str">
        <f t="shared" si="54"/>
        <v>DeinhardNRW</v>
      </c>
    </row>
    <row r="1640" spans="1:7" ht="12" customHeight="1">
      <c r="A1640" s="298">
        <v>36348</v>
      </c>
      <c r="B1640" s="299" t="s">
        <v>3509</v>
      </c>
      <c r="C1640" s="299">
        <v>100</v>
      </c>
      <c r="D1640" s="299">
        <f t="shared" si="53"/>
        <v>7</v>
      </c>
      <c r="E1640" s="299">
        <v>46</v>
      </c>
      <c r="F1640" s="430" t="s">
        <v>3497</v>
      </c>
      <c r="G1640" s="300" t="str">
        <f t="shared" si="54"/>
        <v>DeinhardNRW</v>
      </c>
    </row>
    <row r="1641" spans="1:7" ht="12" customHeight="1">
      <c r="A1641" s="298">
        <v>36351</v>
      </c>
      <c r="B1641" s="299" t="s">
        <v>3509</v>
      </c>
      <c r="C1641" s="299">
        <v>100</v>
      </c>
      <c r="D1641" s="299">
        <f t="shared" si="53"/>
        <v>7</v>
      </c>
      <c r="E1641" s="299">
        <v>47</v>
      </c>
      <c r="F1641" s="430" t="s">
        <v>3497</v>
      </c>
      <c r="G1641" s="300" t="str">
        <f t="shared" si="54"/>
        <v>DeinhardNRW</v>
      </c>
    </row>
    <row r="1642" spans="1:7" ht="12" customHeight="1">
      <c r="A1642" s="298">
        <v>36359</v>
      </c>
      <c r="B1642" s="299" t="s">
        <v>3509</v>
      </c>
      <c r="C1642" s="299">
        <v>120</v>
      </c>
      <c r="D1642" s="299">
        <f t="shared" si="53"/>
        <v>7</v>
      </c>
      <c r="E1642" s="299">
        <v>46</v>
      </c>
      <c r="F1642" s="430" t="s">
        <v>3497</v>
      </c>
      <c r="G1642" s="300" t="str">
        <f t="shared" si="54"/>
        <v>DeinhardNRW</v>
      </c>
    </row>
    <row r="1643" spans="1:7" ht="12" customHeight="1">
      <c r="A1643" s="298">
        <v>36362</v>
      </c>
      <c r="B1643" s="299" t="s">
        <v>3509</v>
      </c>
      <c r="C1643" s="299">
        <v>50</v>
      </c>
      <c r="D1643" s="299">
        <f t="shared" si="53"/>
        <v>7</v>
      </c>
      <c r="E1643" s="299">
        <v>46</v>
      </c>
      <c r="F1643" s="430" t="s">
        <v>3497</v>
      </c>
      <c r="G1643" s="300" t="str">
        <f t="shared" si="54"/>
        <v>DeinhardNRW</v>
      </c>
    </row>
    <row r="1644" spans="1:7" ht="12" customHeight="1">
      <c r="A1644" s="298">
        <v>36398</v>
      </c>
      <c r="B1644" s="299" t="s">
        <v>3509</v>
      </c>
      <c r="C1644" s="299">
        <v>160</v>
      </c>
      <c r="D1644" s="299">
        <f t="shared" si="53"/>
        <v>8</v>
      </c>
      <c r="E1644" s="299">
        <v>50</v>
      </c>
      <c r="F1644" s="430" t="s">
        <v>3497</v>
      </c>
      <c r="G1644" s="300" t="str">
        <f t="shared" si="54"/>
        <v>DeinhardNRW</v>
      </c>
    </row>
    <row r="1645" spans="1:7" ht="12" customHeight="1">
      <c r="A1645" s="298">
        <v>36481</v>
      </c>
      <c r="B1645" s="299" t="s">
        <v>3509</v>
      </c>
      <c r="C1645" s="299">
        <v>20</v>
      </c>
      <c r="D1645" s="299">
        <f t="shared" si="53"/>
        <v>11</v>
      </c>
      <c r="E1645" s="299">
        <v>45</v>
      </c>
      <c r="F1645" s="430" t="s">
        <v>3497</v>
      </c>
      <c r="G1645" s="300" t="str">
        <f t="shared" si="54"/>
        <v>DeinhardNRW</v>
      </c>
    </row>
    <row r="1646" spans="1:7" ht="12" customHeight="1">
      <c r="A1646" s="298">
        <v>36485</v>
      </c>
      <c r="B1646" s="299" t="s">
        <v>3509</v>
      </c>
      <c r="C1646" s="299">
        <v>60</v>
      </c>
      <c r="D1646" s="299">
        <f t="shared" si="53"/>
        <v>11</v>
      </c>
      <c r="E1646" s="299">
        <v>50</v>
      </c>
      <c r="F1646" s="430" t="s">
        <v>3497</v>
      </c>
      <c r="G1646" s="300" t="str">
        <f t="shared" si="54"/>
        <v>DeinhardNRW</v>
      </c>
    </row>
    <row r="1647" spans="1:7" ht="12" customHeight="1">
      <c r="A1647" s="298">
        <v>36487</v>
      </c>
      <c r="B1647" s="299" t="s">
        <v>3509</v>
      </c>
      <c r="C1647" s="299">
        <v>20</v>
      </c>
      <c r="D1647" s="299">
        <f t="shared" si="53"/>
        <v>11</v>
      </c>
      <c r="E1647" s="299">
        <v>45</v>
      </c>
      <c r="F1647" s="430" t="s">
        <v>3497</v>
      </c>
      <c r="G1647" s="300" t="str">
        <f t="shared" si="54"/>
        <v>DeinhardNRW</v>
      </c>
    </row>
    <row r="1648" spans="1:7" ht="12" customHeight="1">
      <c r="A1648" s="298">
        <v>36522</v>
      </c>
      <c r="B1648" s="299" t="s">
        <v>3509</v>
      </c>
      <c r="C1648" s="299">
        <v>80</v>
      </c>
      <c r="D1648" s="299">
        <f t="shared" si="53"/>
        <v>12</v>
      </c>
      <c r="E1648" s="299">
        <v>45</v>
      </c>
      <c r="F1648" s="430" t="s">
        <v>3497</v>
      </c>
      <c r="G1648" s="300" t="str">
        <f t="shared" si="54"/>
        <v>DeinhardNRW</v>
      </c>
    </row>
    <row r="1649" spans="1:7" ht="12" customHeight="1">
      <c r="A1649" s="298">
        <v>36326</v>
      </c>
      <c r="B1649" s="299" t="s">
        <v>3509</v>
      </c>
      <c r="C1649" s="299">
        <v>30</v>
      </c>
      <c r="D1649" s="299">
        <f t="shared" si="53"/>
        <v>6</v>
      </c>
      <c r="E1649" s="299">
        <v>50</v>
      </c>
      <c r="F1649" s="430" t="s">
        <v>3499</v>
      </c>
      <c r="G1649" s="300" t="str">
        <f t="shared" si="54"/>
        <v>DeinhardPfalz</v>
      </c>
    </row>
    <row r="1650" spans="1:7" ht="12" customHeight="1">
      <c r="A1650" s="298">
        <v>36508</v>
      </c>
      <c r="B1650" s="299" t="s">
        <v>3509</v>
      </c>
      <c r="C1650" s="299">
        <v>10</v>
      </c>
      <c r="D1650" s="299">
        <f t="shared" si="53"/>
        <v>12</v>
      </c>
      <c r="E1650" s="299">
        <v>50</v>
      </c>
      <c r="F1650" s="430" t="s">
        <v>3499</v>
      </c>
      <c r="G1650" s="300" t="str">
        <f t="shared" si="54"/>
        <v>DeinhardPfalz</v>
      </c>
    </row>
    <row r="1651" spans="1:7" ht="12" customHeight="1">
      <c r="A1651" s="298">
        <v>36266</v>
      </c>
      <c r="B1651" s="299" t="s">
        <v>3509</v>
      </c>
      <c r="C1651" s="299">
        <v>80</v>
      </c>
      <c r="D1651" s="299">
        <f t="shared" si="53"/>
        <v>4</v>
      </c>
      <c r="E1651" s="299">
        <v>45</v>
      </c>
      <c r="F1651" s="430" t="s">
        <v>3500</v>
      </c>
      <c r="G1651" s="300" t="str">
        <f t="shared" si="54"/>
        <v>DeinhardSaarland</v>
      </c>
    </row>
    <row r="1652" spans="1:7" ht="12" customHeight="1">
      <c r="A1652" s="298">
        <v>36280</v>
      </c>
      <c r="B1652" s="299" t="s">
        <v>3509</v>
      </c>
      <c r="C1652" s="299">
        <v>10</v>
      </c>
      <c r="D1652" s="299">
        <f t="shared" si="53"/>
        <v>4</v>
      </c>
      <c r="E1652" s="299">
        <v>53</v>
      </c>
      <c r="F1652" s="430" t="s">
        <v>3500</v>
      </c>
      <c r="G1652" s="300" t="str">
        <f t="shared" si="54"/>
        <v>DeinhardSaarland</v>
      </c>
    </row>
    <row r="1653" spans="1:7" ht="12" customHeight="1">
      <c r="A1653" s="298">
        <v>36295</v>
      </c>
      <c r="B1653" s="299" t="s">
        <v>3509</v>
      </c>
      <c r="C1653" s="299">
        <v>80</v>
      </c>
      <c r="D1653" s="299">
        <f t="shared" si="53"/>
        <v>5</v>
      </c>
      <c r="E1653" s="299">
        <v>50</v>
      </c>
      <c r="F1653" s="430" t="s">
        <v>3500</v>
      </c>
      <c r="G1653" s="300" t="str">
        <f t="shared" si="54"/>
        <v>DeinhardSaarland</v>
      </c>
    </row>
    <row r="1654" spans="1:7" ht="12" customHeight="1">
      <c r="A1654" s="298">
        <v>36302</v>
      </c>
      <c r="B1654" s="299" t="s">
        <v>3509</v>
      </c>
      <c r="C1654" s="299">
        <v>50</v>
      </c>
      <c r="D1654" s="299">
        <f t="shared" si="53"/>
        <v>5</v>
      </c>
      <c r="E1654" s="299">
        <v>50</v>
      </c>
      <c r="F1654" s="430" t="s">
        <v>3500</v>
      </c>
      <c r="G1654" s="300" t="str">
        <f t="shared" si="54"/>
        <v>DeinhardSaarland</v>
      </c>
    </row>
    <row r="1655" spans="1:7" ht="12" customHeight="1">
      <c r="A1655" s="298">
        <v>36307</v>
      </c>
      <c r="B1655" s="299" t="s">
        <v>3509</v>
      </c>
      <c r="C1655" s="299">
        <v>40</v>
      </c>
      <c r="D1655" s="299">
        <f t="shared" si="53"/>
        <v>5</v>
      </c>
      <c r="E1655" s="299">
        <v>50</v>
      </c>
      <c r="F1655" s="430" t="s">
        <v>3500</v>
      </c>
      <c r="G1655" s="300" t="str">
        <f t="shared" si="54"/>
        <v>DeinhardSaarland</v>
      </c>
    </row>
    <row r="1656" spans="1:7" ht="12" customHeight="1">
      <c r="A1656" s="298">
        <v>36355</v>
      </c>
      <c r="B1656" s="299" t="s">
        <v>3509</v>
      </c>
      <c r="C1656" s="299">
        <v>60</v>
      </c>
      <c r="D1656" s="299">
        <f t="shared" si="53"/>
        <v>7</v>
      </c>
      <c r="E1656" s="299">
        <v>49</v>
      </c>
      <c r="F1656" s="430" t="s">
        <v>3500</v>
      </c>
      <c r="G1656" s="300" t="str">
        <f t="shared" si="54"/>
        <v>DeinhardSaarland</v>
      </c>
    </row>
    <row r="1657" spans="1:7" ht="12" customHeight="1">
      <c r="A1657" s="298">
        <v>36363</v>
      </c>
      <c r="B1657" s="299" t="s">
        <v>3509</v>
      </c>
      <c r="C1657" s="299">
        <v>60</v>
      </c>
      <c r="D1657" s="299">
        <f t="shared" si="53"/>
        <v>7</v>
      </c>
      <c r="E1657" s="299">
        <v>48</v>
      </c>
      <c r="F1657" s="430" t="s">
        <v>3500</v>
      </c>
      <c r="G1657" s="300" t="str">
        <f t="shared" si="54"/>
        <v>DeinhardSaarland</v>
      </c>
    </row>
    <row r="1658" spans="1:7" ht="12" customHeight="1">
      <c r="A1658" s="298">
        <v>36182</v>
      </c>
      <c r="B1658" s="299" t="s">
        <v>3510</v>
      </c>
      <c r="C1658" s="299">
        <v>40</v>
      </c>
      <c r="D1658" s="299">
        <f t="shared" si="53"/>
        <v>1</v>
      </c>
      <c r="E1658" s="299">
        <v>48</v>
      </c>
      <c r="F1658" s="430" t="s">
        <v>3504</v>
      </c>
      <c r="G1658" s="300" t="str">
        <f t="shared" si="54"/>
        <v>M&amp;MBayern</v>
      </c>
    </row>
    <row r="1659" spans="1:7" ht="12" customHeight="1">
      <c r="A1659" s="298">
        <v>36187</v>
      </c>
      <c r="B1659" s="299" t="s">
        <v>3510</v>
      </c>
      <c r="C1659" s="299">
        <v>20</v>
      </c>
      <c r="D1659" s="299">
        <f t="shared" si="53"/>
        <v>1</v>
      </c>
      <c r="E1659" s="299">
        <v>48</v>
      </c>
      <c r="F1659" s="430" t="s">
        <v>3504</v>
      </c>
      <c r="G1659" s="300" t="str">
        <f t="shared" si="54"/>
        <v>M&amp;MBayern</v>
      </c>
    </row>
    <row r="1660" spans="1:7" ht="12" customHeight="1">
      <c r="A1660" s="298">
        <v>36188</v>
      </c>
      <c r="B1660" s="299" t="s">
        <v>3510</v>
      </c>
      <c r="C1660" s="299">
        <v>120</v>
      </c>
      <c r="D1660" s="299">
        <f t="shared" si="53"/>
        <v>1</v>
      </c>
      <c r="E1660" s="299">
        <v>48</v>
      </c>
      <c r="F1660" s="430" t="s">
        <v>3504</v>
      </c>
      <c r="G1660" s="300" t="str">
        <f t="shared" si="54"/>
        <v>M&amp;MBayern</v>
      </c>
    </row>
    <row r="1661" spans="1:7" ht="12" customHeight="1">
      <c r="A1661" s="298">
        <v>36200</v>
      </c>
      <c r="B1661" s="299" t="s">
        <v>3510</v>
      </c>
      <c r="C1661" s="299">
        <v>120</v>
      </c>
      <c r="D1661" s="299">
        <f t="shared" si="53"/>
        <v>2</v>
      </c>
      <c r="E1661" s="299">
        <v>49</v>
      </c>
      <c r="F1661" s="430" t="s">
        <v>3504</v>
      </c>
      <c r="G1661" s="300" t="str">
        <f t="shared" si="54"/>
        <v>M&amp;MBayern</v>
      </c>
    </row>
    <row r="1662" spans="1:7" ht="12" customHeight="1">
      <c r="A1662" s="298">
        <v>36203</v>
      </c>
      <c r="B1662" s="299" t="s">
        <v>3510</v>
      </c>
      <c r="C1662" s="299">
        <v>30</v>
      </c>
      <c r="D1662" s="299">
        <f t="shared" si="53"/>
        <v>2</v>
      </c>
      <c r="E1662" s="299">
        <v>54</v>
      </c>
      <c r="F1662" s="430" t="s">
        <v>3504</v>
      </c>
      <c r="G1662" s="300" t="str">
        <f t="shared" si="54"/>
        <v>M&amp;MBayern</v>
      </c>
    </row>
    <row r="1663" spans="1:7" ht="12" customHeight="1">
      <c r="A1663" s="298">
        <v>36234</v>
      </c>
      <c r="B1663" s="299" t="s">
        <v>3510</v>
      </c>
      <c r="C1663" s="299">
        <v>80</v>
      </c>
      <c r="D1663" s="299">
        <f t="shared" si="53"/>
        <v>3</v>
      </c>
      <c r="E1663" s="299">
        <v>49</v>
      </c>
      <c r="F1663" s="430" t="s">
        <v>3504</v>
      </c>
      <c r="G1663" s="300" t="str">
        <f t="shared" si="54"/>
        <v>M&amp;MBayern</v>
      </c>
    </row>
    <row r="1664" spans="1:7" ht="12" customHeight="1">
      <c r="A1664" s="298">
        <v>36256</v>
      </c>
      <c r="B1664" s="299" t="s">
        <v>3510</v>
      </c>
      <c r="C1664" s="299">
        <v>10</v>
      </c>
      <c r="D1664" s="299">
        <f t="shared" si="53"/>
        <v>4</v>
      </c>
      <c r="E1664" s="299">
        <v>54</v>
      </c>
      <c r="F1664" s="430" t="s">
        <v>3504</v>
      </c>
      <c r="G1664" s="300" t="str">
        <f t="shared" si="54"/>
        <v>M&amp;MBayern</v>
      </c>
    </row>
    <row r="1665" spans="1:7" ht="12" customHeight="1">
      <c r="A1665" s="298">
        <v>36266</v>
      </c>
      <c r="B1665" s="299" t="s">
        <v>3510</v>
      </c>
      <c r="C1665" s="299">
        <v>120</v>
      </c>
      <c r="D1665" s="299">
        <f t="shared" si="53"/>
        <v>4</v>
      </c>
      <c r="E1665" s="299">
        <v>48</v>
      </c>
      <c r="F1665" s="430" t="s">
        <v>3504</v>
      </c>
      <c r="G1665" s="300" t="str">
        <f t="shared" si="54"/>
        <v>M&amp;MBayern</v>
      </c>
    </row>
    <row r="1666" spans="1:7" ht="12" customHeight="1">
      <c r="A1666" s="298">
        <v>36305</v>
      </c>
      <c r="B1666" s="299" t="s">
        <v>3510</v>
      </c>
      <c r="C1666" s="299">
        <v>40</v>
      </c>
      <c r="D1666" s="299">
        <f t="shared" si="53"/>
        <v>5</v>
      </c>
      <c r="E1666" s="299">
        <v>54</v>
      </c>
      <c r="F1666" s="430" t="s">
        <v>3504</v>
      </c>
      <c r="G1666" s="300" t="str">
        <f t="shared" si="54"/>
        <v>M&amp;MBayern</v>
      </c>
    </row>
    <row r="1667" spans="1:7" ht="12" customHeight="1">
      <c r="A1667" s="298">
        <v>36337</v>
      </c>
      <c r="B1667" s="299" t="s">
        <v>3510</v>
      </c>
      <c r="C1667" s="299">
        <v>90</v>
      </c>
      <c r="D1667" s="299">
        <f t="shared" si="53"/>
        <v>6</v>
      </c>
      <c r="E1667" s="299">
        <v>49</v>
      </c>
      <c r="F1667" s="430" t="s">
        <v>3504</v>
      </c>
      <c r="G1667" s="300" t="str">
        <f t="shared" si="54"/>
        <v>M&amp;MBayern</v>
      </c>
    </row>
    <row r="1668" spans="1:7" ht="12" customHeight="1">
      <c r="A1668" s="298">
        <v>36352</v>
      </c>
      <c r="B1668" s="299" t="s">
        <v>3510</v>
      </c>
      <c r="C1668" s="299">
        <v>60</v>
      </c>
      <c r="D1668" s="299">
        <f t="shared" si="53"/>
        <v>7</v>
      </c>
      <c r="E1668" s="299">
        <v>54</v>
      </c>
      <c r="F1668" s="430" t="s">
        <v>3504</v>
      </c>
      <c r="G1668" s="300" t="str">
        <f t="shared" si="54"/>
        <v>M&amp;MBayern</v>
      </c>
    </row>
    <row r="1669" spans="1:7" ht="12" customHeight="1">
      <c r="A1669" s="298">
        <v>36375</v>
      </c>
      <c r="B1669" s="299" t="s">
        <v>3510</v>
      </c>
      <c r="C1669" s="299">
        <v>30</v>
      </c>
      <c r="D1669" s="299">
        <f t="shared" si="53"/>
        <v>8</v>
      </c>
      <c r="E1669" s="299">
        <v>54</v>
      </c>
      <c r="F1669" s="430" t="s">
        <v>3504</v>
      </c>
      <c r="G1669" s="300" t="str">
        <f t="shared" si="54"/>
        <v>M&amp;MBayern</v>
      </c>
    </row>
    <row r="1670" spans="1:7" ht="12" customHeight="1">
      <c r="A1670" s="298">
        <v>36376</v>
      </c>
      <c r="B1670" s="299" t="s">
        <v>3510</v>
      </c>
      <c r="C1670" s="299">
        <v>70</v>
      </c>
      <c r="D1670" s="299">
        <f t="shared" ref="D1670:D1733" si="55">MONTH(A1670)</f>
        <v>8</v>
      </c>
      <c r="E1670" s="299">
        <v>53</v>
      </c>
      <c r="F1670" s="430" t="s">
        <v>3504</v>
      </c>
      <c r="G1670" s="300" t="str">
        <f t="shared" ref="G1670:G1733" si="56">B1670&amp;F1670</f>
        <v>M&amp;MBayern</v>
      </c>
    </row>
    <row r="1671" spans="1:7" ht="12" customHeight="1">
      <c r="A1671" s="298">
        <v>36379</v>
      </c>
      <c r="B1671" s="299" t="s">
        <v>3510</v>
      </c>
      <c r="C1671" s="299">
        <v>80</v>
      </c>
      <c r="D1671" s="299">
        <f t="shared" si="55"/>
        <v>8</v>
      </c>
      <c r="E1671" s="299">
        <v>48</v>
      </c>
      <c r="F1671" s="430" t="s">
        <v>3504</v>
      </c>
      <c r="G1671" s="300" t="str">
        <f t="shared" si="56"/>
        <v>M&amp;MBayern</v>
      </c>
    </row>
    <row r="1672" spans="1:7" ht="12" customHeight="1">
      <c r="A1672" s="298">
        <v>36380</v>
      </c>
      <c r="B1672" s="299" t="s">
        <v>3510</v>
      </c>
      <c r="C1672" s="299">
        <v>10</v>
      </c>
      <c r="D1672" s="299">
        <f t="shared" si="55"/>
        <v>8</v>
      </c>
      <c r="E1672" s="299">
        <v>53</v>
      </c>
      <c r="F1672" s="430" t="s">
        <v>3504</v>
      </c>
      <c r="G1672" s="300" t="str">
        <f t="shared" si="56"/>
        <v>M&amp;MBayern</v>
      </c>
    </row>
    <row r="1673" spans="1:7" ht="12" customHeight="1">
      <c r="A1673" s="298">
        <v>36381</v>
      </c>
      <c r="B1673" s="299" t="s">
        <v>3510</v>
      </c>
      <c r="C1673" s="299">
        <v>30</v>
      </c>
      <c r="D1673" s="299">
        <f t="shared" si="55"/>
        <v>8</v>
      </c>
      <c r="E1673" s="299">
        <v>48</v>
      </c>
      <c r="F1673" s="430" t="s">
        <v>3504</v>
      </c>
      <c r="G1673" s="300" t="str">
        <f t="shared" si="56"/>
        <v>M&amp;MBayern</v>
      </c>
    </row>
    <row r="1674" spans="1:7" ht="12" customHeight="1">
      <c r="A1674" s="298">
        <v>36385</v>
      </c>
      <c r="B1674" s="299" t="s">
        <v>3510</v>
      </c>
      <c r="C1674" s="299">
        <v>80</v>
      </c>
      <c r="D1674" s="299">
        <f t="shared" si="55"/>
        <v>8</v>
      </c>
      <c r="E1674" s="299">
        <v>48</v>
      </c>
      <c r="F1674" s="430" t="s">
        <v>3504</v>
      </c>
      <c r="G1674" s="300" t="str">
        <f t="shared" si="56"/>
        <v>M&amp;MBayern</v>
      </c>
    </row>
    <row r="1675" spans="1:7" ht="12" customHeight="1">
      <c r="A1675" s="298">
        <v>36387</v>
      </c>
      <c r="B1675" s="299" t="s">
        <v>3510</v>
      </c>
      <c r="C1675" s="299">
        <v>10</v>
      </c>
      <c r="D1675" s="299">
        <f t="shared" si="55"/>
        <v>8</v>
      </c>
      <c r="E1675" s="299">
        <v>48</v>
      </c>
      <c r="F1675" s="430" t="s">
        <v>3504</v>
      </c>
      <c r="G1675" s="300" t="str">
        <f t="shared" si="56"/>
        <v>M&amp;MBayern</v>
      </c>
    </row>
    <row r="1676" spans="1:7" ht="12" customHeight="1">
      <c r="A1676" s="298">
        <v>36389</v>
      </c>
      <c r="B1676" s="299" t="s">
        <v>3510</v>
      </c>
      <c r="C1676" s="299">
        <v>40</v>
      </c>
      <c r="D1676" s="299">
        <f t="shared" si="55"/>
        <v>8</v>
      </c>
      <c r="E1676" s="299">
        <v>50</v>
      </c>
      <c r="F1676" s="430" t="s">
        <v>3504</v>
      </c>
      <c r="G1676" s="300" t="str">
        <f t="shared" si="56"/>
        <v>M&amp;MBayern</v>
      </c>
    </row>
    <row r="1677" spans="1:7" ht="12" customHeight="1">
      <c r="A1677" s="298">
        <v>36390</v>
      </c>
      <c r="B1677" s="299" t="s">
        <v>3510</v>
      </c>
      <c r="C1677" s="299">
        <v>80</v>
      </c>
      <c r="D1677" s="299">
        <f t="shared" si="55"/>
        <v>8</v>
      </c>
      <c r="E1677" s="299">
        <v>48</v>
      </c>
      <c r="F1677" s="430" t="s">
        <v>3504</v>
      </c>
      <c r="G1677" s="300" t="str">
        <f t="shared" si="56"/>
        <v>M&amp;MBayern</v>
      </c>
    </row>
    <row r="1678" spans="1:7" ht="12" customHeight="1">
      <c r="A1678" s="298">
        <v>36391</v>
      </c>
      <c r="B1678" s="299" t="s">
        <v>3510</v>
      </c>
      <c r="C1678" s="299">
        <v>80</v>
      </c>
      <c r="D1678" s="299">
        <f t="shared" si="55"/>
        <v>8</v>
      </c>
      <c r="E1678" s="299">
        <v>54</v>
      </c>
      <c r="F1678" s="430" t="s">
        <v>3504</v>
      </c>
      <c r="G1678" s="300" t="str">
        <f t="shared" si="56"/>
        <v>M&amp;MBayern</v>
      </c>
    </row>
    <row r="1679" spans="1:7" ht="12" customHeight="1">
      <c r="A1679" s="298">
        <v>36392</v>
      </c>
      <c r="B1679" s="299" t="s">
        <v>3510</v>
      </c>
      <c r="C1679" s="299">
        <v>60</v>
      </c>
      <c r="D1679" s="299">
        <f t="shared" si="55"/>
        <v>8</v>
      </c>
      <c r="E1679" s="299">
        <v>54</v>
      </c>
      <c r="F1679" s="430" t="s">
        <v>3504</v>
      </c>
      <c r="G1679" s="300" t="str">
        <f t="shared" si="56"/>
        <v>M&amp;MBayern</v>
      </c>
    </row>
    <row r="1680" spans="1:7" ht="12" customHeight="1">
      <c r="A1680" s="298">
        <v>36393</v>
      </c>
      <c r="B1680" s="299" t="s">
        <v>3510</v>
      </c>
      <c r="C1680" s="299">
        <v>80</v>
      </c>
      <c r="D1680" s="299">
        <f t="shared" si="55"/>
        <v>8</v>
      </c>
      <c r="E1680" s="299">
        <v>53</v>
      </c>
      <c r="F1680" s="430" t="s">
        <v>3504</v>
      </c>
      <c r="G1680" s="300" t="str">
        <f t="shared" si="56"/>
        <v>M&amp;MBayern</v>
      </c>
    </row>
    <row r="1681" spans="1:7" ht="12" customHeight="1">
      <c r="A1681" s="298">
        <v>36394</v>
      </c>
      <c r="B1681" s="299" t="s">
        <v>3510</v>
      </c>
      <c r="C1681" s="299">
        <v>80</v>
      </c>
      <c r="D1681" s="299">
        <f t="shared" si="55"/>
        <v>8</v>
      </c>
      <c r="E1681" s="299">
        <v>53</v>
      </c>
      <c r="F1681" s="430" t="s">
        <v>3504</v>
      </c>
      <c r="G1681" s="300" t="str">
        <f t="shared" si="56"/>
        <v>M&amp;MBayern</v>
      </c>
    </row>
    <row r="1682" spans="1:7" ht="12" customHeight="1">
      <c r="A1682" s="298">
        <v>36400</v>
      </c>
      <c r="B1682" s="299" t="s">
        <v>3510</v>
      </c>
      <c r="C1682" s="299">
        <v>120</v>
      </c>
      <c r="D1682" s="299">
        <f t="shared" si="55"/>
        <v>8</v>
      </c>
      <c r="E1682" s="299">
        <v>54</v>
      </c>
      <c r="F1682" s="430" t="s">
        <v>3504</v>
      </c>
      <c r="G1682" s="300" t="str">
        <f t="shared" si="56"/>
        <v>M&amp;MBayern</v>
      </c>
    </row>
    <row r="1683" spans="1:7" ht="12" customHeight="1">
      <c r="A1683" s="298">
        <v>36401</v>
      </c>
      <c r="B1683" s="299" t="s">
        <v>3510</v>
      </c>
      <c r="C1683" s="299">
        <v>120</v>
      </c>
      <c r="D1683" s="299">
        <f t="shared" si="55"/>
        <v>8</v>
      </c>
      <c r="E1683" s="299">
        <v>54</v>
      </c>
      <c r="F1683" s="430" t="s">
        <v>3504</v>
      </c>
      <c r="G1683" s="300" t="str">
        <f t="shared" si="56"/>
        <v>M&amp;MBayern</v>
      </c>
    </row>
    <row r="1684" spans="1:7" ht="12" customHeight="1">
      <c r="A1684" s="298">
        <v>36406</v>
      </c>
      <c r="B1684" s="299" t="s">
        <v>3510</v>
      </c>
      <c r="C1684" s="299">
        <v>30</v>
      </c>
      <c r="D1684" s="299">
        <f t="shared" si="55"/>
        <v>9</v>
      </c>
      <c r="E1684" s="299">
        <v>53</v>
      </c>
      <c r="F1684" s="430" t="s">
        <v>3504</v>
      </c>
      <c r="G1684" s="300" t="str">
        <f t="shared" si="56"/>
        <v>M&amp;MBayern</v>
      </c>
    </row>
    <row r="1685" spans="1:7" ht="12" customHeight="1">
      <c r="A1685" s="298">
        <v>36459</v>
      </c>
      <c r="B1685" s="299" t="s">
        <v>3510</v>
      </c>
      <c r="C1685" s="299">
        <v>120</v>
      </c>
      <c r="D1685" s="299">
        <f t="shared" si="55"/>
        <v>10</v>
      </c>
      <c r="E1685" s="299">
        <v>50</v>
      </c>
      <c r="F1685" s="430" t="s">
        <v>3504</v>
      </c>
      <c r="G1685" s="300" t="str">
        <f t="shared" si="56"/>
        <v>M&amp;MBayern</v>
      </c>
    </row>
    <row r="1686" spans="1:7" ht="12" customHeight="1">
      <c r="A1686" s="298">
        <v>36460</v>
      </c>
      <c r="B1686" s="299" t="s">
        <v>3510</v>
      </c>
      <c r="C1686" s="299">
        <v>10</v>
      </c>
      <c r="D1686" s="299">
        <f t="shared" si="55"/>
        <v>10</v>
      </c>
      <c r="E1686" s="299">
        <v>53</v>
      </c>
      <c r="F1686" s="430" t="s">
        <v>3504</v>
      </c>
      <c r="G1686" s="300" t="str">
        <f t="shared" si="56"/>
        <v>M&amp;MBayern</v>
      </c>
    </row>
    <row r="1687" spans="1:7" ht="12" customHeight="1">
      <c r="A1687" s="298">
        <v>36483</v>
      </c>
      <c r="B1687" s="299" t="s">
        <v>3510</v>
      </c>
      <c r="C1687" s="299">
        <v>90</v>
      </c>
      <c r="D1687" s="299">
        <f t="shared" si="55"/>
        <v>11</v>
      </c>
      <c r="E1687" s="299">
        <v>53</v>
      </c>
      <c r="F1687" s="430" t="s">
        <v>3504</v>
      </c>
      <c r="G1687" s="300" t="str">
        <f t="shared" si="56"/>
        <v>M&amp;MBayern</v>
      </c>
    </row>
    <row r="1688" spans="1:7" ht="12" customHeight="1">
      <c r="A1688" s="298">
        <v>36485</v>
      </c>
      <c r="B1688" s="299" t="s">
        <v>3510</v>
      </c>
      <c r="C1688" s="299">
        <v>80</v>
      </c>
      <c r="D1688" s="299">
        <f t="shared" si="55"/>
        <v>11</v>
      </c>
      <c r="E1688" s="299">
        <v>48</v>
      </c>
      <c r="F1688" s="430" t="s">
        <v>3504</v>
      </c>
      <c r="G1688" s="300" t="str">
        <f t="shared" si="56"/>
        <v>M&amp;MBayern</v>
      </c>
    </row>
    <row r="1689" spans="1:7" ht="12" customHeight="1">
      <c r="A1689" s="298">
        <v>36500</v>
      </c>
      <c r="B1689" s="299" t="s">
        <v>3510</v>
      </c>
      <c r="C1689" s="299">
        <v>50</v>
      </c>
      <c r="D1689" s="299">
        <f t="shared" si="55"/>
        <v>12</v>
      </c>
      <c r="E1689" s="299">
        <v>50</v>
      </c>
      <c r="F1689" s="430" t="s">
        <v>3504</v>
      </c>
      <c r="G1689" s="300" t="str">
        <f t="shared" si="56"/>
        <v>M&amp;MBayern</v>
      </c>
    </row>
    <row r="1690" spans="1:7" ht="12" customHeight="1">
      <c r="A1690" s="298">
        <v>36502</v>
      </c>
      <c r="B1690" s="299" t="s">
        <v>3510</v>
      </c>
      <c r="C1690" s="299">
        <v>20</v>
      </c>
      <c r="D1690" s="299">
        <f t="shared" si="55"/>
        <v>12</v>
      </c>
      <c r="E1690" s="299">
        <v>54</v>
      </c>
      <c r="F1690" s="430" t="s">
        <v>3504</v>
      </c>
      <c r="G1690" s="300" t="str">
        <f t="shared" si="56"/>
        <v>M&amp;MBayern</v>
      </c>
    </row>
    <row r="1691" spans="1:7" ht="12" customHeight="1">
      <c r="A1691" s="298">
        <v>36520</v>
      </c>
      <c r="B1691" s="299" t="s">
        <v>3510</v>
      </c>
      <c r="C1691" s="299">
        <v>50</v>
      </c>
      <c r="D1691" s="299">
        <f t="shared" si="55"/>
        <v>12</v>
      </c>
      <c r="E1691" s="299">
        <v>48</v>
      </c>
      <c r="F1691" s="430" t="s">
        <v>3504</v>
      </c>
      <c r="G1691" s="300" t="str">
        <f t="shared" si="56"/>
        <v>M&amp;MBayern</v>
      </c>
    </row>
    <row r="1692" spans="1:7" ht="12" customHeight="1">
      <c r="A1692" s="298">
        <v>36256</v>
      </c>
      <c r="B1692" s="299" t="s">
        <v>3510</v>
      </c>
      <c r="C1692" s="299">
        <v>10</v>
      </c>
      <c r="D1692" s="299">
        <f t="shared" si="55"/>
        <v>4</v>
      </c>
      <c r="E1692" s="299">
        <v>49</v>
      </c>
      <c r="F1692" s="430" t="s">
        <v>3501</v>
      </c>
      <c r="G1692" s="300" t="str">
        <f t="shared" si="56"/>
        <v>M&amp;MBW</v>
      </c>
    </row>
    <row r="1693" spans="1:7" ht="12" customHeight="1">
      <c r="A1693" s="298">
        <v>36381</v>
      </c>
      <c r="B1693" s="299" t="s">
        <v>3510</v>
      </c>
      <c r="C1693" s="299">
        <v>40</v>
      </c>
      <c r="D1693" s="299">
        <f t="shared" si="55"/>
        <v>8</v>
      </c>
      <c r="E1693" s="299">
        <v>46</v>
      </c>
      <c r="F1693" s="430" t="s">
        <v>3501</v>
      </c>
      <c r="G1693" s="300" t="str">
        <f t="shared" si="56"/>
        <v>M&amp;MBW</v>
      </c>
    </row>
    <row r="1694" spans="1:7" ht="12" customHeight="1">
      <c r="A1694" s="298">
        <v>36381</v>
      </c>
      <c r="B1694" s="299" t="s">
        <v>3510</v>
      </c>
      <c r="C1694" s="299">
        <v>40</v>
      </c>
      <c r="D1694" s="299">
        <f t="shared" si="55"/>
        <v>8</v>
      </c>
      <c r="E1694" s="299">
        <v>46</v>
      </c>
      <c r="F1694" s="430" t="s">
        <v>3501</v>
      </c>
      <c r="G1694" s="300" t="str">
        <f t="shared" si="56"/>
        <v>M&amp;MBW</v>
      </c>
    </row>
    <row r="1695" spans="1:7" ht="12" customHeight="1">
      <c r="A1695" s="298">
        <v>36232</v>
      </c>
      <c r="B1695" s="299" t="s">
        <v>3510</v>
      </c>
      <c r="C1695" s="299">
        <v>40</v>
      </c>
      <c r="D1695" s="299">
        <f t="shared" si="55"/>
        <v>3</v>
      </c>
      <c r="E1695" s="299">
        <v>45</v>
      </c>
      <c r="F1695" s="430" t="s">
        <v>3502</v>
      </c>
      <c r="G1695" s="300" t="str">
        <f t="shared" si="56"/>
        <v>M&amp;MHessen</v>
      </c>
    </row>
    <row r="1696" spans="1:7" ht="12" customHeight="1">
      <c r="A1696" s="298">
        <v>36516</v>
      </c>
      <c r="B1696" s="299" t="s">
        <v>3510</v>
      </c>
      <c r="C1696" s="299">
        <v>10</v>
      </c>
      <c r="D1696" s="299">
        <f t="shared" si="55"/>
        <v>12</v>
      </c>
      <c r="E1696" s="299">
        <v>52</v>
      </c>
      <c r="F1696" s="430" t="s">
        <v>3502</v>
      </c>
      <c r="G1696" s="300" t="str">
        <f t="shared" si="56"/>
        <v>M&amp;MHessen</v>
      </c>
    </row>
    <row r="1697" spans="1:7" ht="12" customHeight="1">
      <c r="A1697" s="298">
        <v>36193</v>
      </c>
      <c r="B1697" s="299" t="s">
        <v>3510</v>
      </c>
      <c r="C1697" s="299">
        <v>80</v>
      </c>
      <c r="D1697" s="299">
        <f t="shared" si="55"/>
        <v>2</v>
      </c>
      <c r="E1697" s="299">
        <v>50</v>
      </c>
      <c r="F1697" s="430" t="s">
        <v>3503</v>
      </c>
      <c r="G1697" s="300" t="str">
        <f t="shared" si="56"/>
        <v>M&amp;MHolstein</v>
      </c>
    </row>
    <row r="1698" spans="1:7" ht="12" customHeight="1">
      <c r="A1698" s="298">
        <v>36405</v>
      </c>
      <c r="B1698" s="299" t="s">
        <v>3510</v>
      </c>
      <c r="C1698" s="299">
        <v>120</v>
      </c>
      <c r="D1698" s="299">
        <f t="shared" si="55"/>
        <v>9</v>
      </c>
      <c r="E1698" s="299">
        <v>52</v>
      </c>
      <c r="F1698" s="430" t="s">
        <v>3503</v>
      </c>
      <c r="G1698" s="300" t="str">
        <f t="shared" si="56"/>
        <v>M&amp;MHolstein</v>
      </c>
    </row>
    <row r="1699" spans="1:7" ht="12" customHeight="1">
      <c r="A1699" s="298">
        <v>36192</v>
      </c>
      <c r="B1699" s="299" t="s">
        <v>3510</v>
      </c>
      <c r="C1699" s="299">
        <v>80</v>
      </c>
      <c r="D1699" s="299">
        <f t="shared" si="55"/>
        <v>2</v>
      </c>
      <c r="E1699" s="299">
        <v>50</v>
      </c>
      <c r="F1699" s="430" t="s">
        <v>3497</v>
      </c>
      <c r="G1699" s="300" t="str">
        <f t="shared" si="56"/>
        <v>M&amp;MNRW</v>
      </c>
    </row>
    <row r="1700" spans="1:7" ht="12" customHeight="1">
      <c r="A1700" s="298">
        <v>36195</v>
      </c>
      <c r="B1700" s="299" t="s">
        <v>3510</v>
      </c>
      <c r="C1700" s="299">
        <v>120</v>
      </c>
      <c r="D1700" s="299">
        <f t="shared" si="55"/>
        <v>2</v>
      </c>
      <c r="E1700" s="299">
        <v>50</v>
      </c>
      <c r="F1700" s="430" t="s">
        <v>3497</v>
      </c>
      <c r="G1700" s="300" t="str">
        <f t="shared" si="56"/>
        <v>M&amp;MNRW</v>
      </c>
    </row>
    <row r="1701" spans="1:7" ht="12" customHeight="1">
      <c r="A1701" s="298">
        <v>36201</v>
      </c>
      <c r="B1701" s="299" t="s">
        <v>3510</v>
      </c>
      <c r="C1701" s="299">
        <v>80</v>
      </c>
      <c r="D1701" s="299">
        <f t="shared" si="55"/>
        <v>2</v>
      </c>
      <c r="E1701" s="299">
        <v>50</v>
      </c>
      <c r="F1701" s="430" t="s">
        <v>3497</v>
      </c>
      <c r="G1701" s="300" t="str">
        <f t="shared" si="56"/>
        <v>M&amp;MNRW</v>
      </c>
    </row>
    <row r="1702" spans="1:7" ht="12" customHeight="1">
      <c r="A1702" s="298">
        <v>36227</v>
      </c>
      <c r="B1702" s="299" t="s">
        <v>3510</v>
      </c>
      <c r="C1702" s="299">
        <v>50</v>
      </c>
      <c r="D1702" s="299">
        <f t="shared" si="55"/>
        <v>3</v>
      </c>
      <c r="E1702" s="299">
        <v>50</v>
      </c>
      <c r="F1702" s="430" t="s">
        <v>3497</v>
      </c>
      <c r="G1702" s="300" t="str">
        <f t="shared" si="56"/>
        <v>M&amp;MNRW</v>
      </c>
    </row>
    <row r="1703" spans="1:7" ht="12" customHeight="1">
      <c r="A1703" s="298">
        <v>36295</v>
      </c>
      <c r="B1703" s="299" t="s">
        <v>3510</v>
      </c>
      <c r="C1703" s="299">
        <v>20</v>
      </c>
      <c r="D1703" s="299">
        <f t="shared" si="55"/>
        <v>5</v>
      </c>
      <c r="E1703" s="299">
        <v>49</v>
      </c>
      <c r="F1703" s="430" t="s">
        <v>3497</v>
      </c>
      <c r="G1703" s="300" t="str">
        <f t="shared" si="56"/>
        <v>M&amp;MNRW</v>
      </c>
    </row>
    <row r="1704" spans="1:7" ht="12" customHeight="1">
      <c r="A1704" s="298">
        <v>36321</v>
      </c>
      <c r="B1704" s="299" t="s">
        <v>3510</v>
      </c>
      <c r="C1704" s="299">
        <v>120</v>
      </c>
      <c r="D1704" s="299">
        <f t="shared" si="55"/>
        <v>6</v>
      </c>
      <c r="E1704" s="299">
        <v>49</v>
      </c>
      <c r="F1704" s="430" t="s">
        <v>3497</v>
      </c>
      <c r="G1704" s="300" t="str">
        <f t="shared" si="56"/>
        <v>M&amp;MNRW</v>
      </c>
    </row>
    <row r="1705" spans="1:7" ht="12" customHeight="1">
      <c r="A1705" s="298">
        <v>36348</v>
      </c>
      <c r="B1705" s="299" t="s">
        <v>3510</v>
      </c>
      <c r="C1705" s="299">
        <v>20</v>
      </c>
      <c r="D1705" s="299">
        <f t="shared" si="55"/>
        <v>7</v>
      </c>
      <c r="E1705" s="299">
        <v>45</v>
      </c>
      <c r="F1705" s="430" t="s">
        <v>3497</v>
      </c>
      <c r="G1705" s="300" t="str">
        <f t="shared" si="56"/>
        <v>M&amp;MNRW</v>
      </c>
    </row>
    <row r="1706" spans="1:7" ht="12" customHeight="1">
      <c r="A1706" s="298">
        <v>36349</v>
      </c>
      <c r="B1706" s="299" t="s">
        <v>3510</v>
      </c>
      <c r="C1706" s="299">
        <v>40</v>
      </c>
      <c r="D1706" s="299">
        <f t="shared" si="55"/>
        <v>7</v>
      </c>
      <c r="E1706" s="299">
        <v>46</v>
      </c>
      <c r="F1706" s="430" t="s">
        <v>3497</v>
      </c>
      <c r="G1706" s="300" t="str">
        <f t="shared" si="56"/>
        <v>M&amp;MNRW</v>
      </c>
    </row>
    <row r="1707" spans="1:7" ht="12" customHeight="1">
      <c r="A1707" s="298">
        <v>36354</v>
      </c>
      <c r="B1707" s="299" t="s">
        <v>3510</v>
      </c>
      <c r="C1707" s="299">
        <v>120</v>
      </c>
      <c r="D1707" s="299">
        <f t="shared" si="55"/>
        <v>7</v>
      </c>
      <c r="E1707" s="299">
        <v>49</v>
      </c>
      <c r="F1707" s="430" t="s">
        <v>3497</v>
      </c>
      <c r="G1707" s="300" t="str">
        <f t="shared" si="56"/>
        <v>M&amp;MNRW</v>
      </c>
    </row>
    <row r="1708" spans="1:7" ht="12" customHeight="1">
      <c r="A1708" s="298">
        <v>36362</v>
      </c>
      <c r="B1708" s="299" t="s">
        <v>3510</v>
      </c>
      <c r="C1708" s="299">
        <v>40</v>
      </c>
      <c r="D1708" s="299">
        <f t="shared" si="55"/>
        <v>7</v>
      </c>
      <c r="E1708" s="299">
        <v>51</v>
      </c>
      <c r="F1708" s="430" t="s">
        <v>3497</v>
      </c>
      <c r="G1708" s="300" t="str">
        <f t="shared" si="56"/>
        <v>M&amp;MNRW</v>
      </c>
    </row>
    <row r="1709" spans="1:7" ht="12" customHeight="1">
      <c r="A1709" s="298">
        <v>36364</v>
      </c>
      <c r="B1709" s="299" t="s">
        <v>3510</v>
      </c>
      <c r="C1709" s="299">
        <v>80</v>
      </c>
      <c r="D1709" s="299">
        <f t="shared" si="55"/>
        <v>7</v>
      </c>
      <c r="E1709" s="299">
        <v>45</v>
      </c>
      <c r="F1709" s="430" t="s">
        <v>3497</v>
      </c>
      <c r="G1709" s="300" t="str">
        <f t="shared" si="56"/>
        <v>M&amp;MNRW</v>
      </c>
    </row>
    <row r="1710" spans="1:7" ht="12" customHeight="1">
      <c r="A1710" s="298">
        <v>36366</v>
      </c>
      <c r="B1710" s="299" t="s">
        <v>3510</v>
      </c>
      <c r="C1710" s="299">
        <v>70</v>
      </c>
      <c r="D1710" s="299">
        <f t="shared" si="55"/>
        <v>7</v>
      </c>
      <c r="E1710" s="299">
        <v>45</v>
      </c>
      <c r="F1710" s="430" t="s">
        <v>3497</v>
      </c>
      <c r="G1710" s="300" t="str">
        <f t="shared" si="56"/>
        <v>M&amp;MNRW</v>
      </c>
    </row>
    <row r="1711" spans="1:7" ht="12" customHeight="1">
      <c r="A1711" s="298">
        <v>36376</v>
      </c>
      <c r="B1711" s="299" t="s">
        <v>3510</v>
      </c>
      <c r="C1711" s="299">
        <v>50</v>
      </c>
      <c r="D1711" s="299">
        <f t="shared" si="55"/>
        <v>8</v>
      </c>
      <c r="E1711" s="299">
        <v>54</v>
      </c>
      <c r="F1711" s="430" t="s">
        <v>3497</v>
      </c>
      <c r="G1711" s="300" t="str">
        <f t="shared" si="56"/>
        <v>M&amp;MNRW</v>
      </c>
    </row>
    <row r="1712" spans="1:7" ht="12" customHeight="1">
      <c r="A1712" s="298">
        <v>36378</v>
      </c>
      <c r="B1712" s="299" t="s">
        <v>3510</v>
      </c>
      <c r="C1712" s="299">
        <v>20</v>
      </c>
      <c r="D1712" s="299">
        <f t="shared" si="55"/>
        <v>8</v>
      </c>
      <c r="E1712" s="299">
        <v>49</v>
      </c>
      <c r="F1712" s="430" t="s">
        <v>3497</v>
      </c>
      <c r="G1712" s="300" t="str">
        <f t="shared" si="56"/>
        <v>M&amp;MNRW</v>
      </c>
    </row>
    <row r="1713" spans="1:7" ht="12" customHeight="1">
      <c r="A1713" s="298">
        <v>36389</v>
      </c>
      <c r="B1713" s="299" t="s">
        <v>3510</v>
      </c>
      <c r="C1713" s="299">
        <v>60</v>
      </c>
      <c r="D1713" s="299">
        <f t="shared" si="55"/>
        <v>8</v>
      </c>
      <c r="E1713" s="299">
        <v>49</v>
      </c>
      <c r="F1713" s="430" t="s">
        <v>3497</v>
      </c>
      <c r="G1713" s="300" t="str">
        <f t="shared" si="56"/>
        <v>M&amp;MNRW</v>
      </c>
    </row>
    <row r="1714" spans="1:7" ht="12" customHeight="1">
      <c r="A1714" s="298">
        <v>36394</v>
      </c>
      <c r="B1714" s="299" t="s">
        <v>3510</v>
      </c>
      <c r="C1714" s="299">
        <v>70</v>
      </c>
      <c r="D1714" s="299">
        <f t="shared" si="55"/>
        <v>8</v>
      </c>
      <c r="E1714" s="299">
        <v>49</v>
      </c>
      <c r="F1714" s="430" t="s">
        <v>3497</v>
      </c>
      <c r="G1714" s="300" t="str">
        <f t="shared" si="56"/>
        <v>M&amp;MNRW</v>
      </c>
    </row>
    <row r="1715" spans="1:7" ht="12" customHeight="1">
      <c r="A1715" s="298">
        <v>36412</v>
      </c>
      <c r="B1715" s="299" t="s">
        <v>3510</v>
      </c>
      <c r="C1715" s="299">
        <v>20</v>
      </c>
      <c r="D1715" s="299">
        <f t="shared" si="55"/>
        <v>9</v>
      </c>
      <c r="E1715" s="299">
        <v>53</v>
      </c>
      <c r="F1715" s="430" t="s">
        <v>3497</v>
      </c>
      <c r="G1715" s="300" t="str">
        <f t="shared" si="56"/>
        <v>M&amp;MNRW</v>
      </c>
    </row>
    <row r="1716" spans="1:7" ht="12" customHeight="1">
      <c r="A1716" s="298">
        <v>36424</v>
      </c>
      <c r="B1716" s="299" t="s">
        <v>3510</v>
      </c>
      <c r="C1716" s="299">
        <v>100</v>
      </c>
      <c r="D1716" s="299">
        <f t="shared" si="55"/>
        <v>9</v>
      </c>
      <c r="E1716" s="299">
        <v>50</v>
      </c>
      <c r="F1716" s="430" t="s">
        <v>3497</v>
      </c>
      <c r="G1716" s="300" t="str">
        <f t="shared" si="56"/>
        <v>M&amp;MNRW</v>
      </c>
    </row>
    <row r="1717" spans="1:7" ht="12" customHeight="1">
      <c r="A1717" s="298">
        <v>36424</v>
      </c>
      <c r="B1717" s="299" t="s">
        <v>3510</v>
      </c>
      <c r="C1717" s="299">
        <v>20</v>
      </c>
      <c r="D1717" s="299">
        <f t="shared" si="55"/>
        <v>9</v>
      </c>
      <c r="E1717" s="299">
        <v>45</v>
      </c>
      <c r="F1717" s="430" t="s">
        <v>3497</v>
      </c>
      <c r="G1717" s="300" t="str">
        <f t="shared" si="56"/>
        <v>M&amp;MNRW</v>
      </c>
    </row>
    <row r="1718" spans="1:7" ht="12" customHeight="1">
      <c r="A1718" s="298">
        <v>36466</v>
      </c>
      <c r="B1718" s="299" t="s">
        <v>3510</v>
      </c>
      <c r="C1718" s="299">
        <v>50</v>
      </c>
      <c r="D1718" s="299">
        <f t="shared" si="55"/>
        <v>11</v>
      </c>
      <c r="E1718" s="299">
        <v>49</v>
      </c>
      <c r="F1718" s="430" t="s">
        <v>3497</v>
      </c>
      <c r="G1718" s="300" t="str">
        <f t="shared" si="56"/>
        <v>M&amp;MNRW</v>
      </c>
    </row>
    <row r="1719" spans="1:7" ht="12" customHeight="1">
      <c r="A1719" s="298">
        <v>36467</v>
      </c>
      <c r="B1719" s="299" t="s">
        <v>3510</v>
      </c>
      <c r="C1719" s="299">
        <v>80</v>
      </c>
      <c r="D1719" s="299">
        <f t="shared" si="55"/>
        <v>11</v>
      </c>
      <c r="E1719" s="299">
        <v>47</v>
      </c>
      <c r="F1719" s="430" t="s">
        <v>3497</v>
      </c>
      <c r="G1719" s="300" t="str">
        <f t="shared" si="56"/>
        <v>M&amp;MNRW</v>
      </c>
    </row>
    <row r="1720" spans="1:7" ht="12" customHeight="1">
      <c r="A1720" s="298">
        <v>36468</v>
      </c>
      <c r="B1720" s="299" t="s">
        <v>3510</v>
      </c>
      <c r="C1720" s="299">
        <v>80</v>
      </c>
      <c r="D1720" s="299">
        <f t="shared" si="55"/>
        <v>11</v>
      </c>
      <c r="E1720" s="299">
        <v>49</v>
      </c>
      <c r="F1720" s="430" t="s">
        <v>3497</v>
      </c>
      <c r="G1720" s="300" t="str">
        <f t="shared" si="56"/>
        <v>M&amp;MNRW</v>
      </c>
    </row>
    <row r="1721" spans="1:7" ht="12" customHeight="1">
      <c r="A1721" s="298">
        <v>36482</v>
      </c>
      <c r="B1721" s="299" t="s">
        <v>3510</v>
      </c>
      <c r="C1721" s="299">
        <v>120</v>
      </c>
      <c r="D1721" s="299">
        <f t="shared" si="55"/>
        <v>11</v>
      </c>
      <c r="E1721" s="299">
        <v>47</v>
      </c>
      <c r="F1721" s="430" t="s">
        <v>3497</v>
      </c>
      <c r="G1721" s="300" t="str">
        <f t="shared" si="56"/>
        <v>M&amp;MNRW</v>
      </c>
    </row>
    <row r="1722" spans="1:7" ht="12" customHeight="1">
      <c r="A1722" s="298">
        <v>36489</v>
      </c>
      <c r="B1722" s="299" t="s">
        <v>3510</v>
      </c>
      <c r="C1722" s="299">
        <v>100</v>
      </c>
      <c r="D1722" s="299">
        <f t="shared" si="55"/>
        <v>11</v>
      </c>
      <c r="E1722" s="299">
        <v>50</v>
      </c>
      <c r="F1722" s="430" t="s">
        <v>3497</v>
      </c>
      <c r="G1722" s="300" t="str">
        <f t="shared" si="56"/>
        <v>M&amp;MNRW</v>
      </c>
    </row>
    <row r="1723" spans="1:7" ht="12" customHeight="1">
      <c r="A1723" s="298">
        <v>36499</v>
      </c>
      <c r="B1723" s="299" t="s">
        <v>3510</v>
      </c>
      <c r="C1723" s="299">
        <v>40</v>
      </c>
      <c r="D1723" s="299">
        <f t="shared" si="55"/>
        <v>12</v>
      </c>
      <c r="E1723" s="299">
        <v>49</v>
      </c>
      <c r="F1723" s="430" t="s">
        <v>3497</v>
      </c>
      <c r="G1723" s="300" t="str">
        <f t="shared" si="56"/>
        <v>M&amp;MNRW</v>
      </c>
    </row>
    <row r="1724" spans="1:7" ht="12" customHeight="1">
      <c r="A1724" s="298">
        <v>36506</v>
      </c>
      <c r="B1724" s="299" t="s">
        <v>3510</v>
      </c>
      <c r="C1724" s="299">
        <v>100</v>
      </c>
      <c r="D1724" s="299">
        <f t="shared" si="55"/>
        <v>12</v>
      </c>
      <c r="E1724" s="299">
        <v>53</v>
      </c>
      <c r="F1724" s="430" t="s">
        <v>3497</v>
      </c>
      <c r="G1724" s="300" t="str">
        <f t="shared" si="56"/>
        <v>M&amp;MNRW</v>
      </c>
    </row>
    <row r="1725" spans="1:7" ht="12" customHeight="1">
      <c r="A1725" s="298">
        <v>36514</v>
      </c>
      <c r="B1725" s="299" t="s">
        <v>3510</v>
      </c>
      <c r="C1725" s="299">
        <v>80</v>
      </c>
      <c r="D1725" s="299">
        <f t="shared" si="55"/>
        <v>12</v>
      </c>
      <c r="E1725" s="299">
        <v>53</v>
      </c>
      <c r="F1725" s="430" t="s">
        <v>3497</v>
      </c>
      <c r="G1725" s="300" t="str">
        <f t="shared" si="56"/>
        <v>M&amp;MNRW</v>
      </c>
    </row>
    <row r="1726" spans="1:7" ht="12" customHeight="1">
      <c r="A1726" s="298">
        <v>36522</v>
      </c>
      <c r="B1726" s="299" t="s">
        <v>3510</v>
      </c>
      <c r="C1726" s="299">
        <v>20</v>
      </c>
      <c r="D1726" s="299">
        <f t="shared" si="55"/>
        <v>12</v>
      </c>
      <c r="E1726" s="299">
        <v>49</v>
      </c>
      <c r="F1726" s="430" t="s">
        <v>3497</v>
      </c>
      <c r="G1726" s="300" t="str">
        <f t="shared" si="56"/>
        <v>M&amp;MNRW</v>
      </c>
    </row>
    <row r="1727" spans="1:7" ht="12" customHeight="1">
      <c r="A1727" s="298">
        <v>36208</v>
      </c>
      <c r="B1727" s="299" t="s">
        <v>3510</v>
      </c>
      <c r="C1727" s="299">
        <v>80</v>
      </c>
      <c r="D1727" s="299">
        <f t="shared" si="55"/>
        <v>2</v>
      </c>
      <c r="E1727" s="299">
        <v>51</v>
      </c>
      <c r="F1727" s="430" t="s">
        <v>3500</v>
      </c>
      <c r="G1727" s="300" t="str">
        <f t="shared" si="56"/>
        <v>M&amp;MSaarland</v>
      </c>
    </row>
    <row r="1728" spans="1:7" ht="12" customHeight="1">
      <c r="A1728" s="298">
        <v>36234</v>
      </c>
      <c r="B1728" s="299" t="s">
        <v>3510</v>
      </c>
      <c r="C1728" s="299">
        <v>50</v>
      </c>
      <c r="D1728" s="299">
        <f t="shared" si="55"/>
        <v>3</v>
      </c>
      <c r="E1728" s="299">
        <v>45</v>
      </c>
      <c r="F1728" s="430" t="s">
        <v>3500</v>
      </c>
      <c r="G1728" s="300" t="str">
        <f t="shared" si="56"/>
        <v>M&amp;MSaarland</v>
      </c>
    </row>
    <row r="1729" spans="1:7" ht="12" customHeight="1">
      <c r="A1729" s="298">
        <v>36241</v>
      </c>
      <c r="B1729" s="299" t="s">
        <v>3510</v>
      </c>
      <c r="C1729" s="299">
        <v>20</v>
      </c>
      <c r="D1729" s="299">
        <f t="shared" si="55"/>
        <v>3</v>
      </c>
      <c r="E1729" s="299">
        <v>50</v>
      </c>
      <c r="F1729" s="430" t="s">
        <v>3500</v>
      </c>
      <c r="G1729" s="300" t="str">
        <f t="shared" si="56"/>
        <v>M&amp;MSaarland</v>
      </c>
    </row>
    <row r="1730" spans="1:7" ht="12" customHeight="1">
      <c r="A1730" s="298">
        <v>36307</v>
      </c>
      <c r="B1730" s="299" t="s">
        <v>3510</v>
      </c>
      <c r="C1730" s="299">
        <v>20</v>
      </c>
      <c r="D1730" s="299">
        <f t="shared" si="55"/>
        <v>5</v>
      </c>
      <c r="E1730" s="299">
        <v>48</v>
      </c>
      <c r="F1730" s="430" t="s">
        <v>3500</v>
      </c>
      <c r="G1730" s="300" t="str">
        <f t="shared" si="56"/>
        <v>M&amp;MSaarland</v>
      </c>
    </row>
    <row r="1731" spans="1:7" ht="12" customHeight="1">
      <c r="A1731" s="298">
        <v>36322</v>
      </c>
      <c r="B1731" s="299" t="s">
        <v>3510</v>
      </c>
      <c r="C1731" s="299">
        <v>100</v>
      </c>
      <c r="D1731" s="299">
        <f t="shared" si="55"/>
        <v>6</v>
      </c>
      <c r="E1731" s="299">
        <v>48</v>
      </c>
      <c r="F1731" s="430" t="s">
        <v>3500</v>
      </c>
      <c r="G1731" s="300" t="str">
        <f t="shared" si="56"/>
        <v>M&amp;MSaarland</v>
      </c>
    </row>
    <row r="1732" spans="1:7" ht="12" customHeight="1">
      <c r="A1732" s="298">
        <v>36351</v>
      </c>
      <c r="B1732" s="299" t="s">
        <v>3510</v>
      </c>
      <c r="C1732" s="299">
        <v>50</v>
      </c>
      <c r="D1732" s="299">
        <f t="shared" si="55"/>
        <v>7</v>
      </c>
      <c r="E1732" s="299">
        <v>48</v>
      </c>
      <c r="F1732" s="430" t="s">
        <v>3500</v>
      </c>
      <c r="G1732" s="300" t="str">
        <f t="shared" si="56"/>
        <v>M&amp;MSaarland</v>
      </c>
    </row>
    <row r="1733" spans="1:7" ht="12" customHeight="1">
      <c r="A1733" s="298">
        <v>36355</v>
      </c>
      <c r="B1733" s="299" t="s">
        <v>3510</v>
      </c>
      <c r="C1733" s="299">
        <v>60</v>
      </c>
      <c r="D1733" s="299">
        <f t="shared" si="55"/>
        <v>7</v>
      </c>
      <c r="E1733" s="299">
        <v>48</v>
      </c>
      <c r="F1733" s="430" t="s">
        <v>3500</v>
      </c>
      <c r="G1733" s="300" t="str">
        <f t="shared" si="56"/>
        <v>M&amp;MSaarland</v>
      </c>
    </row>
    <row r="1734" spans="1:7" ht="12" customHeight="1">
      <c r="A1734" s="298">
        <v>36355</v>
      </c>
      <c r="B1734" s="299" t="s">
        <v>3510</v>
      </c>
      <c r="C1734" s="299">
        <v>10</v>
      </c>
      <c r="D1734" s="299">
        <f t="shared" ref="D1734:D1797" si="57">MONTH(A1734)</f>
        <v>7</v>
      </c>
      <c r="E1734" s="299">
        <v>45</v>
      </c>
      <c r="F1734" s="430" t="s">
        <v>3500</v>
      </c>
      <c r="G1734" s="300" t="str">
        <f t="shared" ref="G1734:G1797" si="58">B1734&amp;F1734</f>
        <v>M&amp;MSaarland</v>
      </c>
    </row>
    <row r="1735" spans="1:7" ht="12" customHeight="1">
      <c r="A1735" s="298">
        <v>36370</v>
      </c>
      <c r="B1735" s="299" t="s">
        <v>3510</v>
      </c>
      <c r="C1735" s="299">
        <v>30</v>
      </c>
      <c r="D1735" s="299">
        <f t="shared" si="57"/>
        <v>7</v>
      </c>
      <c r="E1735" s="299">
        <v>50</v>
      </c>
      <c r="F1735" s="430" t="s">
        <v>3500</v>
      </c>
      <c r="G1735" s="300" t="str">
        <f t="shared" si="58"/>
        <v>M&amp;MSaarland</v>
      </c>
    </row>
    <row r="1736" spans="1:7" ht="12" customHeight="1">
      <c r="A1736" s="298">
        <v>36386</v>
      </c>
      <c r="B1736" s="299" t="s">
        <v>3510</v>
      </c>
      <c r="C1736" s="299">
        <v>50</v>
      </c>
      <c r="D1736" s="299">
        <f t="shared" si="57"/>
        <v>8</v>
      </c>
      <c r="E1736" s="299">
        <v>49</v>
      </c>
      <c r="F1736" s="430" t="s">
        <v>3500</v>
      </c>
      <c r="G1736" s="300" t="str">
        <f t="shared" si="58"/>
        <v>M&amp;MSaarland</v>
      </c>
    </row>
    <row r="1737" spans="1:7" ht="12" customHeight="1">
      <c r="A1737" s="298">
        <v>36391</v>
      </c>
      <c r="B1737" s="299" t="s">
        <v>3510</v>
      </c>
      <c r="C1737" s="299">
        <v>20</v>
      </c>
      <c r="D1737" s="299">
        <f t="shared" si="57"/>
        <v>8</v>
      </c>
      <c r="E1737" s="299">
        <v>49</v>
      </c>
      <c r="F1737" s="430" t="s">
        <v>3500</v>
      </c>
      <c r="G1737" s="300" t="str">
        <f t="shared" si="58"/>
        <v>M&amp;MSaarland</v>
      </c>
    </row>
    <row r="1738" spans="1:7" ht="12" customHeight="1">
      <c r="A1738" s="298">
        <v>36491</v>
      </c>
      <c r="B1738" s="299" t="s">
        <v>3510</v>
      </c>
      <c r="C1738" s="299">
        <v>10</v>
      </c>
      <c r="D1738" s="299">
        <f t="shared" si="57"/>
        <v>11</v>
      </c>
      <c r="E1738" s="299">
        <v>54</v>
      </c>
      <c r="F1738" s="430" t="s">
        <v>3500</v>
      </c>
      <c r="G1738" s="300" t="str">
        <f t="shared" si="58"/>
        <v>M&amp;MSaarland</v>
      </c>
    </row>
    <row r="1739" spans="1:7" ht="12" customHeight="1">
      <c r="A1739" s="298">
        <v>36223</v>
      </c>
      <c r="B1739" s="299" t="s">
        <v>3511</v>
      </c>
      <c r="C1739" s="299">
        <v>120</v>
      </c>
      <c r="D1739" s="299">
        <f t="shared" si="57"/>
        <v>3</v>
      </c>
      <c r="E1739" s="299">
        <v>48</v>
      </c>
      <c r="F1739" s="430" t="s">
        <v>3504</v>
      </c>
      <c r="G1739" s="300" t="str">
        <f t="shared" si="58"/>
        <v>MoetBayern</v>
      </c>
    </row>
    <row r="1740" spans="1:7" ht="12" customHeight="1">
      <c r="A1740" s="298">
        <v>36224</v>
      </c>
      <c r="B1740" s="299" t="s">
        <v>3511</v>
      </c>
      <c r="C1740" s="299">
        <v>50</v>
      </c>
      <c r="D1740" s="299">
        <f t="shared" si="57"/>
        <v>3</v>
      </c>
      <c r="E1740" s="299">
        <v>48</v>
      </c>
      <c r="F1740" s="430" t="s">
        <v>3504</v>
      </c>
      <c r="G1740" s="300" t="str">
        <f t="shared" si="58"/>
        <v>MoetBayern</v>
      </c>
    </row>
    <row r="1741" spans="1:7" ht="12" customHeight="1">
      <c r="A1741" s="298">
        <v>36241</v>
      </c>
      <c r="B1741" s="299" t="s">
        <v>3511</v>
      </c>
      <c r="C1741" s="299">
        <v>60</v>
      </c>
      <c r="D1741" s="299">
        <f t="shared" si="57"/>
        <v>3</v>
      </c>
      <c r="E1741" s="299">
        <v>48</v>
      </c>
      <c r="F1741" s="430" t="s">
        <v>3504</v>
      </c>
      <c r="G1741" s="300" t="str">
        <f t="shared" si="58"/>
        <v>MoetBayern</v>
      </c>
    </row>
    <row r="1742" spans="1:7" ht="12" customHeight="1">
      <c r="A1742" s="298">
        <v>36242</v>
      </c>
      <c r="B1742" s="299" t="s">
        <v>3511</v>
      </c>
      <c r="C1742" s="299">
        <v>70</v>
      </c>
      <c r="D1742" s="299">
        <f t="shared" si="57"/>
        <v>3</v>
      </c>
      <c r="E1742" s="299">
        <v>48</v>
      </c>
      <c r="F1742" s="430" t="s">
        <v>3504</v>
      </c>
      <c r="G1742" s="300" t="str">
        <f t="shared" si="58"/>
        <v>MoetBayern</v>
      </c>
    </row>
    <row r="1743" spans="1:7" ht="12" customHeight="1">
      <c r="A1743" s="298">
        <v>36243</v>
      </c>
      <c r="B1743" s="299" t="s">
        <v>3511</v>
      </c>
      <c r="C1743" s="299">
        <v>80</v>
      </c>
      <c r="D1743" s="299">
        <f t="shared" si="57"/>
        <v>3</v>
      </c>
      <c r="E1743" s="299">
        <v>48</v>
      </c>
      <c r="F1743" s="430" t="s">
        <v>3504</v>
      </c>
      <c r="G1743" s="300" t="str">
        <f t="shared" si="58"/>
        <v>MoetBayern</v>
      </c>
    </row>
    <row r="1744" spans="1:7" ht="12" customHeight="1">
      <c r="A1744" s="298">
        <v>36254</v>
      </c>
      <c r="B1744" s="299" t="s">
        <v>3511</v>
      </c>
      <c r="C1744" s="299">
        <v>30</v>
      </c>
      <c r="D1744" s="299">
        <f t="shared" si="57"/>
        <v>4</v>
      </c>
      <c r="E1744" s="299">
        <v>50</v>
      </c>
      <c r="F1744" s="430" t="s">
        <v>3504</v>
      </c>
      <c r="G1744" s="300" t="str">
        <f t="shared" si="58"/>
        <v>MoetBayern</v>
      </c>
    </row>
    <row r="1745" spans="1:7" ht="12" customHeight="1">
      <c r="A1745" s="298">
        <v>36268</v>
      </c>
      <c r="B1745" s="299" t="s">
        <v>3511</v>
      </c>
      <c r="C1745" s="299">
        <v>50</v>
      </c>
      <c r="D1745" s="299">
        <f t="shared" si="57"/>
        <v>4</v>
      </c>
      <c r="E1745" s="299">
        <v>48</v>
      </c>
      <c r="F1745" s="430" t="s">
        <v>3504</v>
      </c>
      <c r="G1745" s="300" t="str">
        <f t="shared" si="58"/>
        <v>MoetBayern</v>
      </c>
    </row>
    <row r="1746" spans="1:7" ht="12" customHeight="1">
      <c r="A1746" s="298">
        <v>36275</v>
      </c>
      <c r="B1746" s="299" t="s">
        <v>3511</v>
      </c>
      <c r="C1746" s="299">
        <v>40</v>
      </c>
      <c r="D1746" s="299">
        <f t="shared" si="57"/>
        <v>4</v>
      </c>
      <c r="E1746" s="299">
        <v>48</v>
      </c>
      <c r="F1746" s="430" t="s">
        <v>3504</v>
      </c>
      <c r="G1746" s="300" t="str">
        <f t="shared" si="58"/>
        <v>MoetBayern</v>
      </c>
    </row>
    <row r="1747" spans="1:7" ht="12" customHeight="1">
      <c r="A1747" s="298">
        <v>36276</v>
      </c>
      <c r="B1747" s="299" t="s">
        <v>3511</v>
      </c>
      <c r="C1747" s="299">
        <v>40</v>
      </c>
      <c r="D1747" s="299">
        <f t="shared" si="57"/>
        <v>4</v>
      </c>
      <c r="E1747" s="299">
        <v>50</v>
      </c>
      <c r="F1747" s="430" t="s">
        <v>3504</v>
      </c>
      <c r="G1747" s="300" t="str">
        <f t="shared" si="58"/>
        <v>MoetBayern</v>
      </c>
    </row>
    <row r="1748" spans="1:7" ht="12" customHeight="1">
      <c r="A1748" s="298">
        <v>36295</v>
      </c>
      <c r="B1748" s="299" t="s">
        <v>3511</v>
      </c>
      <c r="C1748" s="299">
        <v>50</v>
      </c>
      <c r="D1748" s="299">
        <f t="shared" si="57"/>
        <v>5</v>
      </c>
      <c r="E1748" s="299">
        <v>53</v>
      </c>
      <c r="F1748" s="430" t="s">
        <v>3504</v>
      </c>
      <c r="G1748" s="300" t="str">
        <f t="shared" si="58"/>
        <v>MoetBayern</v>
      </c>
    </row>
    <row r="1749" spans="1:7" ht="12" customHeight="1">
      <c r="A1749" s="298">
        <v>36299</v>
      </c>
      <c r="B1749" s="299" t="s">
        <v>3511</v>
      </c>
      <c r="C1749" s="299">
        <v>80</v>
      </c>
      <c r="D1749" s="299">
        <f t="shared" si="57"/>
        <v>5</v>
      </c>
      <c r="E1749" s="299">
        <v>53</v>
      </c>
      <c r="F1749" s="430" t="s">
        <v>3504</v>
      </c>
      <c r="G1749" s="300" t="str">
        <f t="shared" si="58"/>
        <v>MoetBayern</v>
      </c>
    </row>
    <row r="1750" spans="1:7" ht="12" customHeight="1">
      <c r="A1750" s="298">
        <v>36349</v>
      </c>
      <c r="B1750" s="299" t="s">
        <v>3511</v>
      </c>
      <c r="C1750" s="299">
        <v>30</v>
      </c>
      <c r="D1750" s="299">
        <f t="shared" si="57"/>
        <v>7</v>
      </c>
      <c r="E1750" s="299">
        <v>54</v>
      </c>
      <c r="F1750" s="430" t="s">
        <v>3504</v>
      </c>
      <c r="G1750" s="300" t="str">
        <f t="shared" si="58"/>
        <v>MoetBayern</v>
      </c>
    </row>
    <row r="1751" spans="1:7" ht="12" customHeight="1">
      <c r="A1751" s="298">
        <v>36397</v>
      </c>
      <c r="B1751" s="299" t="s">
        <v>3511</v>
      </c>
      <c r="C1751" s="299">
        <v>100</v>
      </c>
      <c r="D1751" s="299">
        <f t="shared" si="57"/>
        <v>8</v>
      </c>
      <c r="E1751" s="299">
        <v>49</v>
      </c>
      <c r="F1751" s="430" t="s">
        <v>3504</v>
      </c>
      <c r="G1751" s="300" t="str">
        <f t="shared" si="58"/>
        <v>MoetBayern</v>
      </c>
    </row>
    <row r="1752" spans="1:7" ht="12" customHeight="1">
      <c r="A1752" s="298">
        <v>36441</v>
      </c>
      <c r="B1752" s="299" t="s">
        <v>3511</v>
      </c>
      <c r="C1752" s="299">
        <v>40</v>
      </c>
      <c r="D1752" s="299">
        <f t="shared" si="57"/>
        <v>10</v>
      </c>
      <c r="E1752" s="299">
        <v>49</v>
      </c>
      <c r="F1752" s="430" t="s">
        <v>3504</v>
      </c>
      <c r="G1752" s="300" t="str">
        <f t="shared" si="58"/>
        <v>MoetBayern</v>
      </c>
    </row>
    <row r="1753" spans="1:7" ht="12" customHeight="1">
      <c r="A1753" s="298">
        <v>36203</v>
      </c>
      <c r="B1753" s="299" t="s">
        <v>3511</v>
      </c>
      <c r="C1753" s="299">
        <v>50</v>
      </c>
      <c r="D1753" s="299">
        <f t="shared" si="57"/>
        <v>2</v>
      </c>
      <c r="E1753" s="299">
        <v>50</v>
      </c>
      <c r="F1753" s="430" t="s">
        <v>3501</v>
      </c>
      <c r="G1753" s="300" t="str">
        <f t="shared" si="58"/>
        <v>MoetBW</v>
      </c>
    </row>
    <row r="1754" spans="1:7" ht="12" customHeight="1">
      <c r="A1754" s="298">
        <v>36331</v>
      </c>
      <c r="B1754" s="299" t="s">
        <v>3511</v>
      </c>
      <c r="C1754" s="299">
        <v>50</v>
      </c>
      <c r="D1754" s="299">
        <f t="shared" si="57"/>
        <v>6</v>
      </c>
      <c r="E1754" s="299">
        <v>53</v>
      </c>
      <c r="F1754" s="430" t="s">
        <v>3501</v>
      </c>
      <c r="G1754" s="300" t="str">
        <f t="shared" si="58"/>
        <v>MoetBW</v>
      </c>
    </row>
    <row r="1755" spans="1:7" ht="12" customHeight="1">
      <c r="A1755" s="298">
        <v>36375</v>
      </c>
      <c r="B1755" s="299" t="s">
        <v>3511</v>
      </c>
      <c r="C1755" s="299">
        <v>30</v>
      </c>
      <c r="D1755" s="299">
        <f t="shared" si="57"/>
        <v>8</v>
      </c>
      <c r="E1755" s="299">
        <v>54</v>
      </c>
      <c r="F1755" s="430" t="s">
        <v>3501</v>
      </c>
      <c r="G1755" s="300" t="str">
        <f t="shared" si="58"/>
        <v>MoetBW</v>
      </c>
    </row>
    <row r="1756" spans="1:7" ht="12" customHeight="1">
      <c r="A1756" s="298">
        <v>36396</v>
      </c>
      <c r="B1756" s="299" t="s">
        <v>3511</v>
      </c>
      <c r="C1756" s="299">
        <v>50</v>
      </c>
      <c r="D1756" s="299">
        <f t="shared" si="57"/>
        <v>8</v>
      </c>
      <c r="E1756" s="299">
        <v>49</v>
      </c>
      <c r="F1756" s="430" t="s">
        <v>3501</v>
      </c>
      <c r="G1756" s="300" t="str">
        <f t="shared" si="58"/>
        <v>MoetBW</v>
      </c>
    </row>
    <row r="1757" spans="1:7" ht="12" customHeight="1">
      <c r="A1757" s="298">
        <v>36399</v>
      </c>
      <c r="B1757" s="299" t="s">
        <v>3511</v>
      </c>
      <c r="C1757" s="299">
        <v>40</v>
      </c>
      <c r="D1757" s="299">
        <f t="shared" si="57"/>
        <v>8</v>
      </c>
      <c r="E1757" s="299">
        <v>54</v>
      </c>
      <c r="F1757" s="430" t="s">
        <v>3501</v>
      </c>
      <c r="G1757" s="300" t="str">
        <f t="shared" si="58"/>
        <v>MoetBW</v>
      </c>
    </row>
    <row r="1758" spans="1:7" ht="12" customHeight="1">
      <c r="A1758" s="298">
        <v>36165</v>
      </c>
      <c r="B1758" s="299" t="s">
        <v>3511</v>
      </c>
      <c r="C1758" s="299">
        <v>50</v>
      </c>
      <c r="D1758" s="299">
        <f t="shared" si="57"/>
        <v>1</v>
      </c>
      <c r="E1758" s="299">
        <v>50</v>
      </c>
      <c r="F1758" s="430" t="s">
        <v>3502</v>
      </c>
      <c r="G1758" s="300" t="str">
        <f t="shared" si="58"/>
        <v>MoetHessen</v>
      </c>
    </row>
    <row r="1759" spans="1:7" ht="12" customHeight="1">
      <c r="A1759" s="298">
        <v>36305</v>
      </c>
      <c r="B1759" s="299" t="s">
        <v>3511</v>
      </c>
      <c r="C1759" s="299">
        <v>50</v>
      </c>
      <c r="D1759" s="299">
        <f t="shared" si="57"/>
        <v>5</v>
      </c>
      <c r="E1759" s="299">
        <v>54</v>
      </c>
      <c r="F1759" s="430" t="s">
        <v>3502</v>
      </c>
      <c r="G1759" s="300" t="str">
        <f t="shared" si="58"/>
        <v>MoetHessen</v>
      </c>
    </row>
    <row r="1760" spans="1:7" ht="12" customHeight="1">
      <c r="A1760" s="298">
        <v>36321</v>
      </c>
      <c r="B1760" s="299" t="s">
        <v>3511</v>
      </c>
      <c r="C1760" s="299">
        <v>80</v>
      </c>
      <c r="D1760" s="299">
        <f t="shared" si="57"/>
        <v>6</v>
      </c>
      <c r="E1760" s="299">
        <v>50</v>
      </c>
      <c r="F1760" s="430" t="s">
        <v>3502</v>
      </c>
      <c r="G1760" s="300" t="str">
        <f t="shared" si="58"/>
        <v>MoetHessen</v>
      </c>
    </row>
    <row r="1761" spans="1:7" ht="12" customHeight="1">
      <c r="A1761" s="298">
        <v>36364</v>
      </c>
      <c r="B1761" s="299" t="s">
        <v>3511</v>
      </c>
      <c r="C1761" s="299">
        <v>40</v>
      </c>
      <c r="D1761" s="299">
        <f t="shared" si="57"/>
        <v>7</v>
      </c>
      <c r="E1761" s="299">
        <v>54</v>
      </c>
      <c r="F1761" s="430" t="s">
        <v>3502</v>
      </c>
      <c r="G1761" s="300" t="str">
        <f t="shared" si="58"/>
        <v>MoetHessen</v>
      </c>
    </row>
    <row r="1762" spans="1:7" ht="12" customHeight="1">
      <c r="A1762" s="298">
        <v>36441</v>
      </c>
      <c r="B1762" s="299" t="s">
        <v>3511</v>
      </c>
      <c r="C1762" s="299">
        <v>10</v>
      </c>
      <c r="D1762" s="299">
        <f t="shared" si="57"/>
        <v>10</v>
      </c>
      <c r="E1762" s="299">
        <v>50</v>
      </c>
      <c r="F1762" s="430" t="s">
        <v>3502</v>
      </c>
      <c r="G1762" s="300" t="str">
        <f t="shared" si="58"/>
        <v>MoetHessen</v>
      </c>
    </row>
    <row r="1763" spans="1:7" ht="12" customHeight="1">
      <c r="A1763" s="298">
        <v>36451</v>
      </c>
      <c r="B1763" s="299" t="s">
        <v>3511</v>
      </c>
      <c r="C1763" s="299">
        <v>100</v>
      </c>
      <c r="D1763" s="299">
        <f t="shared" si="57"/>
        <v>10</v>
      </c>
      <c r="E1763" s="299">
        <v>45</v>
      </c>
      <c r="F1763" s="430" t="s">
        <v>3502</v>
      </c>
      <c r="G1763" s="300" t="str">
        <f t="shared" si="58"/>
        <v>MoetHessen</v>
      </c>
    </row>
    <row r="1764" spans="1:7" ht="12" customHeight="1">
      <c r="A1764" s="298">
        <v>36462</v>
      </c>
      <c r="B1764" s="299" t="s">
        <v>3511</v>
      </c>
      <c r="C1764" s="299">
        <v>40</v>
      </c>
      <c r="D1764" s="299">
        <f t="shared" si="57"/>
        <v>10</v>
      </c>
      <c r="E1764" s="299">
        <v>45</v>
      </c>
      <c r="F1764" s="430" t="s">
        <v>3502</v>
      </c>
      <c r="G1764" s="300" t="str">
        <f t="shared" si="58"/>
        <v>MoetHessen</v>
      </c>
    </row>
    <row r="1765" spans="1:7" ht="12" customHeight="1">
      <c r="A1765" s="298">
        <v>36489</v>
      </c>
      <c r="B1765" s="299" t="s">
        <v>3511</v>
      </c>
      <c r="C1765" s="299">
        <v>50</v>
      </c>
      <c r="D1765" s="299">
        <f t="shared" si="57"/>
        <v>11</v>
      </c>
      <c r="E1765" s="299">
        <v>54</v>
      </c>
      <c r="F1765" s="430" t="s">
        <v>3502</v>
      </c>
      <c r="G1765" s="300" t="str">
        <f t="shared" si="58"/>
        <v>MoetHessen</v>
      </c>
    </row>
    <row r="1766" spans="1:7" ht="12" customHeight="1">
      <c r="A1766" s="298">
        <v>36515</v>
      </c>
      <c r="B1766" s="299" t="s">
        <v>3511</v>
      </c>
      <c r="C1766" s="299">
        <v>10</v>
      </c>
      <c r="D1766" s="299">
        <f t="shared" si="57"/>
        <v>12</v>
      </c>
      <c r="E1766" s="299">
        <v>54</v>
      </c>
      <c r="F1766" s="430" t="s">
        <v>3502</v>
      </c>
      <c r="G1766" s="300" t="str">
        <f t="shared" si="58"/>
        <v>MoetHessen</v>
      </c>
    </row>
    <row r="1767" spans="1:7" ht="12" customHeight="1">
      <c r="A1767" s="298">
        <v>36168</v>
      </c>
      <c r="B1767" s="299" t="s">
        <v>3511</v>
      </c>
      <c r="C1767" s="299">
        <v>90</v>
      </c>
      <c r="D1767" s="299">
        <f t="shared" si="57"/>
        <v>1</v>
      </c>
      <c r="E1767" s="299">
        <v>52</v>
      </c>
      <c r="F1767" s="430" t="s">
        <v>3503</v>
      </c>
      <c r="G1767" s="300" t="str">
        <f t="shared" si="58"/>
        <v>MoetHolstein</v>
      </c>
    </row>
    <row r="1768" spans="1:7" ht="12" customHeight="1">
      <c r="A1768" s="298">
        <v>36198</v>
      </c>
      <c r="B1768" s="299" t="s">
        <v>3511</v>
      </c>
      <c r="C1768" s="299">
        <v>10</v>
      </c>
      <c r="D1768" s="299">
        <f t="shared" si="57"/>
        <v>2</v>
      </c>
      <c r="E1768" s="299">
        <v>48</v>
      </c>
      <c r="F1768" s="430" t="s">
        <v>3503</v>
      </c>
      <c r="G1768" s="300" t="str">
        <f t="shared" si="58"/>
        <v>MoetHolstein</v>
      </c>
    </row>
    <row r="1769" spans="1:7" ht="12" customHeight="1">
      <c r="A1769" s="298">
        <v>36232</v>
      </c>
      <c r="B1769" s="299" t="s">
        <v>3511</v>
      </c>
      <c r="C1769" s="299">
        <v>30</v>
      </c>
      <c r="D1769" s="299">
        <f t="shared" si="57"/>
        <v>3</v>
      </c>
      <c r="E1769" s="299">
        <v>52</v>
      </c>
      <c r="F1769" s="430" t="s">
        <v>3503</v>
      </c>
      <c r="G1769" s="300" t="str">
        <f t="shared" si="58"/>
        <v>MoetHolstein</v>
      </c>
    </row>
    <row r="1770" spans="1:7" ht="12" customHeight="1">
      <c r="A1770" s="298">
        <v>36235</v>
      </c>
      <c r="B1770" s="299" t="s">
        <v>3511</v>
      </c>
      <c r="C1770" s="299">
        <v>50</v>
      </c>
      <c r="D1770" s="299">
        <f t="shared" si="57"/>
        <v>3</v>
      </c>
      <c r="E1770" s="299">
        <v>53</v>
      </c>
      <c r="F1770" s="430" t="s">
        <v>3503</v>
      </c>
      <c r="G1770" s="300" t="str">
        <f t="shared" si="58"/>
        <v>MoetHolstein</v>
      </c>
    </row>
    <row r="1771" spans="1:7" ht="12" customHeight="1">
      <c r="A1771" s="298">
        <v>36265</v>
      </c>
      <c r="B1771" s="299" t="s">
        <v>3511</v>
      </c>
      <c r="C1771" s="299">
        <v>20</v>
      </c>
      <c r="D1771" s="299">
        <f t="shared" si="57"/>
        <v>4</v>
      </c>
      <c r="E1771" s="299">
        <v>48</v>
      </c>
      <c r="F1771" s="430" t="s">
        <v>3503</v>
      </c>
      <c r="G1771" s="300" t="str">
        <f t="shared" si="58"/>
        <v>MoetHolstein</v>
      </c>
    </row>
    <row r="1772" spans="1:7" ht="12" customHeight="1">
      <c r="A1772" s="298">
        <v>36267</v>
      </c>
      <c r="B1772" s="299" t="s">
        <v>3511</v>
      </c>
      <c r="C1772" s="299">
        <v>100</v>
      </c>
      <c r="D1772" s="299">
        <f t="shared" si="57"/>
        <v>4</v>
      </c>
      <c r="E1772" s="299">
        <v>46</v>
      </c>
      <c r="F1772" s="430" t="s">
        <v>3503</v>
      </c>
      <c r="G1772" s="300" t="str">
        <f t="shared" si="58"/>
        <v>MoetHolstein</v>
      </c>
    </row>
    <row r="1773" spans="1:7" ht="12" customHeight="1">
      <c r="A1773" s="298">
        <v>36269</v>
      </c>
      <c r="B1773" s="299" t="s">
        <v>3511</v>
      </c>
      <c r="C1773" s="299">
        <v>50</v>
      </c>
      <c r="D1773" s="299">
        <f t="shared" si="57"/>
        <v>4</v>
      </c>
      <c r="E1773" s="299">
        <v>48</v>
      </c>
      <c r="F1773" s="430" t="s">
        <v>3503</v>
      </c>
      <c r="G1773" s="300" t="str">
        <f t="shared" si="58"/>
        <v>MoetHolstein</v>
      </c>
    </row>
    <row r="1774" spans="1:7" ht="12" customHeight="1">
      <c r="A1774" s="298">
        <v>36318</v>
      </c>
      <c r="B1774" s="299" t="s">
        <v>3511</v>
      </c>
      <c r="C1774" s="299">
        <v>60</v>
      </c>
      <c r="D1774" s="299">
        <f t="shared" si="57"/>
        <v>6</v>
      </c>
      <c r="E1774" s="299">
        <v>50</v>
      </c>
      <c r="F1774" s="430" t="s">
        <v>3503</v>
      </c>
      <c r="G1774" s="300" t="str">
        <f t="shared" si="58"/>
        <v>MoetHolstein</v>
      </c>
    </row>
    <row r="1775" spans="1:7" ht="12" customHeight="1">
      <c r="A1775" s="298">
        <v>36326</v>
      </c>
      <c r="B1775" s="299" t="s">
        <v>3511</v>
      </c>
      <c r="C1775" s="299">
        <v>10</v>
      </c>
      <c r="D1775" s="299">
        <f t="shared" si="57"/>
        <v>6</v>
      </c>
      <c r="E1775" s="299">
        <v>46</v>
      </c>
      <c r="F1775" s="430" t="s">
        <v>3503</v>
      </c>
      <c r="G1775" s="300" t="str">
        <f t="shared" si="58"/>
        <v>MoetHolstein</v>
      </c>
    </row>
    <row r="1776" spans="1:7" ht="12" customHeight="1">
      <c r="A1776" s="298">
        <v>36332</v>
      </c>
      <c r="B1776" s="299" t="s">
        <v>3511</v>
      </c>
      <c r="C1776" s="299">
        <v>80</v>
      </c>
      <c r="D1776" s="299">
        <f t="shared" si="57"/>
        <v>6</v>
      </c>
      <c r="E1776" s="299">
        <v>46</v>
      </c>
      <c r="F1776" s="430" t="s">
        <v>3503</v>
      </c>
      <c r="G1776" s="300" t="str">
        <f t="shared" si="58"/>
        <v>MoetHolstein</v>
      </c>
    </row>
    <row r="1777" spans="1:7" ht="12" customHeight="1">
      <c r="A1777" s="298">
        <v>36336</v>
      </c>
      <c r="B1777" s="299" t="s">
        <v>3511</v>
      </c>
      <c r="C1777" s="299">
        <v>80</v>
      </c>
      <c r="D1777" s="299">
        <f t="shared" si="57"/>
        <v>6</v>
      </c>
      <c r="E1777" s="299">
        <v>46</v>
      </c>
      <c r="F1777" s="430" t="s">
        <v>3503</v>
      </c>
      <c r="G1777" s="300" t="str">
        <f t="shared" si="58"/>
        <v>MoetHolstein</v>
      </c>
    </row>
    <row r="1778" spans="1:7" ht="12" customHeight="1">
      <c r="A1778" s="298">
        <v>36356</v>
      </c>
      <c r="B1778" s="299" t="s">
        <v>3511</v>
      </c>
      <c r="C1778" s="299">
        <v>30</v>
      </c>
      <c r="D1778" s="299">
        <f t="shared" si="57"/>
        <v>7</v>
      </c>
      <c r="E1778" s="299">
        <v>53</v>
      </c>
      <c r="F1778" s="430" t="s">
        <v>3503</v>
      </c>
      <c r="G1778" s="300" t="str">
        <f t="shared" si="58"/>
        <v>MoetHolstein</v>
      </c>
    </row>
    <row r="1779" spans="1:7" ht="12" customHeight="1">
      <c r="A1779" s="298">
        <v>36376</v>
      </c>
      <c r="B1779" s="299" t="s">
        <v>3511</v>
      </c>
      <c r="C1779" s="299">
        <v>40</v>
      </c>
      <c r="D1779" s="299">
        <f t="shared" si="57"/>
        <v>8</v>
      </c>
      <c r="E1779" s="299">
        <v>50</v>
      </c>
      <c r="F1779" s="430" t="s">
        <v>3503</v>
      </c>
      <c r="G1779" s="300" t="str">
        <f t="shared" si="58"/>
        <v>MoetHolstein</v>
      </c>
    </row>
    <row r="1780" spans="1:7" ht="12" customHeight="1">
      <c r="A1780" s="298">
        <v>36392</v>
      </c>
      <c r="B1780" s="299" t="s">
        <v>3511</v>
      </c>
      <c r="C1780" s="299">
        <v>20</v>
      </c>
      <c r="D1780" s="299">
        <f t="shared" si="57"/>
        <v>8</v>
      </c>
      <c r="E1780" s="299">
        <v>53</v>
      </c>
      <c r="F1780" s="430" t="s">
        <v>3503</v>
      </c>
      <c r="G1780" s="300" t="str">
        <f t="shared" si="58"/>
        <v>MoetHolstein</v>
      </c>
    </row>
    <row r="1781" spans="1:7" ht="12" customHeight="1">
      <c r="A1781" s="298">
        <v>36401</v>
      </c>
      <c r="B1781" s="299" t="s">
        <v>3511</v>
      </c>
      <c r="C1781" s="299">
        <v>80</v>
      </c>
      <c r="D1781" s="299">
        <f t="shared" si="57"/>
        <v>8</v>
      </c>
      <c r="E1781" s="299">
        <v>50</v>
      </c>
      <c r="F1781" s="430" t="s">
        <v>3503</v>
      </c>
      <c r="G1781" s="300" t="str">
        <f t="shared" si="58"/>
        <v>MoetHolstein</v>
      </c>
    </row>
    <row r="1782" spans="1:7" ht="12" customHeight="1">
      <c r="A1782" s="298">
        <v>36410</v>
      </c>
      <c r="B1782" s="299" t="s">
        <v>3511</v>
      </c>
      <c r="C1782" s="299">
        <v>50</v>
      </c>
      <c r="D1782" s="299">
        <f t="shared" si="57"/>
        <v>9</v>
      </c>
      <c r="E1782" s="299">
        <v>53</v>
      </c>
      <c r="F1782" s="430" t="s">
        <v>3503</v>
      </c>
      <c r="G1782" s="300" t="str">
        <f t="shared" si="58"/>
        <v>MoetHolstein</v>
      </c>
    </row>
    <row r="1783" spans="1:7" ht="12" customHeight="1">
      <c r="A1783" s="298">
        <v>36457</v>
      </c>
      <c r="B1783" s="299" t="s">
        <v>3511</v>
      </c>
      <c r="C1783" s="299">
        <v>100</v>
      </c>
      <c r="D1783" s="299">
        <f t="shared" si="57"/>
        <v>10</v>
      </c>
      <c r="E1783" s="299">
        <v>53</v>
      </c>
      <c r="F1783" s="430" t="s">
        <v>3503</v>
      </c>
      <c r="G1783" s="300" t="str">
        <f t="shared" si="58"/>
        <v>MoetHolstein</v>
      </c>
    </row>
    <row r="1784" spans="1:7" ht="12" customHeight="1">
      <c r="A1784" s="298">
        <v>36487</v>
      </c>
      <c r="B1784" s="299" t="s">
        <v>3511</v>
      </c>
      <c r="C1784" s="299">
        <v>80</v>
      </c>
      <c r="D1784" s="299">
        <f t="shared" si="57"/>
        <v>11</v>
      </c>
      <c r="E1784" s="299">
        <v>49</v>
      </c>
      <c r="F1784" s="430" t="s">
        <v>3503</v>
      </c>
      <c r="G1784" s="300" t="str">
        <f t="shared" si="58"/>
        <v>MoetHolstein</v>
      </c>
    </row>
    <row r="1785" spans="1:7" ht="12" customHeight="1">
      <c r="A1785" s="298">
        <v>36504</v>
      </c>
      <c r="B1785" s="299" t="s">
        <v>3511</v>
      </c>
      <c r="C1785" s="299">
        <v>40</v>
      </c>
      <c r="D1785" s="299">
        <f t="shared" si="57"/>
        <v>12</v>
      </c>
      <c r="E1785" s="299">
        <v>46</v>
      </c>
      <c r="F1785" s="430" t="s">
        <v>3503</v>
      </c>
      <c r="G1785" s="300" t="str">
        <f t="shared" si="58"/>
        <v>MoetHolstein</v>
      </c>
    </row>
    <row r="1786" spans="1:7" ht="12" customHeight="1">
      <c r="A1786" s="298">
        <v>36195</v>
      </c>
      <c r="B1786" s="299" t="s">
        <v>3511</v>
      </c>
      <c r="C1786" s="299">
        <v>40</v>
      </c>
      <c r="D1786" s="299">
        <f t="shared" si="57"/>
        <v>2</v>
      </c>
      <c r="E1786" s="299">
        <v>49</v>
      </c>
      <c r="F1786" s="430" t="s">
        <v>3497</v>
      </c>
      <c r="G1786" s="300" t="str">
        <f t="shared" si="58"/>
        <v>MoetNRW</v>
      </c>
    </row>
    <row r="1787" spans="1:7" ht="12" customHeight="1">
      <c r="A1787" s="298">
        <v>36253</v>
      </c>
      <c r="B1787" s="299" t="s">
        <v>3511</v>
      </c>
      <c r="C1787" s="299">
        <v>100</v>
      </c>
      <c r="D1787" s="299">
        <f t="shared" si="57"/>
        <v>4</v>
      </c>
      <c r="E1787" s="299">
        <v>46</v>
      </c>
      <c r="F1787" s="430" t="s">
        <v>3497</v>
      </c>
      <c r="G1787" s="300" t="str">
        <f t="shared" si="58"/>
        <v>MoetNRW</v>
      </c>
    </row>
    <row r="1788" spans="1:7" ht="12" customHeight="1">
      <c r="A1788" s="298">
        <v>36258</v>
      </c>
      <c r="B1788" s="299" t="s">
        <v>3511</v>
      </c>
      <c r="C1788" s="299">
        <v>40</v>
      </c>
      <c r="D1788" s="299">
        <f t="shared" si="57"/>
        <v>4</v>
      </c>
      <c r="E1788" s="299">
        <v>46</v>
      </c>
      <c r="F1788" s="430" t="s">
        <v>3497</v>
      </c>
      <c r="G1788" s="300" t="str">
        <f t="shared" si="58"/>
        <v>MoetNRW</v>
      </c>
    </row>
    <row r="1789" spans="1:7" ht="12" customHeight="1">
      <c r="A1789" s="298">
        <v>36261</v>
      </c>
      <c r="B1789" s="299" t="s">
        <v>3511</v>
      </c>
      <c r="C1789" s="299">
        <v>100</v>
      </c>
      <c r="D1789" s="299">
        <f t="shared" si="57"/>
        <v>4</v>
      </c>
      <c r="E1789" s="299">
        <v>53</v>
      </c>
      <c r="F1789" s="430" t="s">
        <v>3497</v>
      </c>
      <c r="G1789" s="300" t="str">
        <f t="shared" si="58"/>
        <v>MoetNRW</v>
      </c>
    </row>
    <row r="1790" spans="1:7" ht="12" customHeight="1">
      <c r="A1790" s="298">
        <v>36293</v>
      </c>
      <c r="B1790" s="299" t="s">
        <v>3511</v>
      </c>
      <c r="C1790" s="299">
        <v>90</v>
      </c>
      <c r="D1790" s="299">
        <f t="shared" si="57"/>
        <v>5</v>
      </c>
      <c r="E1790" s="299">
        <v>47</v>
      </c>
      <c r="F1790" s="430" t="s">
        <v>3497</v>
      </c>
      <c r="G1790" s="300" t="str">
        <f t="shared" si="58"/>
        <v>MoetNRW</v>
      </c>
    </row>
    <row r="1791" spans="1:7" ht="12" customHeight="1">
      <c r="A1791" s="298">
        <v>36294</v>
      </c>
      <c r="B1791" s="299" t="s">
        <v>3511</v>
      </c>
      <c r="C1791" s="299">
        <v>120</v>
      </c>
      <c r="D1791" s="299">
        <f t="shared" si="57"/>
        <v>5</v>
      </c>
      <c r="E1791" s="299">
        <v>48</v>
      </c>
      <c r="F1791" s="430" t="s">
        <v>3497</v>
      </c>
      <c r="G1791" s="300" t="str">
        <f t="shared" si="58"/>
        <v>MoetNRW</v>
      </c>
    </row>
    <row r="1792" spans="1:7" ht="12" customHeight="1">
      <c r="A1792" s="298">
        <v>36297</v>
      </c>
      <c r="B1792" s="299" t="s">
        <v>3511</v>
      </c>
      <c r="C1792" s="299">
        <v>50</v>
      </c>
      <c r="D1792" s="299">
        <f t="shared" si="57"/>
        <v>5</v>
      </c>
      <c r="E1792" s="299">
        <v>51</v>
      </c>
      <c r="F1792" s="430" t="s">
        <v>3497</v>
      </c>
      <c r="G1792" s="300" t="str">
        <f t="shared" si="58"/>
        <v>MoetNRW</v>
      </c>
    </row>
    <row r="1793" spans="1:7" ht="12" customHeight="1">
      <c r="A1793" s="298">
        <v>36308</v>
      </c>
      <c r="B1793" s="299" t="s">
        <v>3511</v>
      </c>
      <c r="C1793" s="299">
        <v>70</v>
      </c>
      <c r="D1793" s="299">
        <f t="shared" si="57"/>
        <v>5</v>
      </c>
      <c r="E1793" s="299">
        <v>48</v>
      </c>
      <c r="F1793" s="430" t="s">
        <v>3497</v>
      </c>
      <c r="G1793" s="300" t="str">
        <f t="shared" si="58"/>
        <v>MoetNRW</v>
      </c>
    </row>
    <row r="1794" spans="1:7" ht="12" customHeight="1">
      <c r="A1794" s="298">
        <v>36309</v>
      </c>
      <c r="B1794" s="299" t="s">
        <v>3511</v>
      </c>
      <c r="C1794" s="299">
        <v>60</v>
      </c>
      <c r="D1794" s="299">
        <f t="shared" si="57"/>
        <v>5</v>
      </c>
      <c r="E1794" s="299">
        <v>51</v>
      </c>
      <c r="F1794" s="430" t="s">
        <v>3497</v>
      </c>
      <c r="G1794" s="300" t="str">
        <f t="shared" si="58"/>
        <v>MoetNRW</v>
      </c>
    </row>
    <row r="1795" spans="1:7" ht="12" customHeight="1">
      <c r="A1795" s="298">
        <v>36325</v>
      </c>
      <c r="B1795" s="299" t="s">
        <v>3511</v>
      </c>
      <c r="C1795" s="299">
        <v>50</v>
      </c>
      <c r="D1795" s="299">
        <f t="shared" si="57"/>
        <v>6</v>
      </c>
      <c r="E1795" s="299">
        <v>45</v>
      </c>
      <c r="F1795" s="430" t="s">
        <v>3497</v>
      </c>
      <c r="G1795" s="300" t="str">
        <f t="shared" si="58"/>
        <v>MoetNRW</v>
      </c>
    </row>
    <row r="1796" spans="1:7" ht="12" customHeight="1">
      <c r="A1796" s="298">
        <v>36330</v>
      </c>
      <c r="B1796" s="299" t="s">
        <v>3511</v>
      </c>
      <c r="C1796" s="299">
        <v>120</v>
      </c>
      <c r="D1796" s="299">
        <f t="shared" si="57"/>
        <v>6</v>
      </c>
      <c r="E1796" s="299">
        <v>45</v>
      </c>
      <c r="F1796" s="430" t="s">
        <v>3497</v>
      </c>
      <c r="G1796" s="300" t="str">
        <f t="shared" si="58"/>
        <v>MoetNRW</v>
      </c>
    </row>
    <row r="1797" spans="1:7" ht="12" customHeight="1">
      <c r="A1797" s="298">
        <v>36337</v>
      </c>
      <c r="B1797" s="299" t="s">
        <v>3511</v>
      </c>
      <c r="C1797" s="299">
        <v>40</v>
      </c>
      <c r="D1797" s="299">
        <f t="shared" si="57"/>
        <v>6</v>
      </c>
      <c r="E1797" s="299">
        <v>53</v>
      </c>
      <c r="F1797" s="430" t="s">
        <v>3497</v>
      </c>
      <c r="G1797" s="300" t="str">
        <f t="shared" si="58"/>
        <v>MoetNRW</v>
      </c>
    </row>
    <row r="1798" spans="1:7" ht="12" customHeight="1">
      <c r="A1798" s="298">
        <v>36380</v>
      </c>
      <c r="B1798" s="299" t="s">
        <v>3511</v>
      </c>
      <c r="C1798" s="299">
        <v>100</v>
      </c>
      <c r="D1798" s="299">
        <f t="shared" ref="D1798:D1861" si="59">MONTH(A1798)</f>
        <v>8</v>
      </c>
      <c r="E1798" s="299">
        <v>49</v>
      </c>
      <c r="F1798" s="430" t="s">
        <v>3497</v>
      </c>
      <c r="G1798" s="300" t="str">
        <f t="shared" ref="G1798:G1861" si="60">B1798&amp;F1798</f>
        <v>MoetNRW</v>
      </c>
    </row>
    <row r="1799" spans="1:7" ht="12" customHeight="1">
      <c r="A1799" s="298">
        <v>36388</v>
      </c>
      <c r="B1799" s="299" t="s">
        <v>3511</v>
      </c>
      <c r="C1799" s="299">
        <v>80</v>
      </c>
      <c r="D1799" s="299">
        <f t="shared" si="59"/>
        <v>8</v>
      </c>
      <c r="E1799" s="299">
        <v>46</v>
      </c>
      <c r="F1799" s="430" t="s">
        <v>3497</v>
      </c>
      <c r="G1799" s="300" t="str">
        <f t="shared" si="60"/>
        <v>MoetNRW</v>
      </c>
    </row>
    <row r="1800" spans="1:7" ht="12" customHeight="1">
      <c r="A1800" s="298">
        <v>36398</v>
      </c>
      <c r="B1800" s="299" t="s">
        <v>3511</v>
      </c>
      <c r="C1800" s="299">
        <v>50</v>
      </c>
      <c r="D1800" s="299">
        <f t="shared" si="59"/>
        <v>8</v>
      </c>
      <c r="E1800" s="299">
        <v>46</v>
      </c>
      <c r="F1800" s="430" t="s">
        <v>3497</v>
      </c>
      <c r="G1800" s="300" t="str">
        <f t="shared" si="60"/>
        <v>MoetNRW</v>
      </c>
    </row>
    <row r="1801" spans="1:7" ht="12" customHeight="1">
      <c r="A1801" s="298">
        <v>36422</v>
      </c>
      <c r="B1801" s="299" t="s">
        <v>3511</v>
      </c>
      <c r="C1801" s="299">
        <v>50</v>
      </c>
      <c r="D1801" s="299">
        <f t="shared" si="59"/>
        <v>9</v>
      </c>
      <c r="E1801" s="299">
        <v>50</v>
      </c>
      <c r="F1801" s="430" t="s">
        <v>3497</v>
      </c>
      <c r="G1801" s="300" t="str">
        <f t="shared" si="60"/>
        <v>MoetNRW</v>
      </c>
    </row>
    <row r="1802" spans="1:7" ht="12" customHeight="1">
      <c r="A1802" s="298">
        <v>36198</v>
      </c>
      <c r="B1802" s="299" t="s">
        <v>3511</v>
      </c>
      <c r="C1802" s="299">
        <v>120</v>
      </c>
      <c r="D1802" s="299">
        <f t="shared" si="59"/>
        <v>2</v>
      </c>
      <c r="E1802" s="299">
        <v>54</v>
      </c>
      <c r="F1802" s="430" t="s">
        <v>3499</v>
      </c>
      <c r="G1802" s="300" t="str">
        <f t="shared" si="60"/>
        <v>MoetPfalz</v>
      </c>
    </row>
    <row r="1803" spans="1:7" ht="12" customHeight="1">
      <c r="A1803" s="298">
        <v>36200</v>
      </c>
      <c r="B1803" s="299" t="s">
        <v>3511</v>
      </c>
      <c r="C1803" s="299">
        <v>80</v>
      </c>
      <c r="D1803" s="299">
        <f t="shared" si="59"/>
        <v>2</v>
      </c>
      <c r="E1803" s="299">
        <v>46</v>
      </c>
      <c r="F1803" s="430" t="s">
        <v>3499</v>
      </c>
      <c r="G1803" s="300" t="str">
        <f t="shared" si="60"/>
        <v>MoetPfalz</v>
      </c>
    </row>
    <row r="1804" spans="1:7" ht="12" customHeight="1">
      <c r="A1804" s="298">
        <v>36206</v>
      </c>
      <c r="B1804" s="299" t="s">
        <v>3511</v>
      </c>
      <c r="C1804" s="299">
        <v>100</v>
      </c>
      <c r="D1804" s="299">
        <f t="shared" si="59"/>
        <v>2</v>
      </c>
      <c r="E1804" s="299">
        <v>54</v>
      </c>
      <c r="F1804" s="430" t="s">
        <v>3499</v>
      </c>
      <c r="G1804" s="300" t="str">
        <f t="shared" si="60"/>
        <v>MoetPfalz</v>
      </c>
    </row>
    <row r="1805" spans="1:7" ht="12" customHeight="1">
      <c r="A1805" s="298">
        <v>36212</v>
      </c>
      <c r="B1805" s="299" t="s">
        <v>3511</v>
      </c>
      <c r="C1805" s="299">
        <v>90</v>
      </c>
      <c r="D1805" s="299">
        <f t="shared" si="59"/>
        <v>2</v>
      </c>
      <c r="E1805" s="299">
        <v>46</v>
      </c>
      <c r="F1805" s="430" t="s">
        <v>3499</v>
      </c>
      <c r="G1805" s="300" t="str">
        <f t="shared" si="60"/>
        <v>MoetPfalz</v>
      </c>
    </row>
    <row r="1806" spans="1:7" ht="12" customHeight="1">
      <c r="A1806" s="298">
        <v>36214</v>
      </c>
      <c r="B1806" s="299" t="s">
        <v>3511</v>
      </c>
      <c r="C1806" s="299">
        <v>60</v>
      </c>
      <c r="D1806" s="299">
        <f t="shared" si="59"/>
        <v>2</v>
      </c>
      <c r="E1806" s="299">
        <v>54</v>
      </c>
      <c r="F1806" s="430" t="s">
        <v>3499</v>
      </c>
      <c r="G1806" s="300" t="str">
        <f t="shared" si="60"/>
        <v>MoetPfalz</v>
      </c>
    </row>
    <row r="1807" spans="1:7" ht="12" customHeight="1">
      <c r="A1807" s="298">
        <v>36215</v>
      </c>
      <c r="B1807" s="299" t="s">
        <v>3511</v>
      </c>
      <c r="C1807" s="299">
        <v>80</v>
      </c>
      <c r="D1807" s="299">
        <f t="shared" si="59"/>
        <v>2</v>
      </c>
      <c r="E1807" s="299">
        <v>52</v>
      </c>
      <c r="F1807" s="430" t="s">
        <v>3499</v>
      </c>
      <c r="G1807" s="300" t="str">
        <f t="shared" si="60"/>
        <v>MoetPfalz</v>
      </c>
    </row>
    <row r="1808" spans="1:7" ht="12" customHeight="1">
      <c r="A1808" s="298">
        <v>36220</v>
      </c>
      <c r="B1808" s="299" t="s">
        <v>3511</v>
      </c>
      <c r="C1808" s="299">
        <v>80</v>
      </c>
      <c r="D1808" s="299">
        <f t="shared" si="59"/>
        <v>3</v>
      </c>
      <c r="E1808" s="299">
        <v>54</v>
      </c>
      <c r="F1808" s="430" t="s">
        <v>3499</v>
      </c>
      <c r="G1808" s="300" t="str">
        <f t="shared" si="60"/>
        <v>MoetPfalz</v>
      </c>
    </row>
    <row r="1809" spans="1:7" ht="12" customHeight="1">
      <c r="A1809" s="298">
        <v>36287</v>
      </c>
      <c r="B1809" s="299" t="s">
        <v>3511</v>
      </c>
      <c r="C1809" s="299">
        <v>100</v>
      </c>
      <c r="D1809" s="299">
        <f t="shared" si="59"/>
        <v>5</v>
      </c>
      <c r="E1809" s="299">
        <v>54</v>
      </c>
      <c r="F1809" s="430" t="s">
        <v>3499</v>
      </c>
      <c r="G1809" s="300" t="str">
        <f t="shared" si="60"/>
        <v>MoetPfalz</v>
      </c>
    </row>
    <row r="1810" spans="1:7" ht="12" customHeight="1">
      <c r="A1810" s="298">
        <v>36321</v>
      </c>
      <c r="B1810" s="299" t="s">
        <v>3511</v>
      </c>
      <c r="C1810" s="299">
        <v>10</v>
      </c>
      <c r="D1810" s="299">
        <f t="shared" si="59"/>
        <v>6</v>
      </c>
      <c r="E1810" s="299">
        <v>46</v>
      </c>
      <c r="F1810" s="430" t="s">
        <v>3499</v>
      </c>
      <c r="G1810" s="300" t="str">
        <f t="shared" si="60"/>
        <v>MoetPfalz</v>
      </c>
    </row>
    <row r="1811" spans="1:7" ht="12" customHeight="1">
      <c r="A1811" s="298">
        <v>36338</v>
      </c>
      <c r="B1811" s="299" t="s">
        <v>3511</v>
      </c>
      <c r="C1811" s="299">
        <v>120</v>
      </c>
      <c r="D1811" s="299">
        <f t="shared" si="59"/>
        <v>6</v>
      </c>
      <c r="E1811" s="299">
        <v>46</v>
      </c>
      <c r="F1811" s="430" t="s">
        <v>3499</v>
      </c>
      <c r="G1811" s="300" t="str">
        <f t="shared" si="60"/>
        <v>MoetPfalz</v>
      </c>
    </row>
    <row r="1812" spans="1:7" ht="12" customHeight="1">
      <c r="A1812" s="298">
        <v>36353</v>
      </c>
      <c r="B1812" s="299" t="s">
        <v>3511</v>
      </c>
      <c r="C1812" s="299">
        <v>80</v>
      </c>
      <c r="D1812" s="299">
        <f t="shared" si="59"/>
        <v>7</v>
      </c>
      <c r="E1812" s="299">
        <v>46</v>
      </c>
      <c r="F1812" s="430" t="s">
        <v>3499</v>
      </c>
      <c r="G1812" s="300" t="str">
        <f t="shared" si="60"/>
        <v>MoetPfalz</v>
      </c>
    </row>
    <row r="1813" spans="1:7" ht="12" customHeight="1">
      <c r="A1813" s="298">
        <v>36359</v>
      </c>
      <c r="B1813" s="299" t="s">
        <v>3511</v>
      </c>
      <c r="C1813" s="299">
        <v>40</v>
      </c>
      <c r="D1813" s="299">
        <f t="shared" si="59"/>
        <v>7</v>
      </c>
      <c r="E1813" s="299">
        <v>54</v>
      </c>
      <c r="F1813" s="430" t="s">
        <v>3499</v>
      </c>
      <c r="G1813" s="300" t="str">
        <f t="shared" si="60"/>
        <v>MoetPfalz</v>
      </c>
    </row>
    <row r="1814" spans="1:7" ht="12" customHeight="1">
      <c r="A1814" s="298">
        <v>36360</v>
      </c>
      <c r="B1814" s="299" t="s">
        <v>3511</v>
      </c>
      <c r="C1814" s="299">
        <v>40</v>
      </c>
      <c r="D1814" s="299">
        <f t="shared" si="59"/>
        <v>7</v>
      </c>
      <c r="E1814" s="299">
        <v>46</v>
      </c>
      <c r="F1814" s="430" t="s">
        <v>3499</v>
      </c>
      <c r="G1814" s="300" t="str">
        <f t="shared" si="60"/>
        <v>MoetPfalz</v>
      </c>
    </row>
    <row r="1815" spans="1:7" ht="12" customHeight="1">
      <c r="A1815" s="298">
        <v>36362</v>
      </c>
      <c r="B1815" s="299" t="s">
        <v>3511</v>
      </c>
      <c r="C1815" s="299">
        <v>60</v>
      </c>
      <c r="D1815" s="299">
        <f t="shared" si="59"/>
        <v>7</v>
      </c>
      <c r="E1815" s="299">
        <v>52</v>
      </c>
      <c r="F1815" s="430" t="s">
        <v>3499</v>
      </c>
      <c r="G1815" s="300" t="str">
        <f t="shared" si="60"/>
        <v>MoetPfalz</v>
      </c>
    </row>
    <row r="1816" spans="1:7" ht="12" customHeight="1">
      <c r="A1816" s="298">
        <v>36365</v>
      </c>
      <c r="B1816" s="299" t="s">
        <v>3511</v>
      </c>
      <c r="C1816" s="299">
        <v>50</v>
      </c>
      <c r="D1816" s="299">
        <f t="shared" si="59"/>
        <v>7</v>
      </c>
      <c r="E1816" s="299">
        <v>46</v>
      </c>
      <c r="F1816" s="430" t="s">
        <v>3499</v>
      </c>
      <c r="G1816" s="300" t="str">
        <f t="shared" si="60"/>
        <v>MoetPfalz</v>
      </c>
    </row>
    <row r="1817" spans="1:7" ht="12" customHeight="1">
      <c r="A1817" s="298">
        <v>36367</v>
      </c>
      <c r="B1817" s="299" t="s">
        <v>3511</v>
      </c>
      <c r="C1817" s="299">
        <v>100</v>
      </c>
      <c r="D1817" s="299">
        <f t="shared" si="59"/>
        <v>7</v>
      </c>
      <c r="E1817" s="299">
        <v>46</v>
      </c>
      <c r="F1817" s="430" t="s">
        <v>3499</v>
      </c>
      <c r="G1817" s="300" t="str">
        <f t="shared" si="60"/>
        <v>MoetPfalz</v>
      </c>
    </row>
    <row r="1818" spans="1:7" ht="12" customHeight="1">
      <c r="A1818" s="298">
        <v>36381</v>
      </c>
      <c r="B1818" s="299" t="s">
        <v>3511</v>
      </c>
      <c r="C1818" s="299">
        <v>90</v>
      </c>
      <c r="D1818" s="299">
        <f t="shared" si="59"/>
        <v>8</v>
      </c>
      <c r="E1818" s="299">
        <v>54</v>
      </c>
      <c r="F1818" s="430" t="s">
        <v>3499</v>
      </c>
      <c r="G1818" s="300" t="str">
        <f t="shared" si="60"/>
        <v>MoetPfalz</v>
      </c>
    </row>
    <row r="1819" spans="1:7" ht="12" customHeight="1">
      <c r="A1819" s="298">
        <v>36401</v>
      </c>
      <c r="B1819" s="299" t="s">
        <v>3511</v>
      </c>
      <c r="C1819" s="299">
        <v>30</v>
      </c>
      <c r="D1819" s="299">
        <f t="shared" si="59"/>
        <v>8</v>
      </c>
      <c r="E1819" s="299">
        <v>50</v>
      </c>
      <c r="F1819" s="430" t="s">
        <v>3499</v>
      </c>
      <c r="G1819" s="300" t="str">
        <f t="shared" si="60"/>
        <v>MoetPfalz</v>
      </c>
    </row>
    <row r="1820" spans="1:7" ht="12" customHeight="1">
      <c r="A1820" s="298">
        <v>36418</v>
      </c>
      <c r="B1820" s="299" t="s">
        <v>3511</v>
      </c>
      <c r="C1820" s="299">
        <v>60</v>
      </c>
      <c r="D1820" s="299">
        <f t="shared" si="59"/>
        <v>9</v>
      </c>
      <c r="E1820" s="299">
        <v>46</v>
      </c>
      <c r="F1820" s="430" t="s">
        <v>3499</v>
      </c>
      <c r="G1820" s="300" t="str">
        <f t="shared" si="60"/>
        <v>MoetPfalz</v>
      </c>
    </row>
    <row r="1821" spans="1:7" ht="12" customHeight="1">
      <c r="A1821" s="298">
        <v>36425</v>
      </c>
      <c r="B1821" s="299" t="s">
        <v>3511</v>
      </c>
      <c r="C1821" s="299">
        <v>120</v>
      </c>
      <c r="D1821" s="299">
        <f t="shared" si="59"/>
        <v>9</v>
      </c>
      <c r="E1821" s="299">
        <v>46</v>
      </c>
      <c r="F1821" s="430" t="s">
        <v>3499</v>
      </c>
      <c r="G1821" s="300" t="str">
        <f t="shared" si="60"/>
        <v>MoetPfalz</v>
      </c>
    </row>
    <row r="1822" spans="1:7" ht="12" customHeight="1">
      <c r="A1822" s="298">
        <v>36445</v>
      </c>
      <c r="B1822" s="299" t="s">
        <v>3511</v>
      </c>
      <c r="C1822" s="299">
        <v>120</v>
      </c>
      <c r="D1822" s="299">
        <f t="shared" si="59"/>
        <v>10</v>
      </c>
      <c r="E1822" s="299">
        <v>52</v>
      </c>
      <c r="F1822" s="430" t="s">
        <v>3499</v>
      </c>
      <c r="G1822" s="300" t="str">
        <f t="shared" si="60"/>
        <v>MoetPfalz</v>
      </c>
    </row>
    <row r="1823" spans="1:7" ht="12" customHeight="1">
      <c r="A1823" s="298">
        <v>36451</v>
      </c>
      <c r="B1823" s="299" t="s">
        <v>3511</v>
      </c>
      <c r="C1823" s="299">
        <v>50</v>
      </c>
      <c r="D1823" s="299">
        <f t="shared" si="59"/>
        <v>10</v>
      </c>
      <c r="E1823" s="299">
        <v>50</v>
      </c>
      <c r="F1823" s="430" t="s">
        <v>3499</v>
      </c>
      <c r="G1823" s="300" t="str">
        <f t="shared" si="60"/>
        <v>MoetPfalz</v>
      </c>
    </row>
    <row r="1824" spans="1:7" ht="12" customHeight="1">
      <c r="A1824" s="298">
        <v>36482</v>
      </c>
      <c r="B1824" s="299" t="s">
        <v>3511</v>
      </c>
      <c r="C1824" s="299">
        <v>80</v>
      </c>
      <c r="D1824" s="299">
        <f t="shared" si="59"/>
        <v>11</v>
      </c>
      <c r="E1824" s="299">
        <v>46</v>
      </c>
      <c r="F1824" s="430" t="s">
        <v>3499</v>
      </c>
      <c r="G1824" s="300" t="str">
        <f t="shared" si="60"/>
        <v>MoetPfalz</v>
      </c>
    </row>
    <row r="1825" spans="1:7" ht="12" customHeight="1">
      <c r="A1825" s="298">
        <v>36489</v>
      </c>
      <c r="B1825" s="299" t="s">
        <v>3511</v>
      </c>
      <c r="C1825" s="299">
        <v>30</v>
      </c>
      <c r="D1825" s="299">
        <f t="shared" si="59"/>
        <v>11</v>
      </c>
      <c r="E1825" s="299">
        <v>54</v>
      </c>
      <c r="F1825" s="430" t="s">
        <v>3499</v>
      </c>
      <c r="G1825" s="300" t="str">
        <f t="shared" si="60"/>
        <v>MoetPfalz</v>
      </c>
    </row>
    <row r="1826" spans="1:7" ht="12" customHeight="1">
      <c r="A1826" s="298">
        <v>36506</v>
      </c>
      <c r="B1826" s="299" t="s">
        <v>3511</v>
      </c>
      <c r="C1826" s="299">
        <v>80</v>
      </c>
      <c r="D1826" s="299">
        <f t="shared" si="59"/>
        <v>12</v>
      </c>
      <c r="E1826" s="299">
        <v>46</v>
      </c>
      <c r="F1826" s="430" t="s">
        <v>3499</v>
      </c>
      <c r="G1826" s="300" t="str">
        <f t="shared" si="60"/>
        <v>MoetPfalz</v>
      </c>
    </row>
    <row r="1827" spans="1:7" ht="12" customHeight="1">
      <c r="A1827" s="298">
        <v>36509</v>
      </c>
      <c r="B1827" s="299" t="s">
        <v>3511</v>
      </c>
      <c r="C1827" s="299">
        <v>100</v>
      </c>
      <c r="D1827" s="299">
        <f t="shared" si="59"/>
        <v>12</v>
      </c>
      <c r="E1827" s="299">
        <v>46</v>
      </c>
      <c r="F1827" s="430" t="s">
        <v>3499</v>
      </c>
      <c r="G1827" s="300" t="str">
        <f t="shared" si="60"/>
        <v>MoetPfalz</v>
      </c>
    </row>
    <row r="1828" spans="1:7" ht="12" customHeight="1">
      <c r="A1828" s="298">
        <v>36513</v>
      </c>
      <c r="B1828" s="299" t="s">
        <v>3511</v>
      </c>
      <c r="C1828" s="299">
        <v>40</v>
      </c>
      <c r="D1828" s="299">
        <f t="shared" si="59"/>
        <v>12</v>
      </c>
      <c r="E1828" s="299">
        <v>52</v>
      </c>
      <c r="F1828" s="430" t="s">
        <v>3499</v>
      </c>
      <c r="G1828" s="300" t="str">
        <f t="shared" si="60"/>
        <v>MoetPfalz</v>
      </c>
    </row>
    <row r="1829" spans="1:7" ht="12" customHeight="1">
      <c r="A1829" s="298">
        <v>36187</v>
      </c>
      <c r="B1829" s="299" t="s">
        <v>3511</v>
      </c>
      <c r="C1829" s="299">
        <v>160</v>
      </c>
      <c r="D1829" s="299">
        <f t="shared" si="59"/>
        <v>1</v>
      </c>
      <c r="E1829" s="299">
        <v>48</v>
      </c>
      <c r="F1829" s="430" t="s">
        <v>3500</v>
      </c>
      <c r="G1829" s="300" t="str">
        <f t="shared" si="60"/>
        <v>MoetSaarland</v>
      </c>
    </row>
    <row r="1830" spans="1:7" ht="12" customHeight="1">
      <c r="A1830" s="298">
        <v>36195</v>
      </c>
      <c r="B1830" s="299" t="s">
        <v>3511</v>
      </c>
      <c r="C1830" s="299">
        <v>80</v>
      </c>
      <c r="D1830" s="299">
        <f t="shared" si="59"/>
        <v>2</v>
      </c>
      <c r="E1830" s="299">
        <v>45</v>
      </c>
      <c r="F1830" s="430" t="s">
        <v>3500</v>
      </c>
      <c r="G1830" s="300" t="str">
        <f t="shared" si="60"/>
        <v>MoetSaarland</v>
      </c>
    </row>
    <row r="1831" spans="1:7" ht="12" customHeight="1">
      <c r="A1831" s="298">
        <v>36199</v>
      </c>
      <c r="B1831" s="299" t="s">
        <v>3511</v>
      </c>
      <c r="C1831" s="299">
        <v>20</v>
      </c>
      <c r="D1831" s="299">
        <f t="shared" si="59"/>
        <v>2</v>
      </c>
      <c r="E1831" s="299">
        <v>45</v>
      </c>
      <c r="F1831" s="430" t="s">
        <v>3500</v>
      </c>
      <c r="G1831" s="300" t="str">
        <f t="shared" si="60"/>
        <v>MoetSaarland</v>
      </c>
    </row>
    <row r="1832" spans="1:7" ht="12" customHeight="1">
      <c r="A1832" s="298">
        <v>36204</v>
      </c>
      <c r="B1832" s="299" t="s">
        <v>3511</v>
      </c>
      <c r="C1832" s="299">
        <v>10</v>
      </c>
      <c r="D1832" s="299">
        <f t="shared" si="59"/>
        <v>2</v>
      </c>
      <c r="E1832" s="299">
        <v>45</v>
      </c>
      <c r="F1832" s="430" t="s">
        <v>3500</v>
      </c>
      <c r="G1832" s="300" t="str">
        <f t="shared" si="60"/>
        <v>MoetSaarland</v>
      </c>
    </row>
    <row r="1833" spans="1:7" ht="12" customHeight="1">
      <c r="A1833" s="298">
        <v>36206</v>
      </c>
      <c r="B1833" s="299" t="s">
        <v>3511</v>
      </c>
      <c r="C1833" s="299">
        <v>80</v>
      </c>
      <c r="D1833" s="299">
        <f t="shared" si="59"/>
        <v>2</v>
      </c>
      <c r="E1833" s="299">
        <v>49</v>
      </c>
      <c r="F1833" s="430" t="s">
        <v>3500</v>
      </c>
      <c r="G1833" s="300" t="str">
        <f t="shared" si="60"/>
        <v>MoetSaarland</v>
      </c>
    </row>
    <row r="1834" spans="1:7" ht="12" customHeight="1">
      <c r="A1834" s="298">
        <v>36207</v>
      </c>
      <c r="B1834" s="299" t="s">
        <v>3511</v>
      </c>
      <c r="C1834" s="299">
        <v>10</v>
      </c>
      <c r="D1834" s="299">
        <f t="shared" si="59"/>
        <v>2</v>
      </c>
      <c r="E1834" s="299">
        <v>45</v>
      </c>
      <c r="F1834" s="430" t="s">
        <v>3500</v>
      </c>
      <c r="G1834" s="300" t="str">
        <f t="shared" si="60"/>
        <v>MoetSaarland</v>
      </c>
    </row>
    <row r="1835" spans="1:7" ht="12" customHeight="1">
      <c r="A1835" s="298">
        <v>36221</v>
      </c>
      <c r="B1835" s="299" t="s">
        <v>3511</v>
      </c>
      <c r="C1835" s="299">
        <v>40</v>
      </c>
      <c r="D1835" s="299">
        <f t="shared" si="59"/>
        <v>3</v>
      </c>
      <c r="E1835" s="299">
        <v>45</v>
      </c>
      <c r="F1835" s="430" t="s">
        <v>3500</v>
      </c>
      <c r="G1835" s="300" t="str">
        <f t="shared" si="60"/>
        <v>MoetSaarland</v>
      </c>
    </row>
    <row r="1836" spans="1:7" ht="12" customHeight="1">
      <c r="A1836" s="298">
        <v>36237</v>
      </c>
      <c r="B1836" s="299" t="s">
        <v>3511</v>
      </c>
      <c r="C1836" s="299">
        <v>40</v>
      </c>
      <c r="D1836" s="299">
        <f t="shared" si="59"/>
        <v>3</v>
      </c>
      <c r="E1836" s="299">
        <v>46</v>
      </c>
      <c r="F1836" s="430" t="s">
        <v>3500</v>
      </c>
      <c r="G1836" s="300" t="str">
        <f t="shared" si="60"/>
        <v>MoetSaarland</v>
      </c>
    </row>
    <row r="1837" spans="1:7" ht="12" customHeight="1">
      <c r="A1837" s="298">
        <v>36251</v>
      </c>
      <c r="B1837" s="299" t="s">
        <v>3511</v>
      </c>
      <c r="C1837" s="299">
        <v>20</v>
      </c>
      <c r="D1837" s="299">
        <f t="shared" si="59"/>
        <v>4</v>
      </c>
      <c r="E1837" s="299">
        <v>50</v>
      </c>
      <c r="F1837" s="430" t="s">
        <v>3500</v>
      </c>
      <c r="G1837" s="300" t="str">
        <f t="shared" si="60"/>
        <v>MoetSaarland</v>
      </c>
    </row>
    <row r="1838" spans="1:7" ht="12" customHeight="1">
      <c r="A1838" s="298">
        <v>36256</v>
      </c>
      <c r="B1838" s="299" t="s">
        <v>3511</v>
      </c>
      <c r="C1838" s="299">
        <v>30</v>
      </c>
      <c r="D1838" s="299">
        <f t="shared" si="59"/>
        <v>4</v>
      </c>
      <c r="E1838" s="299">
        <v>48</v>
      </c>
      <c r="F1838" s="430" t="s">
        <v>3500</v>
      </c>
      <c r="G1838" s="300" t="str">
        <f t="shared" si="60"/>
        <v>MoetSaarland</v>
      </c>
    </row>
    <row r="1839" spans="1:7" ht="12" customHeight="1">
      <c r="A1839" s="298">
        <v>36260</v>
      </c>
      <c r="B1839" s="299" t="s">
        <v>3511</v>
      </c>
      <c r="C1839" s="299">
        <v>100</v>
      </c>
      <c r="D1839" s="299">
        <f t="shared" si="59"/>
        <v>4</v>
      </c>
      <c r="E1839" s="299">
        <v>45</v>
      </c>
      <c r="F1839" s="430" t="s">
        <v>3500</v>
      </c>
      <c r="G1839" s="300" t="str">
        <f t="shared" si="60"/>
        <v>MoetSaarland</v>
      </c>
    </row>
    <row r="1840" spans="1:7" ht="12" customHeight="1">
      <c r="A1840" s="298">
        <v>36279</v>
      </c>
      <c r="B1840" s="299" t="s">
        <v>3511</v>
      </c>
      <c r="C1840" s="299">
        <v>60</v>
      </c>
      <c r="D1840" s="299">
        <f t="shared" si="59"/>
        <v>4</v>
      </c>
      <c r="E1840" s="299">
        <v>50</v>
      </c>
      <c r="F1840" s="430" t="s">
        <v>3500</v>
      </c>
      <c r="G1840" s="300" t="str">
        <f t="shared" si="60"/>
        <v>MoetSaarland</v>
      </c>
    </row>
    <row r="1841" spans="1:7" ht="12" customHeight="1">
      <c r="A1841" s="298">
        <v>36280</v>
      </c>
      <c r="B1841" s="299" t="s">
        <v>3511</v>
      </c>
      <c r="C1841" s="299">
        <v>30</v>
      </c>
      <c r="D1841" s="299">
        <f t="shared" si="59"/>
        <v>4</v>
      </c>
      <c r="E1841" s="299">
        <v>46</v>
      </c>
      <c r="F1841" s="430" t="s">
        <v>3500</v>
      </c>
      <c r="G1841" s="300" t="str">
        <f t="shared" si="60"/>
        <v>MoetSaarland</v>
      </c>
    </row>
    <row r="1842" spans="1:7" ht="12" customHeight="1">
      <c r="A1842" s="298">
        <v>36284</v>
      </c>
      <c r="B1842" s="299" t="s">
        <v>3511</v>
      </c>
      <c r="C1842" s="299">
        <v>80</v>
      </c>
      <c r="D1842" s="299">
        <f t="shared" si="59"/>
        <v>5</v>
      </c>
      <c r="E1842" s="299">
        <v>48</v>
      </c>
      <c r="F1842" s="430" t="s">
        <v>3500</v>
      </c>
      <c r="G1842" s="300" t="str">
        <f t="shared" si="60"/>
        <v>MoetSaarland</v>
      </c>
    </row>
    <row r="1843" spans="1:7" ht="12" customHeight="1">
      <c r="A1843" s="298">
        <v>36285</v>
      </c>
      <c r="B1843" s="299" t="s">
        <v>3511</v>
      </c>
      <c r="C1843" s="299">
        <v>50</v>
      </c>
      <c r="D1843" s="299">
        <f t="shared" si="59"/>
        <v>5</v>
      </c>
      <c r="E1843" s="299">
        <v>49</v>
      </c>
      <c r="F1843" s="430" t="s">
        <v>3500</v>
      </c>
      <c r="G1843" s="300" t="str">
        <f t="shared" si="60"/>
        <v>MoetSaarland</v>
      </c>
    </row>
    <row r="1844" spans="1:7" ht="12" customHeight="1">
      <c r="A1844" s="298">
        <v>36293</v>
      </c>
      <c r="B1844" s="299" t="s">
        <v>3511</v>
      </c>
      <c r="C1844" s="299">
        <v>100</v>
      </c>
      <c r="D1844" s="299">
        <f t="shared" si="59"/>
        <v>5</v>
      </c>
      <c r="E1844" s="299">
        <v>49</v>
      </c>
      <c r="F1844" s="430" t="s">
        <v>3500</v>
      </c>
      <c r="G1844" s="300" t="str">
        <f t="shared" si="60"/>
        <v>MoetSaarland</v>
      </c>
    </row>
    <row r="1845" spans="1:7" ht="12" customHeight="1">
      <c r="A1845" s="298">
        <v>36304</v>
      </c>
      <c r="B1845" s="299" t="s">
        <v>3511</v>
      </c>
      <c r="C1845" s="299">
        <v>10</v>
      </c>
      <c r="D1845" s="299">
        <f t="shared" si="59"/>
        <v>5</v>
      </c>
      <c r="E1845" s="299">
        <v>46</v>
      </c>
      <c r="F1845" s="430" t="s">
        <v>3500</v>
      </c>
      <c r="G1845" s="300" t="str">
        <f t="shared" si="60"/>
        <v>MoetSaarland</v>
      </c>
    </row>
    <row r="1846" spans="1:7" ht="12" customHeight="1">
      <c r="A1846" s="298">
        <v>36306</v>
      </c>
      <c r="B1846" s="299" t="s">
        <v>3511</v>
      </c>
      <c r="C1846" s="299">
        <v>120</v>
      </c>
      <c r="D1846" s="299">
        <f t="shared" si="59"/>
        <v>5</v>
      </c>
      <c r="E1846" s="299">
        <v>49</v>
      </c>
      <c r="F1846" s="430" t="s">
        <v>3500</v>
      </c>
      <c r="G1846" s="300" t="str">
        <f t="shared" si="60"/>
        <v>MoetSaarland</v>
      </c>
    </row>
    <row r="1847" spans="1:7" ht="12" customHeight="1">
      <c r="A1847" s="298">
        <v>36309</v>
      </c>
      <c r="B1847" s="299" t="s">
        <v>3511</v>
      </c>
      <c r="C1847" s="299">
        <v>160</v>
      </c>
      <c r="D1847" s="299">
        <f t="shared" si="59"/>
        <v>5</v>
      </c>
      <c r="E1847" s="299">
        <v>49</v>
      </c>
      <c r="F1847" s="430" t="s">
        <v>3500</v>
      </c>
      <c r="G1847" s="300" t="str">
        <f t="shared" si="60"/>
        <v>MoetSaarland</v>
      </c>
    </row>
    <row r="1848" spans="1:7" ht="12" customHeight="1">
      <c r="A1848" s="298">
        <v>36312</v>
      </c>
      <c r="B1848" s="299" t="s">
        <v>3511</v>
      </c>
      <c r="C1848" s="299">
        <v>100</v>
      </c>
      <c r="D1848" s="299">
        <f t="shared" si="59"/>
        <v>6</v>
      </c>
      <c r="E1848" s="299">
        <v>46</v>
      </c>
      <c r="F1848" s="430" t="s">
        <v>3500</v>
      </c>
      <c r="G1848" s="300" t="str">
        <f t="shared" si="60"/>
        <v>MoetSaarland</v>
      </c>
    </row>
    <row r="1849" spans="1:7" ht="12" customHeight="1">
      <c r="A1849" s="298">
        <v>36316</v>
      </c>
      <c r="B1849" s="299" t="s">
        <v>3511</v>
      </c>
      <c r="C1849" s="299">
        <v>80</v>
      </c>
      <c r="D1849" s="299">
        <f t="shared" si="59"/>
        <v>6</v>
      </c>
      <c r="E1849" s="299">
        <v>50</v>
      </c>
      <c r="F1849" s="430" t="s">
        <v>3500</v>
      </c>
      <c r="G1849" s="300" t="str">
        <f t="shared" si="60"/>
        <v>MoetSaarland</v>
      </c>
    </row>
    <row r="1850" spans="1:7" ht="12" customHeight="1">
      <c r="A1850" s="298">
        <v>36319</v>
      </c>
      <c r="B1850" s="299" t="s">
        <v>3511</v>
      </c>
      <c r="C1850" s="299">
        <v>80</v>
      </c>
      <c r="D1850" s="299">
        <f t="shared" si="59"/>
        <v>6</v>
      </c>
      <c r="E1850" s="299">
        <v>45</v>
      </c>
      <c r="F1850" s="430" t="s">
        <v>3500</v>
      </c>
      <c r="G1850" s="300" t="str">
        <f t="shared" si="60"/>
        <v>MoetSaarland</v>
      </c>
    </row>
    <row r="1851" spans="1:7" ht="12" customHeight="1">
      <c r="A1851" s="298">
        <v>36320</v>
      </c>
      <c r="B1851" s="299" t="s">
        <v>3511</v>
      </c>
      <c r="C1851" s="299">
        <v>120</v>
      </c>
      <c r="D1851" s="299">
        <f t="shared" si="59"/>
        <v>6</v>
      </c>
      <c r="E1851" s="299">
        <v>49</v>
      </c>
      <c r="F1851" s="430" t="s">
        <v>3500</v>
      </c>
      <c r="G1851" s="300" t="str">
        <f t="shared" si="60"/>
        <v>MoetSaarland</v>
      </c>
    </row>
    <row r="1852" spans="1:7" ht="12" customHeight="1">
      <c r="A1852" s="298">
        <v>36321</v>
      </c>
      <c r="B1852" s="299" t="s">
        <v>3511</v>
      </c>
      <c r="C1852" s="299">
        <v>80</v>
      </c>
      <c r="D1852" s="299">
        <f t="shared" si="59"/>
        <v>6</v>
      </c>
      <c r="E1852" s="299">
        <v>49</v>
      </c>
      <c r="F1852" s="430" t="s">
        <v>3500</v>
      </c>
      <c r="G1852" s="300" t="str">
        <f t="shared" si="60"/>
        <v>MoetSaarland</v>
      </c>
    </row>
    <row r="1853" spans="1:7" ht="12" customHeight="1">
      <c r="A1853" s="298">
        <v>36322</v>
      </c>
      <c r="B1853" s="299" t="s">
        <v>3511</v>
      </c>
      <c r="C1853" s="299">
        <v>60</v>
      </c>
      <c r="D1853" s="299">
        <f t="shared" si="59"/>
        <v>6</v>
      </c>
      <c r="E1853" s="299">
        <v>53</v>
      </c>
      <c r="F1853" s="430" t="s">
        <v>3500</v>
      </c>
      <c r="G1853" s="300" t="str">
        <f t="shared" si="60"/>
        <v>MoetSaarland</v>
      </c>
    </row>
    <row r="1854" spans="1:7" ht="12" customHeight="1">
      <c r="A1854" s="298">
        <v>36333</v>
      </c>
      <c r="B1854" s="299" t="s">
        <v>3511</v>
      </c>
      <c r="C1854" s="299">
        <v>80</v>
      </c>
      <c r="D1854" s="299">
        <f t="shared" si="59"/>
        <v>6</v>
      </c>
      <c r="E1854" s="299">
        <v>49</v>
      </c>
      <c r="F1854" s="430" t="s">
        <v>3500</v>
      </c>
      <c r="G1854" s="300" t="str">
        <f t="shared" si="60"/>
        <v>MoetSaarland</v>
      </c>
    </row>
    <row r="1855" spans="1:7" ht="12" customHeight="1">
      <c r="A1855" s="298">
        <v>36341</v>
      </c>
      <c r="B1855" s="299" t="s">
        <v>3511</v>
      </c>
      <c r="C1855" s="299">
        <v>80</v>
      </c>
      <c r="D1855" s="299">
        <f t="shared" si="59"/>
        <v>6</v>
      </c>
      <c r="E1855" s="299">
        <v>49</v>
      </c>
      <c r="F1855" s="430" t="s">
        <v>3500</v>
      </c>
      <c r="G1855" s="300" t="str">
        <f t="shared" si="60"/>
        <v>MoetSaarland</v>
      </c>
    </row>
    <row r="1856" spans="1:7" ht="12" customHeight="1">
      <c r="A1856" s="298">
        <v>36351</v>
      </c>
      <c r="B1856" s="299" t="s">
        <v>3511</v>
      </c>
      <c r="C1856" s="299">
        <v>20</v>
      </c>
      <c r="D1856" s="299">
        <f t="shared" si="59"/>
        <v>7</v>
      </c>
      <c r="E1856" s="299">
        <v>48</v>
      </c>
      <c r="F1856" s="430" t="s">
        <v>3500</v>
      </c>
      <c r="G1856" s="300" t="str">
        <f t="shared" si="60"/>
        <v>MoetSaarland</v>
      </c>
    </row>
    <row r="1857" spans="1:7" ht="12" customHeight="1">
      <c r="A1857" s="298">
        <v>36355</v>
      </c>
      <c r="B1857" s="299" t="s">
        <v>3511</v>
      </c>
      <c r="C1857" s="299">
        <v>10</v>
      </c>
      <c r="D1857" s="299">
        <f t="shared" si="59"/>
        <v>7</v>
      </c>
      <c r="E1857" s="299">
        <v>49</v>
      </c>
      <c r="F1857" s="430" t="s">
        <v>3500</v>
      </c>
      <c r="G1857" s="300" t="str">
        <f t="shared" si="60"/>
        <v>MoetSaarland</v>
      </c>
    </row>
    <row r="1858" spans="1:7" ht="12" customHeight="1">
      <c r="A1858" s="298">
        <v>36361</v>
      </c>
      <c r="B1858" s="299" t="s">
        <v>3511</v>
      </c>
      <c r="C1858" s="299">
        <v>80</v>
      </c>
      <c r="D1858" s="299">
        <f t="shared" si="59"/>
        <v>7</v>
      </c>
      <c r="E1858" s="299">
        <v>49</v>
      </c>
      <c r="F1858" s="430" t="s">
        <v>3500</v>
      </c>
      <c r="G1858" s="300" t="str">
        <f t="shared" si="60"/>
        <v>MoetSaarland</v>
      </c>
    </row>
    <row r="1859" spans="1:7" ht="12" customHeight="1">
      <c r="A1859" s="298">
        <v>36364</v>
      </c>
      <c r="B1859" s="299" t="s">
        <v>3511</v>
      </c>
      <c r="C1859" s="299">
        <v>40</v>
      </c>
      <c r="D1859" s="299">
        <f t="shared" si="59"/>
        <v>7</v>
      </c>
      <c r="E1859" s="299">
        <v>53</v>
      </c>
      <c r="F1859" s="430" t="s">
        <v>3500</v>
      </c>
      <c r="G1859" s="300" t="str">
        <f t="shared" si="60"/>
        <v>MoetSaarland</v>
      </c>
    </row>
    <row r="1860" spans="1:7" ht="12" customHeight="1">
      <c r="A1860" s="298">
        <v>36375</v>
      </c>
      <c r="B1860" s="299" t="s">
        <v>3511</v>
      </c>
      <c r="C1860" s="299">
        <v>40</v>
      </c>
      <c r="D1860" s="299">
        <f t="shared" si="59"/>
        <v>8</v>
      </c>
      <c r="E1860" s="299">
        <v>51</v>
      </c>
      <c r="F1860" s="430" t="s">
        <v>3500</v>
      </c>
      <c r="G1860" s="300" t="str">
        <f t="shared" si="60"/>
        <v>MoetSaarland</v>
      </c>
    </row>
    <row r="1861" spans="1:7" ht="12" customHeight="1">
      <c r="A1861" s="298">
        <v>36378</v>
      </c>
      <c r="B1861" s="299" t="s">
        <v>3511</v>
      </c>
      <c r="C1861" s="299">
        <v>80</v>
      </c>
      <c r="D1861" s="299">
        <f t="shared" si="59"/>
        <v>8</v>
      </c>
      <c r="E1861" s="299">
        <v>48</v>
      </c>
      <c r="F1861" s="430" t="s">
        <v>3500</v>
      </c>
      <c r="G1861" s="300" t="str">
        <f t="shared" si="60"/>
        <v>MoetSaarland</v>
      </c>
    </row>
    <row r="1862" spans="1:7" ht="12" customHeight="1">
      <c r="A1862" s="298">
        <v>36379</v>
      </c>
      <c r="B1862" s="299" t="s">
        <v>3511</v>
      </c>
      <c r="C1862" s="299">
        <v>60</v>
      </c>
      <c r="D1862" s="299">
        <f t="shared" ref="D1862:D1925" si="61">MONTH(A1862)</f>
        <v>8</v>
      </c>
      <c r="E1862" s="299">
        <v>46</v>
      </c>
      <c r="F1862" s="430" t="s">
        <v>3500</v>
      </c>
      <c r="G1862" s="300" t="str">
        <f t="shared" ref="G1862:G1925" si="62">B1862&amp;F1862</f>
        <v>MoetSaarland</v>
      </c>
    </row>
    <row r="1863" spans="1:7" ht="12" customHeight="1">
      <c r="A1863" s="298">
        <v>36382</v>
      </c>
      <c r="B1863" s="299" t="s">
        <v>3511</v>
      </c>
      <c r="C1863" s="299">
        <v>80</v>
      </c>
      <c r="D1863" s="299">
        <f t="shared" si="61"/>
        <v>8</v>
      </c>
      <c r="E1863" s="299">
        <v>48</v>
      </c>
      <c r="F1863" s="430" t="s">
        <v>3500</v>
      </c>
      <c r="G1863" s="300" t="str">
        <f t="shared" si="62"/>
        <v>MoetSaarland</v>
      </c>
    </row>
    <row r="1864" spans="1:7" ht="12" customHeight="1">
      <c r="A1864" s="298">
        <v>36385</v>
      </c>
      <c r="B1864" s="299" t="s">
        <v>3511</v>
      </c>
      <c r="C1864" s="299">
        <v>80</v>
      </c>
      <c r="D1864" s="299">
        <f t="shared" si="61"/>
        <v>8</v>
      </c>
      <c r="E1864" s="299">
        <v>48</v>
      </c>
      <c r="F1864" s="430" t="s">
        <v>3500</v>
      </c>
      <c r="G1864" s="300" t="str">
        <f t="shared" si="62"/>
        <v>MoetSaarland</v>
      </c>
    </row>
    <row r="1865" spans="1:7" ht="12" customHeight="1">
      <c r="A1865" s="298">
        <v>36394</v>
      </c>
      <c r="B1865" s="299" t="s">
        <v>3511</v>
      </c>
      <c r="C1865" s="299">
        <v>50</v>
      </c>
      <c r="D1865" s="299">
        <f t="shared" si="61"/>
        <v>8</v>
      </c>
      <c r="E1865" s="299">
        <v>49</v>
      </c>
      <c r="F1865" s="430" t="s">
        <v>3500</v>
      </c>
      <c r="G1865" s="300" t="str">
        <f t="shared" si="62"/>
        <v>MoetSaarland</v>
      </c>
    </row>
    <row r="1866" spans="1:7" ht="12" customHeight="1">
      <c r="A1866" s="298">
        <v>36397</v>
      </c>
      <c r="B1866" s="299" t="s">
        <v>3511</v>
      </c>
      <c r="C1866" s="299">
        <v>160</v>
      </c>
      <c r="D1866" s="299">
        <f t="shared" si="61"/>
        <v>8</v>
      </c>
      <c r="E1866" s="299">
        <v>48</v>
      </c>
      <c r="F1866" s="430" t="s">
        <v>3500</v>
      </c>
      <c r="G1866" s="300" t="str">
        <f t="shared" si="62"/>
        <v>MoetSaarland</v>
      </c>
    </row>
    <row r="1867" spans="1:7" ht="12" customHeight="1">
      <c r="A1867" s="298">
        <v>36407</v>
      </c>
      <c r="B1867" s="299" t="s">
        <v>3511</v>
      </c>
      <c r="C1867" s="299">
        <v>10</v>
      </c>
      <c r="D1867" s="299">
        <f t="shared" si="61"/>
        <v>9</v>
      </c>
      <c r="E1867" s="299">
        <v>51</v>
      </c>
      <c r="F1867" s="430" t="s">
        <v>3500</v>
      </c>
      <c r="G1867" s="300" t="str">
        <f t="shared" si="62"/>
        <v>MoetSaarland</v>
      </c>
    </row>
    <row r="1868" spans="1:7" ht="12" customHeight="1">
      <c r="A1868" s="298">
        <v>36421</v>
      </c>
      <c r="B1868" s="299" t="s">
        <v>3511</v>
      </c>
      <c r="C1868" s="299">
        <v>30</v>
      </c>
      <c r="D1868" s="299">
        <f t="shared" si="61"/>
        <v>9</v>
      </c>
      <c r="E1868" s="299">
        <v>51</v>
      </c>
      <c r="F1868" s="430" t="s">
        <v>3500</v>
      </c>
      <c r="G1868" s="300" t="str">
        <f t="shared" si="62"/>
        <v>MoetSaarland</v>
      </c>
    </row>
    <row r="1869" spans="1:7" ht="12" customHeight="1">
      <c r="A1869" s="298">
        <v>36425</v>
      </c>
      <c r="B1869" s="299" t="s">
        <v>3511</v>
      </c>
      <c r="C1869" s="299">
        <v>50</v>
      </c>
      <c r="D1869" s="299">
        <f t="shared" si="61"/>
        <v>9</v>
      </c>
      <c r="E1869" s="299">
        <v>49</v>
      </c>
      <c r="F1869" s="430" t="s">
        <v>3500</v>
      </c>
      <c r="G1869" s="300" t="str">
        <f t="shared" si="62"/>
        <v>MoetSaarland</v>
      </c>
    </row>
    <row r="1870" spans="1:7" ht="12" customHeight="1">
      <c r="A1870" s="298">
        <v>36427</v>
      </c>
      <c r="B1870" s="299" t="s">
        <v>3511</v>
      </c>
      <c r="C1870" s="299">
        <v>100</v>
      </c>
      <c r="D1870" s="299">
        <f t="shared" si="61"/>
        <v>9</v>
      </c>
      <c r="E1870" s="299">
        <v>51</v>
      </c>
      <c r="F1870" s="430" t="s">
        <v>3500</v>
      </c>
      <c r="G1870" s="300" t="str">
        <f t="shared" si="62"/>
        <v>MoetSaarland</v>
      </c>
    </row>
    <row r="1871" spans="1:7" ht="12" customHeight="1">
      <c r="A1871" s="298">
        <v>36430</v>
      </c>
      <c r="B1871" s="299" t="s">
        <v>3511</v>
      </c>
      <c r="C1871" s="299">
        <v>30</v>
      </c>
      <c r="D1871" s="299">
        <f t="shared" si="61"/>
        <v>9</v>
      </c>
      <c r="E1871" s="299">
        <v>48</v>
      </c>
      <c r="F1871" s="430" t="s">
        <v>3500</v>
      </c>
      <c r="G1871" s="300" t="str">
        <f t="shared" si="62"/>
        <v>MoetSaarland</v>
      </c>
    </row>
    <row r="1872" spans="1:7" ht="12" customHeight="1">
      <c r="A1872" s="298">
        <v>36435</v>
      </c>
      <c r="B1872" s="299" t="s">
        <v>3511</v>
      </c>
      <c r="C1872" s="299">
        <v>80</v>
      </c>
      <c r="D1872" s="299">
        <f t="shared" si="61"/>
        <v>10</v>
      </c>
      <c r="E1872" s="299">
        <v>53</v>
      </c>
      <c r="F1872" s="430" t="s">
        <v>3500</v>
      </c>
      <c r="G1872" s="300" t="str">
        <f t="shared" si="62"/>
        <v>MoetSaarland</v>
      </c>
    </row>
    <row r="1873" spans="1:7" ht="12" customHeight="1">
      <c r="A1873" s="298">
        <v>36435</v>
      </c>
      <c r="B1873" s="299" t="s">
        <v>3511</v>
      </c>
      <c r="C1873" s="299">
        <v>100</v>
      </c>
      <c r="D1873" s="299">
        <f t="shared" si="61"/>
        <v>10</v>
      </c>
      <c r="E1873" s="299">
        <v>49</v>
      </c>
      <c r="F1873" s="430" t="s">
        <v>3500</v>
      </c>
      <c r="G1873" s="300" t="str">
        <f t="shared" si="62"/>
        <v>MoetSaarland</v>
      </c>
    </row>
    <row r="1874" spans="1:7" ht="12" customHeight="1">
      <c r="A1874" s="298">
        <v>36436</v>
      </c>
      <c r="B1874" s="299" t="s">
        <v>3511</v>
      </c>
      <c r="C1874" s="299">
        <v>50</v>
      </c>
      <c r="D1874" s="299">
        <f t="shared" si="61"/>
        <v>10</v>
      </c>
      <c r="E1874" s="299">
        <v>49</v>
      </c>
      <c r="F1874" s="430" t="s">
        <v>3500</v>
      </c>
      <c r="G1874" s="300" t="str">
        <f t="shared" si="62"/>
        <v>MoetSaarland</v>
      </c>
    </row>
    <row r="1875" spans="1:7" ht="12" customHeight="1">
      <c r="A1875" s="298">
        <v>36443</v>
      </c>
      <c r="B1875" s="299" t="s">
        <v>3511</v>
      </c>
      <c r="C1875" s="299">
        <v>10</v>
      </c>
      <c r="D1875" s="299">
        <f t="shared" si="61"/>
        <v>10</v>
      </c>
      <c r="E1875" s="299">
        <v>53</v>
      </c>
      <c r="F1875" s="430" t="s">
        <v>3500</v>
      </c>
      <c r="G1875" s="300" t="str">
        <f t="shared" si="62"/>
        <v>MoetSaarland</v>
      </c>
    </row>
    <row r="1876" spans="1:7" ht="12" customHeight="1">
      <c r="A1876" s="298">
        <v>36443</v>
      </c>
      <c r="B1876" s="299" t="s">
        <v>3511</v>
      </c>
      <c r="C1876" s="299">
        <v>100</v>
      </c>
      <c r="D1876" s="299">
        <f t="shared" si="61"/>
        <v>10</v>
      </c>
      <c r="E1876" s="299">
        <v>48</v>
      </c>
      <c r="F1876" s="430" t="s">
        <v>3500</v>
      </c>
      <c r="G1876" s="300" t="str">
        <f t="shared" si="62"/>
        <v>MoetSaarland</v>
      </c>
    </row>
    <row r="1877" spans="1:7" ht="12" customHeight="1">
      <c r="A1877" s="298">
        <v>36447</v>
      </c>
      <c r="B1877" s="299" t="s">
        <v>3511</v>
      </c>
      <c r="C1877" s="299">
        <v>60</v>
      </c>
      <c r="D1877" s="299">
        <f t="shared" si="61"/>
        <v>10</v>
      </c>
      <c r="E1877" s="299">
        <v>53</v>
      </c>
      <c r="F1877" s="430" t="s">
        <v>3500</v>
      </c>
      <c r="G1877" s="300" t="str">
        <f t="shared" si="62"/>
        <v>MoetSaarland</v>
      </c>
    </row>
    <row r="1878" spans="1:7" ht="12" customHeight="1">
      <c r="A1878" s="298">
        <v>36449</v>
      </c>
      <c r="B1878" s="299" t="s">
        <v>3511</v>
      </c>
      <c r="C1878" s="299">
        <v>20</v>
      </c>
      <c r="D1878" s="299">
        <f t="shared" si="61"/>
        <v>10</v>
      </c>
      <c r="E1878" s="299">
        <v>53</v>
      </c>
      <c r="F1878" s="430" t="s">
        <v>3500</v>
      </c>
      <c r="G1878" s="300" t="str">
        <f t="shared" si="62"/>
        <v>MoetSaarland</v>
      </c>
    </row>
    <row r="1879" spans="1:7" ht="12" customHeight="1">
      <c r="A1879" s="298">
        <v>36462</v>
      </c>
      <c r="B1879" s="299" t="s">
        <v>3511</v>
      </c>
      <c r="C1879" s="299">
        <v>40</v>
      </c>
      <c r="D1879" s="299">
        <f t="shared" si="61"/>
        <v>10</v>
      </c>
      <c r="E1879" s="299">
        <v>49</v>
      </c>
      <c r="F1879" s="430" t="s">
        <v>3500</v>
      </c>
      <c r="G1879" s="300" t="str">
        <f t="shared" si="62"/>
        <v>MoetSaarland</v>
      </c>
    </row>
    <row r="1880" spans="1:7" ht="12" customHeight="1">
      <c r="A1880" s="298">
        <v>36477</v>
      </c>
      <c r="B1880" s="299" t="s">
        <v>3511</v>
      </c>
      <c r="C1880" s="299">
        <v>90</v>
      </c>
      <c r="D1880" s="299">
        <f t="shared" si="61"/>
        <v>11</v>
      </c>
      <c r="E1880" s="299">
        <v>48</v>
      </c>
      <c r="F1880" s="430" t="s">
        <v>3500</v>
      </c>
      <c r="G1880" s="300" t="str">
        <f t="shared" si="62"/>
        <v>MoetSaarland</v>
      </c>
    </row>
    <row r="1881" spans="1:7" ht="12" customHeight="1">
      <c r="A1881" s="298">
        <v>36480</v>
      </c>
      <c r="B1881" s="299" t="s">
        <v>3511</v>
      </c>
      <c r="C1881" s="299">
        <v>120</v>
      </c>
      <c r="D1881" s="299">
        <f t="shared" si="61"/>
        <v>11</v>
      </c>
      <c r="E1881" s="299">
        <v>48</v>
      </c>
      <c r="F1881" s="430" t="s">
        <v>3500</v>
      </c>
      <c r="G1881" s="300" t="str">
        <f t="shared" si="62"/>
        <v>MoetSaarland</v>
      </c>
    </row>
    <row r="1882" spans="1:7" ht="12" customHeight="1">
      <c r="A1882" s="298">
        <v>36487</v>
      </c>
      <c r="B1882" s="299" t="s">
        <v>3511</v>
      </c>
      <c r="C1882" s="299">
        <v>80</v>
      </c>
      <c r="D1882" s="299">
        <f t="shared" si="61"/>
        <v>11</v>
      </c>
      <c r="E1882" s="299">
        <v>51</v>
      </c>
      <c r="F1882" s="430" t="s">
        <v>3500</v>
      </c>
      <c r="G1882" s="300" t="str">
        <f t="shared" si="62"/>
        <v>MoetSaarland</v>
      </c>
    </row>
    <row r="1883" spans="1:7" ht="12" customHeight="1">
      <c r="A1883" s="298">
        <v>36491</v>
      </c>
      <c r="B1883" s="299" t="s">
        <v>3511</v>
      </c>
      <c r="C1883" s="299">
        <v>60</v>
      </c>
      <c r="D1883" s="299">
        <f t="shared" si="61"/>
        <v>11</v>
      </c>
      <c r="E1883" s="299">
        <v>53</v>
      </c>
      <c r="F1883" s="430" t="s">
        <v>3500</v>
      </c>
      <c r="G1883" s="300" t="str">
        <f t="shared" si="62"/>
        <v>MoetSaarland</v>
      </c>
    </row>
    <row r="1884" spans="1:7" ht="12" customHeight="1">
      <c r="A1884" s="298">
        <v>36499</v>
      </c>
      <c r="B1884" s="299" t="s">
        <v>3511</v>
      </c>
      <c r="C1884" s="299">
        <v>60</v>
      </c>
      <c r="D1884" s="299">
        <f t="shared" si="61"/>
        <v>12</v>
      </c>
      <c r="E1884" s="299">
        <v>54</v>
      </c>
      <c r="F1884" s="430" t="s">
        <v>3500</v>
      </c>
      <c r="G1884" s="300" t="str">
        <f t="shared" si="62"/>
        <v>MoetSaarland</v>
      </c>
    </row>
    <row r="1885" spans="1:7" ht="12" customHeight="1">
      <c r="A1885" s="298">
        <v>36504</v>
      </c>
      <c r="B1885" s="299" t="s">
        <v>3511</v>
      </c>
      <c r="C1885" s="299">
        <v>100</v>
      </c>
      <c r="D1885" s="299">
        <f t="shared" si="61"/>
        <v>12</v>
      </c>
      <c r="E1885" s="299">
        <v>53</v>
      </c>
      <c r="F1885" s="430" t="s">
        <v>3500</v>
      </c>
      <c r="G1885" s="300" t="str">
        <f t="shared" si="62"/>
        <v>MoetSaarland</v>
      </c>
    </row>
    <row r="1886" spans="1:7" ht="12" customHeight="1">
      <c r="A1886" s="298">
        <v>36508</v>
      </c>
      <c r="B1886" s="299" t="s">
        <v>3511</v>
      </c>
      <c r="C1886" s="299">
        <v>80</v>
      </c>
      <c r="D1886" s="299">
        <f t="shared" si="61"/>
        <v>12</v>
      </c>
      <c r="E1886" s="299">
        <v>54</v>
      </c>
      <c r="F1886" s="430" t="s">
        <v>3500</v>
      </c>
      <c r="G1886" s="300" t="str">
        <f t="shared" si="62"/>
        <v>MoetSaarland</v>
      </c>
    </row>
    <row r="1887" spans="1:7" ht="12" customHeight="1">
      <c r="A1887" s="298">
        <v>36510</v>
      </c>
      <c r="B1887" s="299" t="s">
        <v>3511</v>
      </c>
      <c r="C1887" s="299">
        <v>20</v>
      </c>
      <c r="D1887" s="299">
        <f t="shared" si="61"/>
        <v>12</v>
      </c>
      <c r="E1887" s="299">
        <v>54</v>
      </c>
      <c r="F1887" s="430" t="s">
        <v>3500</v>
      </c>
      <c r="G1887" s="300" t="str">
        <f t="shared" si="62"/>
        <v>MoetSaarland</v>
      </c>
    </row>
    <row r="1888" spans="1:7" ht="12" customHeight="1">
      <c r="A1888" s="298">
        <v>36511</v>
      </c>
      <c r="B1888" s="299" t="s">
        <v>3511</v>
      </c>
      <c r="C1888" s="299">
        <v>80</v>
      </c>
      <c r="D1888" s="299">
        <f t="shared" si="61"/>
        <v>12</v>
      </c>
      <c r="E1888" s="299">
        <v>54</v>
      </c>
      <c r="F1888" s="430" t="s">
        <v>3500</v>
      </c>
      <c r="G1888" s="300" t="str">
        <f t="shared" si="62"/>
        <v>MoetSaarland</v>
      </c>
    </row>
    <row r="1889" spans="1:7" ht="12" customHeight="1">
      <c r="A1889" s="298">
        <v>36511</v>
      </c>
      <c r="B1889" s="299" t="s">
        <v>3511</v>
      </c>
      <c r="C1889" s="299">
        <v>30</v>
      </c>
      <c r="D1889" s="299">
        <f t="shared" si="61"/>
        <v>12</v>
      </c>
      <c r="E1889" s="299">
        <v>53</v>
      </c>
      <c r="F1889" s="430" t="s">
        <v>3500</v>
      </c>
      <c r="G1889" s="300" t="str">
        <f t="shared" si="62"/>
        <v>MoetSaarland</v>
      </c>
    </row>
    <row r="1890" spans="1:7" ht="12" customHeight="1">
      <c r="A1890" s="298">
        <v>36172</v>
      </c>
      <c r="B1890" s="299" t="s">
        <v>3512</v>
      </c>
      <c r="C1890" s="299">
        <v>70</v>
      </c>
      <c r="D1890" s="299">
        <f t="shared" si="61"/>
        <v>1</v>
      </c>
      <c r="E1890" s="299">
        <v>48</v>
      </c>
      <c r="F1890" s="430" t="s">
        <v>3504</v>
      </c>
      <c r="G1890" s="300" t="str">
        <f t="shared" si="62"/>
        <v>MummBayern</v>
      </c>
    </row>
    <row r="1891" spans="1:7" ht="12" customHeight="1">
      <c r="A1891" s="298">
        <v>36175</v>
      </c>
      <c r="B1891" s="299" t="s">
        <v>3512</v>
      </c>
      <c r="C1891" s="299">
        <v>40</v>
      </c>
      <c r="D1891" s="299">
        <f t="shared" si="61"/>
        <v>1</v>
      </c>
      <c r="E1891" s="299">
        <v>48</v>
      </c>
      <c r="F1891" s="430" t="s">
        <v>3504</v>
      </c>
      <c r="G1891" s="300" t="str">
        <f t="shared" si="62"/>
        <v>MummBayern</v>
      </c>
    </row>
    <row r="1892" spans="1:7" ht="12" customHeight="1">
      <c r="A1892" s="298">
        <v>36245</v>
      </c>
      <c r="B1892" s="299" t="s">
        <v>3512</v>
      </c>
      <c r="C1892" s="299">
        <v>10</v>
      </c>
      <c r="D1892" s="299">
        <f t="shared" si="61"/>
        <v>3</v>
      </c>
      <c r="E1892" s="299">
        <v>54</v>
      </c>
      <c r="F1892" s="430" t="s">
        <v>3504</v>
      </c>
      <c r="G1892" s="300" t="str">
        <f t="shared" si="62"/>
        <v>MummBayern</v>
      </c>
    </row>
    <row r="1893" spans="1:7" ht="12" customHeight="1">
      <c r="A1893" s="298">
        <v>36254</v>
      </c>
      <c r="B1893" s="299" t="s">
        <v>3512</v>
      </c>
      <c r="C1893" s="299">
        <v>100</v>
      </c>
      <c r="D1893" s="299">
        <f t="shared" si="61"/>
        <v>4</v>
      </c>
      <c r="E1893" s="299">
        <v>48</v>
      </c>
      <c r="F1893" s="430" t="s">
        <v>3504</v>
      </c>
      <c r="G1893" s="300" t="str">
        <f t="shared" si="62"/>
        <v>MummBayern</v>
      </c>
    </row>
    <row r="1894" spans="1:7" ht="12" customHeight="1">
      <c r="A1894" s="298">
        <v>36268</v>
      </c>
      <c r="B1894" s="299" t="s">
        <v>3512</v>
      </c>
      <c r="C1894" s="299">
        <v>20</v>
      </c>
      <c r="D1894" s="299">
        <f t="shared" si="61"/>
        <v>4</v>
      </c>
      <c r="E1894" s="299">
        <v>49</v>
      </c>
      <c r="F1894" s="430" t="s">
        <v>3504</v>
      </c>
      <c r="G1894" s="300" t="str">
        <f t="shared" si="62"/>
        <v>MummBayern</v>
      </c>
    </row>
    <row r="1895" spans="1:7" ht="12" customHeight="1">
      <c r="A1895" s="298">
        <v>36270</v>
      </c>
      <c r="B1895" s="299" t="s">
        <v>3512</v>
      </c>
      <c r="C1895" s="299">
        <v>40</v>
      </c>
      <c r="D1895" s="299">
        <f t="shared" si="61"/>
        <v>4</v>
      </c>
      <c r="E1895" s="299">
        <v>48</v>
      </c>
      <c r="F1895" s="430" t="s">
        <v>3504</v>
      </c>
      <c r="G1895" s="300" t="str">
        <f t="shared" si="62"/>
        <v>MummBayern</v>
      </c>
    </row>
    <row r="1896" spans="1:7" ht="12" customHeight="1">
      <c r="A1896" s="298">
        <v>36303</v>
      </c>
      <c r="B1896" s="299" t="s">
        <v>3512</v>
      </c>
      <c r="C1896" s="299">
        <v>40</v>
      </c>
      <c r="D1896" s="299">
        <f t="shared" si="61"/>
        <v>5</v>
      </c>
      <c r="E1896" s="299">
        <v>54</v>
      </c>
      <c r="F1896" s="430" t="s">
        <v>3504</v>
      </c>
      <c r="G1896" s="300" t="str">
        <f t="shared" si="62"/>
        <v>MummBayern</v>
      </c>
    </row>
    <row r="1897" spans="1:7" ht="12" customHeight="1">
      <c r="A1897" s="298">
        <v>36353</v>
      </c>
      <c r="B1897" s="299" t="s">
        <v>3512</v>
      </c>
      <c r="C1897" s="299">
        <v>10</v>
      </c>
      <c r="D1897" s="299">
        <f t="shared" si="61"/>
        <v>7</v>
      </c>
      <c r="E1897" s="299">
        <v>53</v>
      </c>
      <c r="F1897" s="430" t="s">
        <v>3504</v>
      </c>
      <c r="G1897" s="300" t="str">
        <f t="shared" si="62"/>
        <v>MummBayern</v>
      </c>
    </row>
    <row r="1898" spans="1:7" ht="12" customHeight="1">
      <c r="A1898" s="298">
        <v>36363</v>
      </c>
      <c r="B1898" s="299" t="s">
        <v>3512</v>
      </c>
      <c r="C1898" s="299">
        <v>20</v>
      </c>
      <c r="D1898" s="299">
        <f t="shared" si="61"/>
        <v>7</v>
      </c>
      <c r="E1898" s="299">
        <v>53</v>
      </c>
      <c r="F1898" s="430" t="s">
        <v>3504</v>
      </c>
      <c r="G1898" s="300" t="str">
        <f t="shared" si="62"/>
        <v>MummBayern</v>
      </c>
    </row>
    <row r="1899" spans="1:7" ht="12" customHeight="1">
      <c r="A1899" s="298">
        <v>36380</v>
      </c>
      <c r="B1899" s="299" t="s">
        <v>3512</v>
      </c>
      <c r="C1899" s="299">
        <v>10</v>
      </c>
      <c r="D1899" s="299">
        <f t="shared" si="61"/>
        <v>8</v>
      </c>
      <c r="E1899" s="299">
        <v>48</v>
      </c>
      <c r="F1899" s="430" t="s">
        <v>3504</v>
      </c>
      <c r="G1899" s="300" t="str">
        <f t="shared" si="62"/>
        <v>MummBayern</v>
      </c>
    </row>
    <row r="1900" spans="1:7" ht="12" customHeight="1">
      <c r="A1900" s="298">
        <v>36401</v>
      </c>
      <c r="B1900" s="299" t="s">
        <v>3512</v>
      </c>
      <c r="C1900" s="299">
        <v>40</v>
      </c>
      <c r="D1900" s="299">
        <f t="shared" si="61"/>
        <v>8</v>
      </c>
      <c r="E1900" s="299">
        <v>54</v>
      </c>
      <c r="F1900" s="430" t="s">
        <v>3504</v>
      </c>
      <c r="G1900" s="300" t="str">
        <f t="shared" si="62"/>
        <v>MummBayern</v>
      </c>
    </row>
    <row r="1901" spans="1:7" ht="12" customHeight="1">
      <c r="A1901" s="298">
        <v>36418</v>
      </c>
      <c r="B1901" s="299" t="s">
        <v>3512</v>
      </c>
      <c r="C1901" s="299">
        <v>60</v>
      </c>
      <c r="D1901" s="299">
        <f t="shared" si="61"/>
        <v>9</v>
      </c>
      <c r="E1901" s="299">
        <v>49</v>
      </c>
      <c r="F1901" s="430" t="s">
        <v>3504</v>
      </c>
      <c r="G1901" s="300" t="str">
        <f t="shared" si="62"/>
        <v>MummBayern</v>
      </c>
    </row>
    <row r="1902" spans="1:7" ht="12" customHeight="1">
      <c r="A1902" s="298">
        <v>36424</v>
      </c>
      <c r="B1902" s="299" t="s">
        <v>3512</v>
      </c>
      <c r="C1902" s="299">
        <v>80</v>
      </c>
      <c r="D1902" s="299">
        <f t="shared" si="61"/>
        <v>9</v>
      </c>
      <c r="E1902" s="299">
        <v>54</v>
      </c>
      <c r="F1902" s="430" t="s">
        <v>3504</v>
      </c>
      <c r="G1902" s="300" t="str">
        <f t="shared" si="62"/>
        <v>MummBayern</v>
      </c>
    </row>
    <row r="1903" spans="1:7" ht="12" customHeight="1">
      <c r="A1903" s="298">
        <v>36436</v>
      </c>
      <c r="B1903" s="299" t="s">
        <v>3512</v>
      </c>
      <c r="C1903" s="299">
        <v>120</v>
      </c>
      <c r="D1903" s="299">
        <f t="shared" si="61"/>
        <v>10</v>
      </c>
      <c r="E1903" s="299">
        <v>53</v>
      </c>
      <c r="F1903" s="430" t="s">
        <v>3504</v>
      </c>
      <c r="G1903" s="300" t="str">
        <f t="shared" si="62"/>
        <v>MummBayern</v>
      </c>
    </row>
    <row r="1904" spans="1:7" ht="12" customHeight="1">
      <c r="A1904" s="298">
        <v>36442</v>
      </c>
      <c r="B1904" s="299" t="s">
        <v>3512</v>
      </c>
      <c r="C1904" s="299">
        <v>30</v>
      </c>
      <c r="D1904" s="299">
        <f t="shared" si="61"/>
        <v>10</v>
      </c>
      <c r="E1904" s="299">
        <v>50</v>
      </c>
      <c r="F1904" s="430" t="s">
        <v>3504</v>
      </c>
      <c r="G1904" s="300" t="str">
        <f t="shared" si="62"/>
        <v>MummBayern</v>
      </c>
    </row>
    <row r="1905" spans="1:7" ht="12" customHeight="1">
      <c r="A1905" s="298">
        <v>36467</v>
      </c>
      <c r="B1905" s="299" t="s">
        <v>3512</v>
      </c>
      <c r="C1905" s="299">
        <v>70</v>
      </c>
      <c r="D1905" s="299">
        <f t="shared" si="61"/>
        <v>11</v>
      </c>
      <c r="E1905" s="299">
        <v>50</v>
      </c>
      <c r="F1905" s="430" t="s">
        <v>3504</v>
      </c>
      <c r="G1905" s="300" t="str">
        <f t="shared" si="62"/>
        <v>MummBayern</v>
      </c>
    </row>
    <row r="1906" spans="1:7" ht="12" customHeight="1">
      <c r="A1906" s="298">
        <v>36467</v>
      </c>
      <c r="B1906" s="299" t="s">
        <v>3512</v>
      </c>
      <c r="C1906" s="299">
        <v>160</v>
      </c>
      <c r="D1906" s="299">
        <f t="shared" si="61"/>
        <v>11</v>
      </c>
      <c r="E1906" s="299">
        <v>49</v>
      </c>
      <c r="F1906" s="430" t="s">
        <v>3504</v>
      </c>
      <c r="G1906" s="300" t="str">
        <f t="shared" si="62"/>
        <v>MummBayern</v>
      </c>
    </row>
    <row r="1907" spans="1:7" ht="12" customHeight="1">
      <c r="A1907" s="298">
        <v>36468</v>
      </c>
      <c r="B1907" s="299" t="s">
        <v>3512</v>
      </c>
      <c r="C1907" s="299">
        <v>80</v>
      </c>
      <c r="D1907" s="299">
        <f t="shared" si="61"/>
        <v>11</v>
      </c>
      <c r="E1907" s="299">
        <v>50</v>
      </c>
      <c r="F1907" s="430" t="s">
        <v>3504</v>
      </c>
      <c r="G1907" s="300" t="str">
        <f t="shared" si="62"/>
        <v>MummBayern</v>
      </c>
    </row>
    <row r="1908" spans="1:7" ht="12" customHeight="1">
      <c r="A1908" s="298">
        <v>36468</v>
      </c>
      <c r="B1908" s="299" t="s">
        <v>3512</v>
      </c>
      <c r="C1908" s="299">
        <v>80</v>
      </c>
      <c r="D1908" s="299">
        <f t="shared" si="61"/>
        <v>11</v>
      </c>
      <c r="E1908" s="299">
        <v>49</v>
      </c>
      <c r="F1908" s="430" t="s">
        <v>3504</v>
      </c>
      <c r="G1908" s="300" t="str">
        <f t="shared" si="62"/>
        <v>MummBayern</v>
      </c>
    </row>
    <row r="1909" spans="1:7" ht="12" customHeight="1">
      <c r="A1909" s="298">
        <v>36509</v>
      </c>
      <c r="B1909" s="299" t="s">
        <v>3512</v>
      </c>
      <c r="C1909" s="299">
        <v>60</v>
      </c>
      <c r="D1909" s="299">
        <f t="shared" si="61"/>
        <v>12</v>
      </c>
      <c r="E1909" s="299">
        <v>53</v>
      </c>
      <c r="F1909" s="430" t="s">
        <v>3504</v>
      </c>
      <c r="G1909" s="300" t="str">
        <f t="shared" si="62"/>
        <v>MummBayern</v>
      </c>
    </row>
    <row r="1910" spans="1:7" ht="12" customHeight="1">
      <c r="A1910" s="298">
        <v>36262</v>
      </c>
      <c r="B1910" s="299" t="s">
        <v>3512</v>
      </c>
      <c r="C1910" s="299">
        <v>10</v>
      </c>
      <c r="D1910" s="299">
        <f t="shared" si="61"/>
        <v>4</v>
      </c>
      <c r="E1910" s="299">
        <v>46</v>
      </c>
      <c r="F1910" s="430" t="s">
        <v>3501</v>
      </c>
      <c r="G1910" s="300" t="str">
        <f t="shared" si="62"/>
        <v>MummBW</v>
      </c>
    </row>
    <row r="1911" spans="1:7" ht="12" customHeight="1">
      <c r="A1911" s="298">
        <v>36304</v>
      </c>
      <c r="B1911" s="299" t="s">
        <v>3512</v>
      </c>
      <c r="C1911" s="299">
        <v>50</v>
      </c>
      <c r="D1911" s="299">
        <f t="shared" si="61"/>
        <v>5</v>
      </c>
      <c r="E1911" s="299">
        <v>49</v>
      </c>
      <c r="F1911" s="430" t="s">
        <v>3501</v>
      </c>
      <c r="G1911" s="300" t="str">
        <f t="shared" si="62"/>
        <v>MummBW</v>
      </c>
    </row>
    <row r="1912" spans="1:7" ht="12" customHeight="1">
      <c r="A1912" s="298">
        <v>36352</v>
      </c>
      <c r="B1912" s="299" t="s">
        <v>3512</v>
      </c>
      <c r="C1912" s="299">
        <v>10</v>
      </c>
      <c r="D1912" s="299">
        <f t="shared" si="61"/>
        <v>7</v>
      </c>
      <c r="E1912" s="299">
        <v>50</v>
      </c>
      <c r="F1912" s="430" t="s">
        <v>3501</v>
      </c>
      <c r="G1912" s="300" t="str">
        <f t="shared" si="62"/>
        <v>MummBW</v>
      </c>
    </row>
    <row r="1913" spans="1:7" ht="12" customHeight="1">
      <c r="A1913" s="298">
        <v>36401</v>
      </c>
      <c r="B1913" s="299" t="s">
        <v>3512</v>
      </c>
      <c r="C1913" s="299">
        <v>80</v>
      </c>
      <c r="D1913" s="299">
        <f t="shared" si="61"/>
        <v>8</v>
      </c>
      <c r="E1913" s="299">
        <v>50</v>
      </c>
      <c r="F1913" s="430" t="s">
        <v>3501</v>
      </c>
      <c r="G1913" s="300" t="str">
        <f t="shared" si="62"/>
        <v>MummBW</v>
      </c>
    </row>
    <row r="1914" spans="1:7" ht="12" customHeight="1">
      <c r="A1914" s="298">
        <v>36254</v>
      </c>
      <c r="B1914" s="299" t="s">
        <v>3512</v>
      </c>
      <c r="C1914" s="299">
        <v>50</v>
      </c>
      <c r="D1914" s="299">
        <f t="shared" si="61"/>
        <v>4</v>
      </c>
      <c r="E1914" s="299">
        <v>50</v>
      </c>
      <c r="F1914" s="430" t="s">
        <v>3502</v>
      </c>
      <c r="G1914" s="300" t="str">
        <f t="shared" si="62"/>
        <v>MummHessen</v>
      </c>
    </row>
    <row r="1915" spans="1:7" ht="12" customHeight="1">
      <c r="A1915" s="298">
        <v>36264</v>
      </c>
      <c r="B1915" s="299" t="s">
        <v>3512</v>
      </c>
      <c r="C1915" s="299">
        <v>60</v>
      </c>
      <c r="D1915" s="299">
        <f t="shared" si="61"/>
        <v>4</v>
      </c>
      <c r="E1915" s="299">
        <v>50</v>
      </c>
      <c r="F1915" s="430" t="s">
        <v>3502</v>
      </c>
      <c r="G1915" s="300" t="str">
        <f t="shared" si="62"/>
        <v>MummHessen</v>
      </c>
    </row>
    <row r="1916" spans="1:7" ht="12" customHeight="1">
      <c r="A1916" s="298">
        <v>36330</v>
      </c>
      <c r="B1916" s="299" t="s">
        <v>3512</v>
      </c>
      <c r="C1916" s="299">
        <v>80</v>
      </c>
      <c r="D1916" s="299">
        <f t="shared" si="61"/>
        <v>6</v>
      </c>
      <c r="E1916" s="299">
        <v>52</v>
      </c>
      <c r="F1916" s="430" t="s">
        <v>3502</v>
      </c>
      <c r="G1916" s="300" t="str">
        <f t="shared" si="62"/>
        <v>MummHessen</v>
      </c>
    </row>
    <row r="1917" spans="1:7" ht="12" customHeight="1">
      <c r="A1917" s="298">
        <v>36450</v>
      </c>
      <c r="B1917" s="299" t="s">
        <v>3512</v>
      </c>
      <c r="C1917" s="299">
        <v>70</v>
      </c>
      <c r="D1917" s="299">
        <f t="shared" si="61"/>
        <v>10</v>
      </c>
      <c r="E1917" s="299">
        <v>53</v>
      </c>
      <c r="F1917" s="430" t="s">
        <v>3503</v>
      </c>
      <c r="G1917" s="300" t="str">
        <f t="shared" si="62"/>
        <v>MummHolstein</v>
      </c>
    </row>
    <row r="1918" spans="1:7" ht="12" customHeight="1">
      <c r="A1918" s="298">
        <v>36165</v>
      </c>
      <c r="B1918" s="299" t="s">
        <v>3512</v>
      </c>
      <c r="C1918" s="299">
        <v>100</v>
      </c>
      <c r="D1918" s="299">
        <f t="shared" si="61"/>
        <v>1</v>
      </c>
      <c r="E1918" s="299">
        <v>53</v>
      </c>
      <c r="F1918" s="430" t="s">
        <v>3497</v>
      </c>
      <c r="G1918" s="300" t="str">
        <f t="shared" si="62"/>
        <v>MummNRW</v>
      </c>
    </row>
    <row r="1919" spans="1:7" ht="12" customHeight="1">
      <c r="A1919" s="298">
        <v>36168</v>
      </c>
      <c r="B1919" s="299" t="s">
        <v>3512</v>
      </c>
      <c r="C1919" s="299">
        <v>10</v>
      </c>
      <c r="D1919" s="299">
        <f t="shared" si="61"/>
        <v>1</v>
      </c>
      <c r="E1919" s="299">
        <v>48</v>
      </c>
      <c r="F1919" s="430" t="s">
        <v>3497</v>
      </c>
      <c r="G1919" s="300" t="str">
        <f t="shared" si="62"/>
        <v>MummNRW</v>
      </c>
    </row>
    <row r="1920" spans="1:7" ht="12" customHeight="1">
      <c r="A1920" s="298">
        <v>36171</v>
      </c>
      <c r="B1920" s="299" t="s">
        <v>3512</v>
      </c>
      <c r="C1920" s="299">
        <v>50</v>
      </c>
      <c r="D1920" s="299">
        <f t="shared" si="61"/>
        <v>1</v>
      </c>
      <c r="E1920" s="299">
        <v>53</v>
      </c>
      <c r="F1920" s="430" t="s">
        <v>3497</v>
      </c>
      <c r="G1920" s="300" t="str">
        <f t="shared" si="62"/>
        <v>MummNRW</v>
      </c>
    </row>
    <row r="1921" spans="1:7" ht="12" customHeight="1">
      <c r="A1921" s="298">
        <v>36174</v>
      </c>
      <c r="B1921" s="299" t="s">
        <v>3512</v>
      </c>
      <c r="C1921" s="299">
        <v>20</v>
      </c>
      <c r="D1921" s="299">
        <f t="shared" si="61"/>
        <v>1</v>
      </c>
      <c r="E1921" s="299">
        <v>50</v>
      </c>
      <c r="F1921" s="430" t="s">
        <v>3497</v>
      </c>
      <c r="G1921" s="300" t="str">
        <f t="shared" si="62"/>
        <v>MummNRW</v>
      </c>
    </row>
    <row r="1922" spans="1:7" ht="12" customHeight="1">
      <c r="A1922" s="298">
        <v>36182</v>
      </c>
      <c r="B1922" s="299" t="s">
        <v>3512</v>
      </c>
      <c r="C1922" s="299">
        <v>10</v>
      </c>
      <c r="D1922" s="299">
        <f t="shared" si="61"/>
        <v>1</v>
      </c>
      <c r="E1922" s="299">
        <v>50</v>
      </c>
      <c r="F1922" s="430" t="s">
        <v>3497</v>
      </c>
      <c r="G1922" s="300" t="str">
        <f t="shared" si="62"/>
        <v>MummNRW</v>
      </c>
    </row>
    <row r="1923" spans="1:7" ht="12" customHeight="1">
      <c r="A1923" s="298">
        <v>36182</v>
      </c>
      <c r="B1923" s="299" t="s">
        <v>3512</v>
      </c>
      <c r="C1923" s="299">
        <v>90</v>
      </c>
      <c r="D1923" s="299">
        <f t="shared" si="61"/>
        <v>1</v>
      </c>
      <c r="E1923" s="299">
        <v>53</v>
      </c>
      <c r="F1923" s="430" t="s">
        <v>3497</v>
      </c>
      <c r="G1923" s="300" t="str">
        <f t="shared" si="62"/>
        <v>MummNRW</v>
      </c>
    </row>
    <row r="1924" spans="1:7" ht="12" customHeight="1">
      <c r="A1924" s="298">
        <v>36182</v>
      </c>
      <c r="B1924" s="299" t="s">
        <v>3512</v>
      </c>
      <c r="C1924" s="299">
        <v>10</v>
      </c>
      <c r="D1924" s="299">
        <f t="shared" si="61"/>
        <v>1</v>
      </c>
      <c r="E1924" s="299">
        <v>53</v>
      </c>
      <c r="F1924" s="430" t="s">
        <v>3497</v>
      </c>
      <c r="G1924" s="300" t="str">
        <f t="shared" si="62"/>
        <v>MummNRW</v>
      </c>
    </row>
    <row r="1925" spans="1:7" ht="12" customHeight="1">
      <c r="A1925" s="298">
        <v>36194</v>
      </c>
      <c r="B1925" s="299" t="s">
        <v>3512</v>
      </c>
      <c r="C1925" s="299">
        <v>40</v>
      </c>
      <c r="D1925" s="299">
        <f t="shared" si="61"/>
        <v>2</v>
      </c>
      <c r="E1925" s="299">
        <v>51</v>
      </c>
      <c r="F1925" s="430" t="s">
        <v>3497</v>
      </c>
      <c r="G1925" s="300" t="str">
        <f t="shared" si="62"/>
        <v>MummNRW</v>
      </c>
    </row>
    <row r="1926" spans="1:7" ht="12" customHeight="1">
      <c r="A1926" s="298">
        <v>36196</v>
      </c>
      <c r="B1926" s="299" t="s">
        <v>3512</v>
      </c>
      <c r="C1926" s="299">
        <v>10</v>
      </c>
      <c r="D1926" s="299">
        <f t="shared" ref="D1926:D1989" si="63">MONTH(A1926)</f>
        <v>2</v>
      </c>
      <c r="E1926" s="299">
        <v>53</v>
      </c>
      <c r="F1926" s="430" t="s">
        <v>3497</v>
      </c>
      <c r="G1926" s="300" t="str">
        <f t="shared" ref="G1926:G1989" si="64">B1926&amp;F1926</f>
        <v>MummNRW</v>
      </c>
    </row>
    <row r="1927" spans="1:7" ht="12" customHeight="1">
      <c r="A1927" s="298">
        <v>36203</v>
      </c>
      <c r="B1927" s="299" t="s">
        <v>3512</v>
      </c>
      <c r="C1927" s="299">
        <v>70</v>
      </c>
      <c r="D1927" s="299">
        <f t="shared" si="63"/>
        <v>2</v>
      </c>
      <c r="E1927" s="299">
        <v>48</v>
      </c>
      <c r="F1927" s="430" t="s">
        <v>3497</v>
      </c>
      <c r="G1927" s="300" t="str">
        <f t="shared" si="64"/>
        <v>MummNRW</v>
      </c>
    </row>
    <row r="1928" spans="1:7" ht="12" customHeight="1">
      <c r="A1928" s="298">
        <v>36206</v>
      </c>
      <c r="B1928" s="299" t="s">
        <v>3512</v>
      </c>
      <c r="C1928" s="299">
        <v>40</v>
      </c>
      <c r="D1928" s="299">
        <f t="shared" si="63"/>
        <v>2</v>
      </c>
      <c r="E1928" s="299">
        <v>49</v>
      </c>
      <c r="F1928" s="430" t="s">
        <v>3497</v>
      </c>
      <c r="G1928" s="300" t="str">
        <f t="shared" si="64"/>
        <v>MummNRW</v>
      </c>
    </row>
    <row r="1929" spans="1:7" ht="12" customHeight="1">
      <c r="A1929" s="298">
        <v>36209</v>
      </c>
      <c r="B1929" s="299" t="s">
        <v>3512</v>
      </c>
      <c r="C1929" s="299">
        <v>10</v>
      </c>
      <c r="D1929" s="299">
        <f t="shared" si="63"/>
        <v>2</v>
      </c>
      <c r="E1929" s="299">
        <v>53</v>
      </c>
      <c r="F1929" s="430" t="s">
        <v>3497</v>
      </c>
      <c r="G1929" s="300" t="str">
        <f t="shared" si="64"/>
        <v>MummNRW</v>
      </c>
    </row>
    <row r="1930" spans="1:7" ht="12" customHeight="1">
      <c r="A1930" s="298">
        <v>36211</v>
      </c>
      <c r="B1930" s="299" t="s">
        <v>3512</v>
      </c>
      <c r="C1930" s="299">
        <v>90</v>
      </c>
      <c r="D1930" s="299">
        <f t="shared" si="63"/>
        <v>2</v>
      </c>
      <c r="E1930" s="299">
        <v>50</v>
      </c>
      <c r="F1930" s="430" t="s">
        <v>3497</v>
      </c>
      <c r="G1930" s="300" t="str">
        <f t="shared" si="64"/>
        <v>MummNRW</v>
      </c>
    </row>
    <row r="1931" spans="1:7" ht="12" customHeight="1">
      <c r="A1931" s="298">
        <v>36213</v>
      </c>
      <c r="B1931" s="299" t="s">
        <v>3512</v>
      </c>
      <c r="C1931" s="299">
        <v>60</v>
      </c>
      <c r="D1931" s="299">
        <f t="shared" si="63"/>
        <v>2</v>
      </c>
      <c r="E1931" s="299">
        <v>46</v>
      </c>
      <c r="F1931" s="430" t="s">
        <v>3497</v>
      </c>
      <c r="G1931" s="300" t="str">
        <f t="shared" si="64"/>
        <v>MummNRW</v>
      </c>
    </row>
    <row r="1932" spans="1:7" ht="12" customHeight="1">
      <c r="A1932" s="298">
        <v>36216</v>
      </c>
      <c r="B1932" s="299" t="s">
        <v>3512</v>
      </c>
      <c r="C1932" s="299">
        <v>50</v>
      </c>
      <c r="D1932" s="299">
        <f t="shared" si="63"/>
        <v>2</v>
      </c>
      <c r="E1932" s="299">
        <v>47</v>
      </c>
      <c r="F1932" s="430" t="s">
        <v>3497</v>
      </c>
      <c r="G1932" s="300" t="str">
        <f t="shared" si="64"/>
        <v>MummNRW</v>
      </c>
    </row>
    <row r="1933" spans="1:7" ht="12" customHeight="1">
      <c r="A1933" s="298">
        <v>36218</v>
      </c>
      <c r="B1933" s="299" t="s">
        <v>3512</v>
      </c>
      <c r="C1933" s="299">
        <v>40</v>
      </c>
      <c r="D1933" s="299">
        <f t="shared" si="63"/>
        <v>2</v>
      </c>
      <c r="E1933" s="299">
        <v>51</v>
      </c>
      <c r="F1933" s="430" t="s">
        <v>3497</v>
      </c>
      <c r="G1933" s="300" t="str">
        <f t="shared" si="64"/>
        <v>MummNRW</v>
      </c>
    </row>
    <row r="1934" spans="1:7" ht="12" customHeight="1">
      <c r="A1934" s="298">
        <v>36231</v>
      </c>
      <c r="B1934" s="299" t="s">
        <v>3512</v>
      </c>
      <c r="C1934" s="299">
        <v>40</v>
      </c>
      <c r="D1934" s="299">
        <f t="shared" si="63"/>
        <v>3</v>
      </c>
      <c r="E1934" s="299">
        <v>49</v>
      </c>
      <c r="F1934" s="430" t="s">
        <v>3497</v>
      </c>
      <c r="G1934" s="300" t="str">
        <f t="shared" si="64"/>
        <v>MummNRW</v>
      </c>
    </row>
    <row r="1935" spans="1:7" ht="12" customHeight="1">
      <c r="A1935" s="298">
        <v>36231</v>
      </c>
      <c r="B1935" s="299" t="s">
        <v>3512</v>
      </c>
      <c r="C1935" s="299">
        <v>120</v>
      </c>
      <c r="D1935" s="299">
        <f t="shared" si="63"/>
        <v>3</v>
      </c>
      <c r="E1935" s="299">
        <v>45</v>
      </c>
      <c r="F1935" s="430" t="s">
        <v>3497</v>
      </c>
      <c r="G1935" s="300" t="str">
        <f t="shared" si="64"/>
        <v>MummNRW</v>
      </c>
    </row>
    <row r="1936" spans="1:7" ht="12" customHeight="1">
      <c r="A1936" s="298">
        <v>36265</v>
      </c>
      <c r="B1936" s="299" t="s">
        <v>3512</v>
      </c>
      <c r="C1936" s="299">
        <v>40</v>
      </c>
      <c r="D1936" s="299">
        <f t="shared" si="63"/>
        <v>4</v>
      </c>
      <c r="E1936" s="299">
        <v>50</v>
      </c>
      <c r="F1936" s="430" t="s">
        <v>3497</v>
      </c>
      <c r="G1936" s="300" t="str">
        <f t="shared" si="64"/>
        <v>MummNRW</v>
      </c>
    </row>
    <row r="1937" spans="1:7" ht="12" customHeight="1">
      <c r="A1937" s="298">
        <v>36272</v>
      </c>
      <c r="B1937" s="299" t="s">
        <v>3512</v>
      </c>
      <c r="C1937" s="299">
        <v>70</v>
      </c>
      <c r="D1937" s="299">
        <f t="shared" si="63"/>
        <v>4</v>
      </c>
      <c r="E1937" s="299">
        <v>51</v>
      </c>
      <c r="F1937" s="430" t="s">
        <v>3497</v>
      </c>
      <c r="G1937" s="300" t="str">
        <f t="shared" si="64"/>
        <v>MummNRW</v>
      </c>
    </row>
    <row r="1938" spans="1:7" ht="12" customHeight="1">
      <c r="A1938" s="298">
        <v>36281</v>
      </c>
      <c r="B1938" s="299" t="s">
        <v>3512</v>
      </c>
      <c r="C1938" s="299">
        <v>80</v>
      </c>
      <c r="D1938" s="299">
        <f t="shared" si="63"/>
        <v>5</v>
      </c>
      <c r="E1938" s="299">
        <v>46</v>
      </c>
      <c r="F1938" s="430" t="s">
        <v>3497</v>
      </c>
      <c r="G1938" s="300" t="str">
        <f t="shared" si="64"/>
        <v>MummNRW</v>
      </c>
    </row>
    <row r="1939" spans="1:7" ht="12" customHeight="1">
      <c r="A1939" s="298">
        <v>36281</v>
      </c>
      <c r="B1939" s="299" t="s">
        <v>3512</v>
      </c>
      <c r="C1939" s="299">
        <v>10</v>
      </c>
      <c r="D1939" s="299">
        <f t="shared" si="63"/>
        <v>5</v>
      </c>
      <c r="E1939" s="299">
        <v>48</v>
      </c>
      <c r="F1939" s="430" t="s">
        <v>3497</v>
      </c>
      <c r="G1939" s="300" t="str">
        <f t="shared" si="64"/>
        <v>MummNRW</v>
      </c>
    </row>
    <row r="1940" spans="1:7" ht="12" customHeight="1">
      <c r="A1940" s="298">
        <v>36282</v>
      </c>
      <c r="B1940" s="299" t="s">
        <v>3512</v>
      </c>
      <c r="C1940" s="299">
        <v>80</v>
      </c>
      <c r="D1940" s="299">
        <f t="shared" si="63"/>
        <v>5</v>
      </c>
      <c r="E1940" s="299">
        <v>45</v>
      </c>
      <c r="F1940" s="430" t="s">
        <v>3497</v>
      </c>
      <c r="G1940" s="300" t="str">
        <f t="shared" si="64"/>
        <v>MummNRW</v>
      </c>
    </row>
    <row r="1941" spans="1:7" ht="12" customHeight="1">
      <c r="A1941" s="298">
        <v>36284</v>
      </c>
      <c r="B1941" s="299" t="s">
        <v>3512</v>
      </c>
      <c r="C1941" s="299">
        <v>120</v>
      </c>
      <c r="D1941" s="299">
        <f t="shared" si="63"/>
        <v>5</v>
      </c>
      <c r="E1941" s="299">
        <v>46</v>
      </c>
      <c r="F1941" s="430" t="s">
        <v>3497</v>
      </c>
      <c r="G1941" s="300" t="str">
        <f t="shared" si="64"/>
        <v>MummNRW</v>
      </c>
    </row>
    <row r="1942" spans="1:7" ht="12" customHeight="1">
      <c r="A1942" s="298">
        <v>36290</v>
      </c>
      <c r="B1942" s="299" t="s">
        <v>3512</v>
      </c>
      <c r="C1942" s="299">
        <v>10</v>
      </c>
      <c r="D1942" s="299">
        <f t="shared" si="63"/>
        <v>5</v>
      </c>
      <c r="E1942" s="299">
        <v>49</v>
      </c>
      <c r="F1942" s="430" t="s">
        <v>3497</v>
      </c>
      <c r="G1942" s="300" t="str">
        <f t="shared" si="64"/>
        <v>MummNRW</v>
      </c>
    </row>
    <row r="1943" spans="1:7" ht="12" customHeight="1">
      <c r="A1943" s="298">
        <v>36290</v>
      </c>
      <c r="B1943" s="299" t="s">
        <v>3512</v>
      </c>
      <c r="C1943" s="299">
        <v>10</v>
      </c>
      <c r="D1943" s="299">
        <f t="shared" si="63"/>
        <v>5</v>
      </c>
      <c r="E1943" s="299">
        <v>50</v>
      </c>
      <c r="F1943" s="430" t="s">
        <v>3497</v>
      </c>
      <c r="G1943" s="300" t="str">
        <f t="shared" si="64"/>
        <v>MummNRW</v>
      </c>
    </row>
    <row r="1944" spans="1:7" ht="12" customHeight="1">
      <c r="A1944" s="298">
        <v>36295</v>
      </c>
      <c r="B1944" s="299" t="s">
        <v>3512</v>
      </c>
      <c r="C1944" s="299">
        <v>120</v>
      </c>
      <c r="D1944" s="299">
        <f t="shared" si="63"/>
        <v>5</v>
      </c>
      <c r="E1944" s="299">
        <v>46</v>
      </c>
      <c r="F1944" s="430" t="s">
        <v>3497</v>
      </c>
      <c r="G1944" s="300" t="str">
        <f t="shared" si="64"/>
        <v>MummNRW</v>
      </c>
    </row>
    <row r="1945" spans="1:7" ht="12" customHeight="1">
      <c r="A1945" s="298">
        <v>36297</v>
      </c>
      <c r="B1945" s="299" t="s">
        <v>3512</v>
      </c>
      <c r="C1945" s="299">
        <v>120</v>
      </c>
      <c r="D1945" s="299">
        <f t="shared" si="63"/>
        <v>5</v>
      </c>
      <c r="E1945" s="299">
        <v>46</v>
      </c>
      <c r="F1945" s="430" t="s">
        <v>3497</v>
      </c>
      <c r="G1945" s="300" t="str">
        <f t="shared" si="64"/>
        <v>MummNRW</v>
      </c>
    </row>
    <row r="1946" spans="1:7" ht="12" customHeight="1">
      <c r="A1946" s="298">
        <v>36298</v>
      </c>
      <c r="B1946" s="299" t="s">
        <v>3512</v>
      </c>
      <c r="C1946" s="299">
        <v>50</v>
      </c>
      <c r="D1946" s="299">
        <f t="shared" si="63"/>
        <v>5</v>
      </c>
      <c r="E1946" s="299">
        <v>45</v>
      </c>
      <c r="F1946" s="430" t="s">
        <v>3497</v>
      </c>
      <c r="G1946" s="300" t="str">
        <f t="shared" si="64"/>
        <v>MummNRW</v>
      </c>
    </row>
    <row r="1947" spans="1:7" ht="12" customHeight="1">
      <c r="A1947" s="298">
        <v>36302</v>
      </c>
      <c r="B1947" s="299" t="s">
        <v>3512</v>
      </c>
      <c r="C1947" s="299">
        <v>30</v>
      </c>
      <c r="D1947" s="299">
        <f t="shared" si="63"/>
        <v>5</v>
      </c>
      <c r="E1947" s="299">
        <v>50</v>
      </c>
      <c r="F1947" s="430" t="s">
        <v>3497</v>
      </c>
      <c r="G1947" s="300" t="str">
        <f t="shared" si="64"/>
        <v>MummNRW</v>
      </c>
    </row>
    <row r="1948" spans="1:7" ht="12" customHeight="1">
      <c r="A1948" s="298">
        <v>36302</v>
      </c>
      <c r="B1948" s="299" t="s">
        <v>3512</v>
      </c>
      <c r="C1948" s="299">
        <v>50</v>
      </c>
      <c r="D1948" s="299">
        <f t="shared" si="63"/>
        <v>5</v>
      </c>
      <c r="E1948" s="299">
        <v>46</v>
      </c>
      <c r="F1948" s="430" t="s">
        <v>3497</v>
      </c>
      <c r="G1948" s="300" t="str">
        <f t="shared" si="64"/>
        <v>MummNRW</v>
      </c>
    </row>
    <row r="1949" spans="1:7" ht="12" customHeight="1">
      <c r="A1949" s="298">
        <v>36306</v>
      </c>
      <c r="B1949" s="299" t="s">
        <v>3512</v>
      </c>
      <c r="C1949" s="299">
        <v>80</v>
      </c>
      <c r="D1949" s="299">
        <f t="shared" si="63"/>
        <v>5</v>
      </c>
      <c r="E1949" s="299">
        <v>49</v>
      </c>
      <c r="F1949" s="430" t="s">
        <v>3497</v>
      </c>
      <c r="G1949" s="300" t="str">
        <f t="shared" si="64"/>
        <v>MummNRW</v>
      </c>
    </row>
    <row r="1950" spans="1:7" ht="12" customHeight="1">
      <c r="A1950" s="298">
        <v>36306</v>
      </c>
      <c r="B1950" s="299" t="s">
        <v>3512</v>
      </c>
      <c r="C1950" s="299">
        <v>80</v>
      </c>
      <c r="D1950" s="299">
        <f t="shared" si="63"/>
        <v>5</v>
      </c>
      <c r="E1950" s="299">
        <v>48</v>
      </c>
      <c r="F1950" s="430" t="s">
        <v>3497</v>
      </c>
      <c r="G1950" s="300" t="str">
        <f t="shared" si="64"/>
        <v>MummNRW</v>
      </c>
    </row>
    <row r="1951" spans="1:7" ht="12" customHeight="1">
      <c r="A1951" s="298">
        <v>36309</v>
      </c>
      <c r="B1951" s="299" t="s">
        <v>3512</v>
      </c>
      <c r="C1951" s="299">
        <v>70</v>
      </c>
      <c r="D1951" s="299">
        <f t="shared" si="63"/>
        <v>5</v>
      </c>
      <c r="E1951" s="299">
        <v>46</v>
      </c>
      <c r="F1951" s="430" t="s">
        <v>3497</v>
      </c>
      <c r="G1951" s="300" t="str">
        <f t="shared" si="64"/>
        <v>MummNRW</v>
      </c>
    </row>
    <row r="1952" spans="1:7" ht="12" customHeight="1">
      <c r="A1952" s="298">
        <v>36312</v>
      </c>
      <c r="B1952" s="299" t="s">
        <v>3512</v>
      </c>
      <c r="C1952" s="299">
        <v>70</v>
      </c>
      <c r="D1952" s="299">
        <f t="shared" si="63"/>
        <v>6</v>
      </c>
      <c r="E1952" s="299">
        <v>49</v>
      </c>
      <c r="F1952" s="430" t="s">
        <v>3497</v>
      </c>
      <c r="G1952" s="300" t="str">
        <f t="shared" si="64"/>
        <v>MummNRW</v>
      </c>
    </row>
    <row r="1953" spans="1:7" ht="12" customHeight="1">
      <c r="A1953" s="298">
        <v>36316</v>
      </c>
      <c r="B1953" s="299" t="s">
        <v>3512</v>
      </c>
      <c r="C1953" s="299">
        <v>120</v>
      </c>
      <c r="D1953" s="299">
        <f t="shared" si="63"/>
        <v>6</v>
      </c>
      <c r="E1953" s="299">
        <v>48</v>
      </c>
      <c r="F1953" s="430" t="s">
        <v>3497</v>
      </c>
      <c r="G1953" s="300" t="str">
        <f t="shared" si="64"/>
        <v>MummNRW</v>
      </c>
    </row>
    <row r="1954" spans="1:7" ht="12" customHeight="1">
      <c r="A1954" s="298">
        <v>36325</v>
      </c>
      <c r="B1954" s="299" t="s">
        <v>3512</v>
      </c>
      <c r="C1954" s="299">
        <v>20</v>
      </c>
      <c r="D1954" s="299">
        <f t="shared" si="63"/>
        <v>6</v>
      </c>
      <c r="E1954" s="299">
        <v>49</v>
      </c>
      <c r="F1954" s="430" t="s">
        <v>3497</v>
      </c>
      <c r="G1954" s="300" t="str">
        <f t="shared" si="64"/>
        <v>MummNRW</v>
      </c>
    </row>
    <row r="1955" spans="1:7" ht="12" customHeight="1">
      <c r="A1955" s="298">
        <v>36331</v>
      </c>
      <c r="B1955" s="299" t="s">
        <v>3512</v>
      </c>
      <c r="C1955" s="299">
        <v>60</v>
      </c>
      <c r="D1955" s="299">
        <f t="shared" si="63"/>
        <v>6</v>
      </c>
      <c r="E1955" s="299">
        <v>47</v>
      </c>
      <c r="F1955" s="430" t="s">
        <v>3497</v>
      </c>
      <c r="G1955" s="300" t="str">
        <f t="shared" si="64"/>
        <v>MummNRW</v>
      </c>
    </row>
    <row r="1956" spans="1:7" ht="12" customHeight="1">
      <c r="A1956" s="298">
        <v>36336</v>
      </c>
      <c r="B1956" s="299" t="s">
        <v>3512</v>
      </c>
      <c r="C1956" s="299">
        <v>70</v>
      </c>
      <c r="D1956" s="299">
        <f t="shared" si="63"/>
        <v>6</v>
      </c>
      <c r="E1956" s="299">
        <v>49</v>
      </c>
      <c r="F1956" s="430" t="s">
        <v>3497</v>
      </c>
      <c r="G1956" s="300" t="str">
        <f t="shared" si="64"/>
        <v>MummNRW</v>
      </c>
    </row>
    <row r="1957" spans="1:7" ht="12" customHeight="1">
      <c r="A1957" s="298">
        <v>36337</v>
      </c>
      <c r="B1957" s="299" t="s">
        <v>3512</v>
      </c>
      <c r="C1957" s="299">
        <v>30</v>
      </c>
      <c r="D1957" s="299">
        <f t="shared" si="63"/>
        <v>6</v>
      </c>
      <c r="E1957" s="299">
        <v>46</v>
      </c>
      <c r="F1957" s="430" t="s">
        <v>3497</v>
      </c>
      <c r="G1957" s="300" t="str">
        <f t="shared" si="64"/>
        <v>MummNRW</v>
      </c>
    </row>
    <row r="1958" spans="1:7" ht="12" customHeight="1">
      <c r="A1958" s="298">
        <v>36353</v>
      </c>
      <c r="B1958" s="299" t="s">
        <v>3512</v>
      </c>
      <c r="C1958" s="299">
        <v>50</v>
      </c>
      <c r="D1958" s="299">
        <f t="shared" si="63"/>
        <v>7</v>
      </c>
      <c r="E1958" s="299">
        <v>54</v>
      </c>
      <c r="F1958" s="430" t="s">
        <v>3497</v>
      </c>
      <c r="G1958" s="300" t="str">
        <f t="shared" si="64"/>
        <v>MummNRW</v>
      </c>
    </row>
    <row r="1959" spans="1:7" ht="12" customHeight="1">
      <c r="A1959" s="298">
        <v>36361</v>
      </c>
      <c r="B1959" s="299" t="s">
        <v>3512</v>
      </c>
      <c r="C1959" s="299">
        <v>50</v>
      </c>
      <c r="D1959" s="299">
        <f t="shared" si="63"/>
        <v>7</v>
      </c>
      <c r="E1959" s="299">
        <v>53</v>
      </c>
      <c r="F1959" s="430" t="s">
        <v>3497</v>
      </c>
      <c r="G1959" s="300" t="str">
        <f t="shared" si="64"/>
        <v>MummNRW</v>
      </c>
    </row>
    <row r="1960" spans="1:7" ht="12" customHeight="1">
      <c r="A1960" s="298">
        <v>36378</v>
      </c>
      <c r="B1960" s="299" t="s">
        <v>3512</v>
      </c>
      <c r="C1960" s="299">
        <v>80</v>
      </c>
      <c r="D1960" s="299">
        <f t="shared" si="63"/>
        <v>8</v>
      </c>
      <c r="E1960" s="299">
        <v>49</v>
      </c>
      <c r="F1960" s="430" t="s">
        <v>3497</v>
      </c>
      <c r="G1960" s="300" t="str">
        <f t="shared" si="64"/>
        <v>MummNRW</v>
      </c>
    </row>
    <row r="1961" spans="1:7" ht="12" customHeight="1">
      <c r="A1961" s="298">
        <v>36380</v>
      </c>
      <c r="B1961" s="299" t="s">
        <v>3512</v>
      </c>
      <c r="C1961" s="299">
        <v>120</v>
      </c>
      <c r="D1961" s="299">
        <f t="shared" si="63"/>
        <v>8</v>
      </c>
      <c r="E1961" s="299">
        <v>49</v>
      </c>
      <c r="F1961" s="430" t="s">
        <v>3497</v>
      </c>
      <c r="G1961" s="300" t="str">
        <f t="shared" si="64"/>
        <v>MummNRW</v>
      </c>
    </row>
    <row r="1962" spans="1:7" ht="12" customHeight="1">
      <c r="A1962" s="298">
        <v>36382</v>
      </c>
      <c r="B1962" s="299" t="s">
        <v>3512</v>
      </c>
      <c r="C1962" s="299">
        <v>120</v>
      </c>
      <c r="D1962" s="299">
        <f t="shared" si="63"/>
        <v>8</v>
      </c>
      <c r="E1962" s="299">
        <v>51</v>
      </c>
      <c r="F1962" s="430" t="s">
        <v>3497</v>
      </c>
      <c r="G1962" s="300" t="str">
        <f t="shared" si="64"/>
        <v>MummNRW</v>
      </c>
    </row>
    <row r="1963" spans="1:7" ht="12" customHeight="1">
      <c r="A1963" s="298">
        <v>36383</v>
      </c>
      <c r="B1963" s="299" t="s">
        <v>3512</v>
      </c>
      <c r="C1963" s="299">
        <v>70</v>
      </c>
      <c r="D1963" s="299">
        <f t="shared" si="63"/>
        <v>8</v>
      </c>
      <c r="E1963" s="299">
        <v>51</v>
      </c>
      <c r="F1963" s="430" t="s">
        <v>3497</v>
      </c>
      <c r="G1963" s="300" t="str">
        <f t="shared" si="64"/>
        <v>MummNRW</v>
      </c>
    </row>
    <row r="1964" spans="1:7" ht="12" customHeight="1">
      <c r="A1964" s="298">
        <v>36389</v>
      </c>
      <c r="B1964" s="299" t="s">
        <v>3512</v>
      </c>
      <c r="C1964" s="299">
        <v>100</v>
      </c>
      <c r="D1964" s="299">
        <f t="shared" si="63"/>
        <v>8</v>
      </c>
      <c r="E1964" s="299">
        <v>53</v>
      </c>
      <c r="F1964" s="430" t="s">
        <v>3497</v>
      </c>
      <c r="G1964" s="300" t="str">
        <f t="shared" si="64"/>
        <v>MummNRW</v>
      </c>
    </row>
    <row r="1965" spans="1:7" ht="12" customHeight="1">
      <c r="A1965" s="298">
        <v>36390</v>
      </c>
      <c r="B1965" s="299" t="s">
        <v>3512</v>
      </c>
      <c r="C1965" s="299">
        <v>80</v>
      </c>
      <c r="D1965" s="299">
        <f t="shared" si="63"/>
        <v>8</v>
      </c>
      <c r="E1965" s="299">
        <v>49</v>
      </c>
      <c r="F1965" s="430" t="s">
        <v>3497</v>
      </c>
      <c r="G1965" s="300" t="str">
        <f t="shared" si="64"/>
        <v>MummNRW</v>
      </c>
    </row>
    <row r="1966" spans="1:7" ht="12" customHeight="1">
      <c r="A1966" s="298">
        <v>36399</v>
      </c>
      <c r="B1966" s="299" t="s">
        <v>3512</v>
      </c>
      <c r="C1966" s="299">
        <v>40</v>
      </c>
      <c r="D1966" s="299">
        <f t="shared" si="63"/>
        <v>8</v>
      </c>
      <c r="E1966" s="299">
        <v>50</v>
      </c>
      <c r="F1966" s="430" t="s">
        <v>3497</v>
      </c>
      <c r="G1966" s="300" t="str">
        <f t="shared" si="64"/>
        <v>MummNRW</v>
      </c>
    </row>
    <row r="1967" spans="1:7" ht="12" customHeight="1">
      <c r="A1967" s="298">
        <v>36428</v>
      </c>
      <c r="B1967" s="299" t="s">
        <v>3512</v>
      </c>
      <c r="C1967" s="299">
        <v>10</v>
      </c>
      <c r="D1967" s="299">
        <f t="shared" si="63"/>
        <v>9</v>
      </c>
      <c r="E1967" s="299">
        <v>45</v>
      </c>
      <c r="F1967" s="430" t="s">
        <v>3497</v>
      </c>
      <c r="G1967" s="300" t="str">
        <f t="shared" si="64"/>
        <v>MummNRW</v>
      </c>
    </row>
    <row r="1968" spans="1:7" ht="12" customHeight="1">
      <c r="A1968" s="298">
        <v>36430</v>
      </c>
      <c r="B1968" s="299" t="s">
        <v>3512</v>
      </c>
      <c r="C1968" s="299">
        <v>100</v>
      </c>
      <c r="D1968" s="299">
        <f t="shared" si="63"/>
        <v>9</v>
      </c>
      <c r="E1968" s="299">
        <v>49</v>
      </c>
      <c r="F1968" s="430" t="s">
        <v>3497</v>
      </c>
      <c r="G1968" s="300" t="str">
        <f t="shared" si="64"/>
        <v>MummNRW</v>
      </c>
    </row>
    <row r="1969" spans="1:7" ht="12" customHeight="1">
      <c r="A1969" s="298">
        <v>36434</v>
      </c>
      <c r="B1969" s="299" t="s">
        <v>3512</v>
      </c>
      <c r="C1969" s="299">
        <v>30</v>
      </c>
      <c r="D1969" s="299">
        <f t="shared" si="63"/>
        <v>10</v>
      </c>
      <c r="E1969" s="299">
        <v>53</v>
      </c>
      <c r="F1969" s="430" t="s">
        <v>3497</v>
      </c>
      <c r="G1969" s="300" t="str">
        <f t="shared" si="64"/>
        <v>MummNRW</v>
      </c>
    </row>
    <row r="1970" spans="1:7" ht="12" customHeight="1">
      <c r="A1970" s="298">
        <v>36435</v>
      </c>
      <c r="B1970" s="299" t="s">
        <v>3512</v>
      </c>
      <c r="C1970" s="299">
        <v>20</v>
      </c>
      <c r="D1970" s="299">
        <f t="shared" si="63"/>
        <v>10</v>
      </c>
      <c r="E1970" s="299">
        <v>50</v>
      </c>
      <c r="F1970" s="430" t="s">
        <v>3497</v>
      </c>
      <c r="G1970" s="300" t="str">
        <f t="shared" si="64"/>
        <v>MummNRW</v>
      </c>
    </row>
    <row r="1971" spans="1:7" ht="12" customHeight="1">
      <c r="A1971" s="298">
        <v>36437</v>
      </c>
      <c r="B1971" s="299" t="s">
        <v>3512</v>
      </c>
      <c r="C1971" s="299">
        <v>160</v>
      </c>
      <c r="D1971" s="299">
        <f t="shared" si="63"/>
        <v>10</v>
      </c>
      <c r="E1971" s="299">
        <v>45</v>
      </c>
      <c r="F1971" s="430" t="s">
        <v>3497</v>
      </c>
      <c r="G1971" s="300" t="str">
        <f t="shared" si="64"/>
        <v>MummNRW</v>
      </c>
    </row>
    <row r="1972" spans="1:7" ht="12" customHeight="1">
      <c r="A1972" s="298">
        <v>36440</v>
      </c>
      <c r="B1972" s="299" t="s">
        <v>3512</v>
      </c>
      <c r="C1972" s="299">
        <v>40</v>
      </c>
      <c r="D1972" s="299">
        <f t="shared" si="63"/>
        <v>10</v>
      </c>
      <c r="E1972" s="299">
        <v>48</v>
      </c>
      <c r="F1972" s="430" t="s">
        <v>3497</v>
      </c>
      <c r="G1972" s="300" t="str">
        <f t="shared" si="64"/>
        <v>MummNRW</v>
      </c>
    </row>
    <row r="1973" spans="1:7" ht="12" customHeight="1">
      <c r="A1973" s="298">
        <v>36441</v>
      </c>
      <c r="B1973" s="299" t="s">
        <v>3512</v>
      </c>
      <c r="C1973" s="299">
        <v>20</v>
      </c>
      <c r="D1973" s="299">
        <f t="shared" si="63"/>
        <v>10</v>
      </c>
      <c r="E1973" s="299">
        <v>45</v>
      </c>
      <c r="F1973" s="430" t="s">
        <v>3497</v>
      </c>
      <c r="G1973" s="300" t="str">
        <f t="shared" si="64"/>
        <v>MummNRW</v>
      </c>
    </row>
    <row r="1974" spans="1:7" ht="12" customHeight="1">
      <c r="A1974" s="298">
        <v>36447</v>
      </c>
      <c r="B1974" s="299" t="s">
        <v>3512</v>
      </c>
      <c r="C1974" s="299">
        <v>90</v>
      </c>
      <c r="D1974" s="299">
        <f t="shared" si="63"/>
        <v>10</v>
      </c>
      <c r="E1974" s="299">
        <v>53</v>
      </c>
      <c r="F1974" s="430" t="s">
        <v>3497</v>
      </c>
      <c r="G1974" s="300" t="str">
        <f t="shared" si="64"/>
        <v>MummNRW</v>
      </c>
    </row>
    <row r="1975" spans="1:7" ht="12" customHeight="1">
      <c r="A1975" s="298">
        <v>36454</v>
      </c>
      <c r="B1975" s="299" t="s">
        <v>3512</v>
      </c>
      <c r="C1975" s="299">
        <v>80</v>
      </c>
      <c r="D1975" s="299">
        <f t="shared" si="63"/>
        <v>10</v>
      </c>
      <c r="E1975" s="299">
        <v>53</v>
      </c>
      <c r="F1975" s="430" t="s">
        <v>3497</v>
      </c>
      <c r="G1975" s="300" t="str">
        <f t="shared" si="64"/>
        <v>MummNRW</v>
      </c>
    </row>
    <row r="1976" spans="1:7" ht="12" customHeight="1">
      <c r="A1976" s="298">
        <v>36462</v>
      </c>
      <c r="B1976" s="299" t="s">
        <v>3512</v>
      </c>
      <c r="C1976" s="299">
        <v>120</v>
      </c>
      <c r="D1976" s="299">
        <f t="shared" si="63"/>
        <v>10</v>
      </c>
      <c r="E1976" s="299">
        <v>50</v>
      </c>
      <c r="F1976" s="430" t="s">
        <v>3497</v>
      </c>
      <c r="G1976" s="300" t="str">
        <f t="shared" si="64"/>
        <v>MummNRW</v>
      </c>
    </row>
    <row r="1977" spans="1:7" ht="12" customHeight="1">
      <c r="A1977" s="298">
        <v>36486</v>
      </c>
      <c r="B1977" s="299" t="s">
        <v>3512</v>
      </c>
      <c r="C1977" s="299">
        <v>120</v>
      </c>
      <c r="D1977" s="299">
        <f t="shared" si="63"/>
        <v>11</v>
      </c>
      <c r="E1977" s="299">
        <v>49</v>
      </c>
      <c r="F1977" s="430" t="s">
        <v>3497</v>
      </c>
      <c r="G1977" s="300" t="str">
        <f t="shared" si="64"/>
        <v>MummNRW</v>
      </c>
    </row>
    <row r="1978" spans="1:7" ht="12" customHeight="1">
      <c r="A1978" s="298">
        <v>36488</v>
      </c>
      <c r="B1978" s="299" t="s">
        <v>3512</v>
      </c>
      <c r="C1978" s="299">
        <v>70</v>
      </c>
      <c r="D1978" s="299">
        <f t="shared" si="63"/>
        <v>11</v>
      </c>
      <c r="E1978" s="299">
        <v>50</v>
      </c>
      <c r="F1978" s="430" t="s">
        <v>3497</v>
      </c>
      <c r="G1978" s="300" t="str">
        <f t="shared" si="64"/>
        <v>MummNRW</v>
      </c>
    </row>
    <row r="1979" spans="1:7" ht="12" customHeight="1">
      <c r="A1979" s="298">
        <v>36491</v>
      </c>
      <c r="B1979" s="299" t="s">
        <v>3512</v>
      </c>
      <c r="C1979" s="299">
        <v>10</v>
      </c>
      <c r="D1979" s="299">
        <f t="shared" si="63"/>
        <v>11</v>
      </c>
      <c r="E1979" s="299">
        <v>47</v>
      </c>
      <c r="F1979" s="430" t="s">
        <v>3497</v>
      </c>
      <c r="G1979" s="300" t="str">
        <f t="shared" si="64"/>
        <v>MummNRW</v>
      </c>
    </row>
    <row r="1980" spans="1:7" ht="12" customHeight="1">
      <c r="A1980" s="298">
        <v>36493</v>
      </c>
      <c r="B1980" s="299" t="s">
        <v>3512</v>
      </c>
      <c r="C1980" s="299">
        <v>120</v>
      </c>
      <c r="D1980" s="299">
        <f t="shared" si="63"/>
        <v>11</v>
      </c>
      <c r="E1980" s="299">
        <v>50</v>
      </c>
      <c r="F1980" s="430" t="s">
        <v>3497</v>
      </c>
      <c r="G1980" s="300" t="str">
        <f t="shared" si="64"/>
        <v>MummNRW</v>
      </c>
    </row>
    <row r="1981" spans="1:7" ht="12" customHeight="1">
      <c r="A1981" s="298">
        <v>36511</v>
      </c>
      <c r="B1981" s="299" t="s">
        <v>3512</v>
      </c>
      <c r="C1981" s="299">
        <v>100</v>
      </c>
      <c r="D1981" s="299">
        <f t="shared" si="63"/>
        <v>12</v>
      </c>
      <c r="E1981" s="299">
        <v>50</v>
      </c>
      <c r="F1981" s="430" t="s">
        <v>3497</v>
      </c>
      <c r="G1981" s="300" t="str">
        <f t="shared" si="64"/>
        <v>MummNRW</v>
      </c>
    </row>
    <row r="1982" spans="1:7" ht="12" customHeight="1">
      <c r="A1982" s="298">
        <v>36513</v>
      </c>
      <c r="B1982" s="299" t="s">
        <v>3512</v>
      </c>
      <c r="C1982" s="299">
        <v>20</v>
      </c>
      <c r="D1982" s="299">
        <f t="shared" si="63"/>
        <v>12</v>
      </c>
      <c r="E1982" s="299">
        <v>51</v>
      </c>
      <c r="F1982" s="430" t="s">
        <v>3497</v>
      </c>
      <c r="G1982" s="300" t="str">
        <f t="shared" si="64"/>
        <v>MummNRW</v>
      </c>
    </row>
    <row r="1983" spans="1:7" ht="12" customHeight="1">
      <c r="A1983" s="298">
        <v>36521</v>
      </c>
      <c r="B1983" s="299" t="s">
        <v>3512</v>
      </c>
      <c r="C1983" s="299">
        <v>100</v>
      </c>
      <c r="D1983" s="299">
        <f t="shared" si="63"/>
        <v>12</v>
      </c>
      <c r="E1983" s="299">
        <v>46</v>
      </c>
      <c r="F1983" s="430" t="s">
        <v>3497</v>
      </c>
      <c r="G1983" s="300" t="str">
        <f t="shared" si="64"/>
        <v>MummNRW</v>
      </c>
    </row>
    <row r="1984" spans="1:7" ht="12" customHeight="1">
      <c r="A1984" s="298">
        <v>36169</v>
      </c>
      <c r="B1984" s="299" t="s">
        <v>3512</v>
      </c>
      <c r="C1984" s="299">
        <v>40</v>
      </c>
      <c r="D1984" s="299">
        <f t="shared" si="63"/>
        <v>1</v>
      </c>
      <c r="E1984" s="299">
        <v>50</v>
      </c>
      <c r="F1984" s="430" t="s">
        <v>3499</v>
      </c>
      <c r="G1984" s="300" t="str">
        <f t="shared" si="64"/>
        <v>MummPfalz</v>
      </c>
    </row>
    <row r="1985" spans="1:7" ht="12" customHeight="1">
      <c r="A1985" s="298">
        <v>36202</v>
      </c>
      <c r="B1985" s="299" t="s">
        <v>3512</v>
      </c>
      <c r="C1985" s="299">
        <v>120</v>
      </c>
      <c r="D1985" s="299">
        <f t="shared" si="63"/>
        <v>2</v>
      </c>
      <c r="E1985" s="299">
        <v>50</v>
      </c>
      <c r="F1985" s="430" t="s">
        <v>3499</v>
      </c>
      <c r="G1985" s="300" t="str">
        <f t="shared" si="64"/>
        <v>MummPfalz</v>
      </c>
    </row>
    <row r="1986" spans="1:7" ht="12" customHeight="1">
      <c r="A1986" s="298">
        <v>36274</v>
      </c>
      <c r="B1986" s="299" t="s">
        <v>3512</v>
      </c>
      <c r="C1986" s="299">
        <v>20</v>
      </c>
      <c r="D1986" s="299">
        <f t="shared" si="63"/>
        <v>4</v>
      </c>
      <c r="E1986" s="299">
        <v>54</v>
      </c>
      <c r="F1986" s="430" t="s">
        <v>3499</v>
      </c>
      <c r="G1986" s="300" t="str">
        <f t="shared" si="64"/>
        <v>MummPfalz</v>
      </c>
    </row>
    <row r="1987" spans="1:7" ht="12" customHeight="1">
      <c r="A1987" s="298">
        <v>36382</v>
      </c>
      <c r="B1987" s="299" t="s">
        <v>3512</v>
      </c>
      <c r="C1987" s="299">
        <v>120</v>
      </c>
      <c r="D1987" s="299">
        <f t="shared" si="63"/>
        <v>8</v>
      </c>
      <c r="E1987" s="299">
        <v>46</v>
      </c>
      <c r="F1987" s="430" t="s">
        <v>3499</v>
      </c>
      <c r="G1987" s="300" t="str">
        <f t="shared" si="64"/>
        <v>MummPfalz</v>
      </c>
    </row>
    <row r="1988" spans="1:7" ht="12" customHeight="1">
      <c r="A1988" s="298">
        <v>36391</v>
      </c>
      <c r="B1988" s="299" t="s">
        <v>3512</v>
      </c>
      <c r="C1988" s="299">
        <v>20</v>
      </c>
      <c r="D1988" s="299">
        <f t="shared" si="63"/>
        <v>8</v>
      </c>
      <c r="E1988" s="299">
        <v>54</v>
      </c>
      <c r="F1988" s="430" t="s">
        <v>3499</v>
      </c>
      <c r="G1988" s="300" t="str">
        <f t="shared" si="64"/>
        <v>MummPfalz</v>
      </c>
    </row>
    <row r="1989" spans="1:7" ht="12" customHeight="1">
      <c r="A1989" s="298">
        <v>36409</v>
      </c>
      <c r="B1989" s="299" t="s">
        <v>3512</v>
      </c>
      <c r="C1989" s="299">
        <v>10</v>
      </c>
      <c r="D1989" s="299">
        <f t="shared" si="63"/>
        <v>9</v>
      </c>
      <c r="E1989" s="299">
        <v>46</v>
      </c>
      <c r="F1989" s="430" t="s">
        <v>3499</v>
      </c>
      <c r="G1989" s="300" t="str">
        <f t="shared" si="64"/>
        <v>MummPfalz</v>
      </c>
    </row>
    <row r="1990" spans="1:7" ht="12" customHeight="1">
      <c r="A1990" s="298">
        <v>36410</v>
      </c>
      <c r="B1990" s="299" t="s">
        <v>3512</v>
      </c>
      <c r="C1990" s="299">
        <v>80</v>
      </c>
      <c r="D1990" s="299">
        <f t="shared" ref="D1990:D2053" si="65">MONTH(A1990)</f>
        <v>9</v>
      </c>
      <c r="E1990" s="299">
        <v>46</v>
      </c>
      <c r="F1990" s="430" t="s">
        <v>3499</v>
      </c>
      <c r="G1990" s="300" t="str">
        <f t="shared" ref="G1990:G2053" si="66">B1990&amp;F1990</f>
        <v>MummPfalz</v>
      </c>
    </row>
    <row r="1991" spans="1:7" ht="12" customHeight="1">
      <c r="A1991" s="298">
        <v>36412</v>
      </c>
      <c r="B1991" s="299" t="s">
        <v>3512</v>
      </c>
      <c r="C1991" s="299">
        <v>10</v>
      </c>
      <c r="D1991" s="299">
        <f t="shared" si="65"/>
        <v>9</v>
      </c>
      <c r="E1991" s="299">
        <v>46</v>
      </c>
      <c r="F1991" s="430" t="s">
        <v>3499</v>
      </c>
      <c r="G1991" s="300" t="str">
        <f t="shared" si="66"/>
        <v>MummPfalz</v>
      </c>
    </row>
    <row r="1992" spans="1:7" ht="12" customHeight="1">
      <c r="A1992" s="298">
        <v>36415</v>
      </c>
      <c r="B1992" s="299" t="s">
        <v>3512</v>
      </c>
      <c r="C1992" s="299">
        <v>120</v>
      </c>
      <c r="D1992" s="299">
        <f t="shared" si="65"/>
        <v>9</v>
      </c>
      <c r="E1992" s="299">
        <v>46</v>
      </c>
      <c r="F1992" s="430" t="s">
        <v>3499</v>
      </c>
      <c r="G1992" s="300" t="str">
        <f t="shared" si="66"/>
        <v>MummPfalz</v>
      </c>
    </row>
    <row r="1993" spans="1:7" ht="12" customHeight="1">
      <c r="A1993" s="298">
        <v>36416</v>
      </c>
      <c r="B1993" s="299" t="s">
        <v>3512</v>
      </c>
      <c r="C1993" s="299">
        <v>70</v>
      </c>
      <c r="D1993" s="299">
        <f t="shared" si="65"/>
        <v>9</v>
      </c>
      <c r="E1993" s="299">
        <v>54</v>
      </c>
      <c r="F1993" s="430" t="s">
        <v>3499</v>
      </c>
      <c r="G1993" s="300" t="str">
        <f t="shared" si="66"/>
        <v>MummPfalz</v>
      </c>
    </row>
    <row r="1994" spans="1:7" ht="12" customHeight="1">
      <c r="A1994" s="298">
        <v>36429</v>
      </c>
      <c r="B1994" s="299" t="s">
        <v>3512</v>
      </c>
      <c r="C1994" s="299">
        <v>70</v>
      </c>
      <c r="D1994" s="299">
        <f t="shared" si="65"/>
        <v>9</v>
      </c>
      <c r="E1994" s="299">
        <v>46</v>
      </c>
      <c r="F1994" s="430" t="s">
        <v>3499</v>
      </c>
      <c r="G1994" s="300" t="str">
        <f t="shared" si="66"/>
        <v>MummPfalz</v>
      </c>
    </row>
    <row r="1995" spans="1:7" ht="12" customHeight="1">
      <c r="A1995" s="298">
        <v>36513</v>
      </c>
      <c r="B1995" s="299" t="s">
        <v>3512</v>
      </c>
      <c r="C1995" s="299">
        <v>100</v>
      </c>
      <c r="D1995" s="299">
        <f t="shared" si="65"/>
        <v>12</v>
      </c>
      <c r="E1995" s="299">
        <v>46</v>
      </c>
      <c r="F1995" s="430" t="s">
        <v>3499</v>
      </c>
      <c r="G1995" s="300" t="str">
        <f t="shared" si="66"/>
        <v>MummPfalz</v>
      </c>
    </row>
    <row r="1996" spans="1:7" ht="12" customHeight="1">
      <c r="A1996" s="298">
        <v>36260</v>
      </c>
      <c r="B1996" s="299" t="s">
        <v>3512</v>
      </c>
      <c r="C1996" s="299">
        <v>100</v>
      </c>
      <c r="D1996" s="299">
        <f t="shared" si="65"/>
        <v>4</v>
      </c>
      <c r="E1996" s="299">
        <v>45</v>
      </c>
      <c r="F1996" s="430" t="s">
        <v>3500</v>
      </c>
      <c r="G1996" s="300" t="str">
        <f t="shared" si="66"/>
        <v>MummSaarland</v>
      </c>
    </row>
    <row r="1997" spans="1:7" ht="12" customHeight="1">
      <c r="A1997" s="298">
        <v>36289</v>
      </c>
      <c r="B1997" s="299" t="s">
        <v>3512</v>
      </c>
      <c r="C1997" s="299">
        <v>120</v>
      </c>
      <c r="D1997" s="299">
        <f t="shared" si="65"/>
        <v>5</v>
      </c>
      <c r="E1997" s="299">
        <v>49</v>
      </c>
      <c r="F1997" s="430" t="s">
        <v>3500</v>
      </c>
      <c r="G1997" s="300" t="str">
        <f t="shared" si="66"/>
        <v>MummSaarland</v>
      </c>
    </row>
    <row r="1998" spans="1:7" ht="12" customHeight="1">
      <c r="A1998" s="298">
        <v>36294</v>
      </c>
      <c r="B1998" s="299" t="s">
        <v>3512</v>
      </c>
      <c r="C1998" s="299">
        <v>100</v>
      </c>
      <c r="D1998" s="299">
        <f t="shared" si="65"/>
        <v>5</v>
      </c>
      <c r="E1998" s="299">
        <v>51</v>
      </c>
      <c r="F1998" s="430" t="s">
        <v>3500</v>
      </c>
      <c r="G1998" s="300" t="str">
        <f t="shared" si="66"/>
        <v>MummSaarland</v>
      </c>
    </row>
    <row r="1999" spans="1:7" ht="12" customHeight="1">
      <c r="A1999" s="298">
        <v>36301</v>
      </c>
      <c r="B1999" s="299" t="s">
        <v>3512</v>
      </c>
      <c r="C1999" s="299">
        <v>120</v>
      </c>
      <c r="D1999" s="299">
        <f t="shared" si="65"/>
        <v>5</v>
      </c>
      <c r="E1999" s="299">
        <v>50</v>
      </c>
      <c r="F1999" s="430" t="s">
        <v>3500</v>
      </c>
      <c r="G1999" s="300" t="str">
        <f t="shared" si="66"/>
        <v>MummSaarland</v>
      </c>
    </row>
    <row r="2000" spans="1:7" ht="12" customHeight="1">
      <c r="A2000" s="298">
        <v>36313</v>
      </c>
      <c r="B2000" s="299" t="s">
        <v>3512</v>
      </c>
      <c r="C2000" s="299">
        <v>10</v>
      </c>
      <c r="D2000" s="299">
        <f t="shared" si="65"/>
        <v>6</v>
      </c>
      <c r="E2000" s="299">
        <v>49</v>
      </c>
      <c r="F2000" s="430" t="s">
        <v>3500</v>
      </c>
      <c r="G2000" s="300" t="str">
        <f t="shared" si="66"/>
        <v>MummSaarland</v>
      </c>
    </row>
    <row r="2001" spans="1:7" ht="12" customHeight="1">
      <c r="A2001" s="298">
        <v>36318</v>
      </c>
      <c r="B2001" s="299" t="s">
        <v>3512</v>
      </c>
      <c r="C2001" s="299">
        <v>80</v>
      </c>
      <c r="D2001" s="299">
        <f t="shared" si="65"/>
        <v>6</v>
      </c>
      <c r="E2001" s="299">
        <v>45</v>
      </c>
      <c r="F2001" s="430" t="s">
        <v>3500</v>
      </c>
      <c r="G2001" s="300" t="str">
        <f t="shared" si="66"/>
        <v>MummSaarland</v>
      </c>
    </row>
    <row r="2002" spans="1:7" ht="12" customHeight="1">
      <c r="A2002" s="298">
        <v>36353</v>
      </c>
      <c r="B2002" s="299" t="s">
        <v>3512</v>
      </c>
      <c r="C2002" s="299">
        <v>80</v>
      </c>
      <c r="D2002" s="299">
        <f t="shared" si="65"/>
        <v>7</v>
      </c>
      <c r="E2002" s="299">
        <v>50</v>
      </c>
      <c r="F2002" s="430" t="s">
        <v>3500</v>
      </c>
      <c r="G2002" s="300" t="str">
        <f t="shared" si="66"/>
        <v>MummSaarland</v>
      </c>
    </row>
    <row r="2003" spans="1:7" ht="12" customHeight="1">
      <c r="A2003" s="298">
        <v>36361</v>
      </c>
      <c r="B2003" s="299" t="s">
        <v>3512</v>
      </c>
      <c r="C2003" s="299">
        <v>40</v>
      </c>
      <c r="D2003" s="299">
        <f t="shared" si="65"/>
        <v>7</v>
      </c>
      <c r="E2003" s="299">
        <v>50</v>
      </c>
      <c r="F2003" s="430" t="s">
        <v>3500</v>
      </c>
      <c r="G2003" s="300" t="str">
        <f t="shared" si="66"/>
        <v>MummSaarland</v>
      </c>
    </row>
    <row r="2004" spans="1:7" ht="12" customHeight="1">
      <c r="A2004" s="298">
        <v>36362</v>
      </c>
      <c r="B2004" s="299" t="s">
        <v>3512</v>
      </c>
      <c r="C2004" s="299">
        <v>80</v>
      </c>
      <c r="D2004" s="299">
        <f t="shared" si="65"/>
        <v>7</v>
      </c>
      <c r="E2004" s="299">
        <v>54</v>
      </c>
      <c r="F2004" s="430" t="s">
        <v>3500</v>
      </c>
      <c r="G2004" s="300" t="str">
        <f t="shared" si="66"/>
        <v>MummSaarland</v>
      </c>
    </row>
    <row r="2005" spans="1:7" ht="12" customHeight="1">
      <c r="A2005" s="298">
        <v>36374</v>
      </c>
      <c r="B2005" s="299" t="s">
        <v>3512</v>
      </c>
      <c r="C2005" s="299">
        <v>60</v>
      </c>
      <c r="D2005" s="299">
        <f t="shared" si="65"/>
        <v>8</v>
      </c>
      <c r="E2005" s="299">
        <v>53</v>
      </c>
      <c r="F2005" s="430" t="s">
        <v>3500</v>
      </c>
      <c r="G2005" s="300" t="str">
        <f t="shared" si="66"/>
        <v>MummSaarland</v>
      </c>
    </row>
    <row r="2006" spans="1:7" ht="12" customHeight="1">
      <c r="A2006" s="298">
        <v>36374</v>
      </c>
      <c r="B2006" s="299" t="s">
        <v>3512</v>
      </c>
      <c r="C2006" s="299">
        <v>70</v>
      </c>
      <c r="D2006" s="299">
        <f t="shared" si="65"/>
        <v>8</v>
      </c>
      <c r="E2006" s="299">
        <v>48</v>
      </c>
      <c r="F2006" s="430" t="s">
        <v>3500</v>
      </c>
      <c r="G2006" s="300" t="str">
        <f t="shared" si="66"/>
        <v>MummSaarland</v>
      </c>
    </row>
    <row r="2007" spans="1:7" ht="12" customHeight="1">
      <c r="A2007" s="298">
        <v>36378</v>
      </c>
      <c r="B2007" s="299" t="s">
        <v>3512</v>
      </c>
      <c r="C2007" s="299">
        <v>100</v>
      </c>
      <c r="D2007" s="299">
        <f t="shared" si="65"/>
        <v>8</v>
      </c>
      <c r="E2007" s="299">
        <v>53</v>
      </c>
      <c r="F2007" s="430" t="s">
        <v>3500</v>
      </c>
      <c r="G2007" s="300" t="str">
        <f t="shared" si="66"/>
        <v>MummSaarland</v>
      </c>
    </row>
    <row r="2008" spans="1:7" ht="12" customHeight="1">
      <c r="A2008" s="298">
        <v>36378</v>
      </c>
      <c r="B2008" s="299" t="s">
        <v>3512</v>
      </c>
      <c r="C2008" s="299">
        <v>50</v>
      </c>
      <c r="D2008" s="299">
        <f t="shared" si="65"/>
        <v>8</v>
      </c>
      <c r="E2008" s="299">
        <v>48</v>
      </c>
      <c r="F2008" s="430" t="s">
        <v>3500</v>
      </c>
      <c r="G2008" s="300" t="str">
        <f t="shared" si="66"/>
        <v>MummSaarland</v>
      </c>
    </row>
    <row r="2009" spans="1:7" ht="12" customHeight="1">
      <c r="A2009" s="298">
        <v>36379</v>
      </c>
      <c r="B2009" s="299" t="s">
        <v>3512</v>
      </c>
      <c r="C2009" s="299">
        <v>30</v>
      </c>
      <c r="D2009" s="299">
        <f t="shared" si="65"/>
        <v>8</v>
      </c>
      <c r="E2009" s="299">
        <v>53</v>
      </c>
      <c r="F2009" s="430" t="s">
        <v>3500</v>
      </c>
      <c r="G2009" s="300" t="str">
        <f t="shared" si="66"/>
        <v>MummSaarland</v>
      </c>
    </row>
    <row r="2010" spans="1:7" ht="12" customHeight="1">
      <c r="A2010" s="298">
        <v>36380</v>
      </c>
      <c r="B2010" s="299" t="s">
        <v>3512</v>
      </c>
      <c r="C2010" s="299">
        <v>120</v>
      </c>
      <c r="D2010" s="299">
        <f t="shared" si="65"/>
        <v>8</v>
      </c>
      <c r="E2010" s="299">
        <v>48</v>
      </c>
      <c r="F2010" s="430" t="s">
        <v>3500</v>
      </c>
      <c r="G2010" s="300" t="str">
        <f t="shared" si="66"/>
        <v>MummSaarland</v>
      </c>
    </row>
    <row r="2011" spans="1:7" ht="12" customHeight="1">
      <c r="A2011" s="298">
        <v>36399</v>
      </c>
      <c r="B2011" s="299" t="s">
        <v>3512</v>
      </c>
      <c r="C2011" s="299">
        <v>120</v>
      </c>
      <c r="D2011" s="299">
        <f t="shared" si="65"/>
        <v>8</v>
      </c>
      <c r="E2011" s="299">
        <v>45</v>
      </c>
      <c r="F2011" s="430" t="s">
        <v>3500</v>
      </c>
      <c r="G2011" s="300" t="str">
        <f t="shared" si="66"/>
        <v>MummSaarland</v>
      </c>
    </row>
    <row r="2012" spans="1:7" ht="12" customHeight="1">
      <c r="A2012" s="298">
        <v>36401</v>
      </c>
      <c r="B2012" s="299" t="s">
        <v>3512</v>
      </c>
      <c r="C2012" s="299">
        <v>70</v>
      </c>
      <c r="D2012" s="299">
        <f t="shared" si="65"/>
        <v>8</v>
      </c>
      <c r="E2012" s="299">
        <v>53</v>
      </c>
      <c r="F2012" s="430" t="s">
        <v>3500</v>
      </c>
      <c r="G2012" s="300" t="str">
        <f t="shared" si="66"/>
        <v>MummSaarland</v>
      </c>
    </row>
    <row r="2013" spans="1:7" ht="12" customHeight="1">
      <c r="A2013" s="298">
        <v>36469</v>
      </c>
      <c r="B2013" s="299" t="s">
        <v>3512</v>
      </c>
      <c r="C2013" s="299">
        <v>80</v>
      </c>
      <c r="D2013" s="299">
        <f t="shared" si="65"/>
        <v>11</v>
      </c>
      <c r="E2013" s="299">
        <v>48</v>
      </c>
      <c r="F2013" s="430" t="s">
        <v>3500</v>
      </c>
      <c r="G2013" s="300" t="str">
        <f t="shared" si="66"/>
        <v>MummSaarland</v>
      </c>
    </row>
    <row r="2014" spans="1:7" ht="12" customHeight="1">
      <c r="A2014" s="298">
        <v>36472</v>
      </c>
      <c r="B2014" s="299" t="s">
        <v>3512</v>
      </c>
      <c r="C2014" s="299">
        <v>10</v>
      </c>
      <c r="D2014" s="299">
        <f t="shared" si="65"/>
        <v>11</v>
      </c>
      <c r="E2014" s="299">
        <v>48</v>
      </c>
      <c r="F2014" s="430" t="s">
        <v>3500</v>
      </c>
      <c r="G2014" s="300" t="str">
        <f t="shared" si="66"/>
        <v>MummSaarland</v>
      </c>
    </row>
    <row r="2015" spans="1:7" ht="12" customHeight="1">
      <c r="A2015" s="298">
        <v>36487</v>
      </c>
      <c r="B2015" s="299" t="s">
        <v>3512</v>
      </c>
      <c r="C2015" s="299">
        <v>80</v>
      </c>
      <c r="D2015" s="299">
        <f t="shared" si="65"/>
        <v>11</v>
      </c>
      <c r="E2015" s="299">
        <v>48</v>
      </c>
      <c r="F2015" s="430" t="s">
        <v>3500</v>
      </c>
      <c r="G2015" s="300" t="str">
        <f t="shared" si="66"/>
        <v>MummSaarland</v>
      </c>
    </row>
    <row r="2016" spans="1:7" ht="12" customHeight="1">
      <c r="A2016" s="298">
        <v>36197</v>
      </c>
      <c r="B2016" s="299" t="s">
        <v>3513</v>
      </c>
      <c r="C2016" s="299">
        <v>120</v>
      </c>
      <c r="D2016" s="299">
        <f t="shared" si="65"/>
        <v>2</v>
      </c>
      <c r="E2016" s="299">
        <v>49</v>
      </c>
      <c r="F2016" s="430" t="s">
        <v>3504</v>
      </c>
      <c r="G2016" s="300" t="str">
        <f t="shared" si="66"/>
        <v>RieslingBayern</v>
      </c>
    </row>
    <row r="2017" spans="1:7" ht="12" customHeight="1">
      <c r="A2017" s="298">
        <v>36199</v>
      </c>
      <c r="B2017" s="299" t="s">
        <v>3513</v>
      </c>
      <c r="C2017" s="299">
        <v>90</v>
      </c>
      <c r="D2017" s="299">
        <f t="shared" si="65"/>
        <v>2</v>
      </c>
      <c r="E2017" s="299">
        <v>49</v>
      </c>
      <c r="F2017" s="430" t="s">
        <v>3504</v>
      </c>
      <c r="G2017" s="300" t="str">
        <f t="shared" si="66"/>
        <v>RieslingBayern</v>
      </c>
    </row>
    <row r="2018" spans="1:7" ht="12" customHeight="1">
      <c r="A2018" s="298">
        <v>36248</v>
      </c>
      <c r="B2018" s="299" t="s">
        <v>3513</v>
      </c>
      <c r="C2018" s="299">
        <v>30</v>
      </c>
      <c r="D2018" s="299">
        <f t="shared" si="65"/>
        <v>3</v>
      </c>
      <c r="E2018" s="299">
        <v>50</v>
      </c>
      <c r="F2018" s="430" t="s">
        <v>3504</v>
      </c>
      <c r="G2018" s="300" t="str">
        <f t="shared" si="66"/>
        <v>RieslingBayern</v>
      </c>
    </row>
    <row r="2019" spans="1:7" ht="12" customHeight="1">
      <c r="A2019" s="298">
        <v>36256</v>
      </c>
      <c r="B2019" s="299" t="s">
        <v>3513</v>
      </c>
      <c r="C2019" s="299">
        <v>70</v>
      </c>
      <c r="D2019" s="299">
        <f t="shared" si="65"/>
        <v>4</v>
      </c>
      <c r="E2019" s="299">
        <v>53</v>
      </c>
      <c r="F2019" s="430" t="s">
        <v>3504</v>
      </c>
      <c r="G2019" s="300" t="str">
        <f t="shared" si="66"/>
        <v>RieslingBayern</v>
      </c>
    </row>
    <row r="2020" spans="1:7" ht="12" customHeight="1">
      <c r="A2020" s="298">
        <v>36264</v>
      </c>
      <c r="B2020" s="299" t="s">
        <v>3513</v>
      </c>
      <c r="C2020" s="299">
        <v>120</v>
      </c>
      <c r="D2020" s="299">
        <f t="shared" si="65"/>
        <v>4</v>
      </c>
      <c r="E2020" s="299">
        <v>53</v>
      </c>
      <c r="F2020" s="430" t="s">
        <v>3504</v>
      </c>
      <c r="G2020" s="300" t="str">
        <f t="shared" si="66"/>
        <v>RieslingBayern</v>
      </c>
    </row>
    <row r="2021" spans="1:7" ht="12" customHeight="1">
      <c r="A2021" s="298">
        <v>36305</v>
      </c>
      <c r="B2021" s="299" t="s">
        <v>3513</v>
      </c>
      <c r="C2021" s="299">
        <v>90</v>
      </c>
      <c r="D2021" s="299">
        <f t="shared" si="65"/>
        <v>5</v>
      </c>
      <c r="E2021" s="299">
        <v>50</v>
      </c>
      <c r="F2021" s="430" t="s">
        <v>3504</v>
      </c>
      <c r="G2021" s="300" t="str">
        <f t="shared" si="66"/>
        <v>RieslingBayern</v>
      </c>
    </row>
    <row r="2022" spans="1:7" ht="12" customHeight="1">
      <c r="A2022" s="298">
        <v>36324</v>
      </c>
      <c r="B2022" s="299" t="s">
        <v>3513</v>
      </c>
      <c r="C2022" s="299">
        <v>50</v>
      </c>
      <c r="D2022" s="299">
        <f t="shared" si="65"/>
        <v>6</v>
      </c>
      <c r="E2022" s="299">
        <v>54</v>
      </c>
      <c r="F2022" s="430" t="s">
        <v>3504</v>
      </c>
      <c r="G2022" s="300" t="str">
        <f t="shared" si="66"/>
        <v>RieslingBayern</v>
      </c>
    </row>
    <row r="2023" spans="1:7" ht="12" customHeight="1">
      <c r="A2023" s="298">
        <v>36330</v>
      </c>
      <c r="B2023" s="299" t="s">
        <v>3513</v>
      </c>
      <c r="C2023" s="299">
        <v>90</v>
      </c>
      <c r="D2023" s="299">
        <f t="shared" si="65"/>
        <v>6</v>
      </c>
      <c r="E2023" s="299">
        <v>48</v>
      </c>
      <c r="F2023" s="430" t="s">
        <v>3504</v>
      </c>
      <c r="G2023" s="300" t="str">
        <f t="shared" si="66"/>
        <v>RieslingBayern</v>
      </c>
    </row>
    <row r="2024" spans="1:7" ht="12" customHeight="1">
      <c r="A2024" s="298">
        <v>36334</v>
      </c>
      <c r="B2024" s="299" t="s">
        <v>3513</v>
      </c>
      <c r="C2024" s="299">
        <v>30</v>
      </c>
      <c r="D2024" s="299">
        <f t="shared" si="65"/>
        <v>6</v>
      </c>
      <c r="E2024" s="299">
        <v>54</v>
      </c>
      <c r="F2024" s="430" t="s">
        <v>3504</v>
      </c>
      <c r="G2024" s="300" t="str">
        <f t="shared" si="66"/>
        <v>RieslingBayern</v>
      </c>
    </row>
    <row r="2025" spans="1:7" ht="12" customHeight="1">
      <c r="A2025" s="298">
        <v>36336</v>
      </c>
      <c r="B2025" s="299" t="s">
        <v>3513</v>
      </c>
      <c r="C2025" s="299">
        <v>60</v>
      </c>
      <c r="D2025" s="299">
        <f t="shared" si="65"/>
        <v>6</v>
      </c>
      <c r="E2025" s="299">
        <v>48</v>
      </c>
      <c r="F2025" s="430" t="s">
        <v>3504</v>
      </c>
      <c r="G2025" s="300" t="str">
        <f t="shared" si="66"/>
        <v>RieslingBayern</v>
      </c>
    </row>
    <row r="2026" spans="1:7" ht="12" customHeight="1">
      <c r="A2026" s="298">
        <v>36406</v>
      </c>
      <c r="B2026" s="299" t="s">
        <v>3513</v>
      </c>
      <c r="C2026" s="299">
        <v>30</v>
      </c>
      <c r="D2026" s="299">
        <f t="shared" si="65"/>
        <v>9</v>
      </c>
      <c r="E2026" s="299">
        <v>48</v>
      </c>
      <c r="F2026" s="430" t="s">
        <v>3504</v>
      </c>
      <c r="G2026" s="300" t="str">
        <f t="shared" si="66"/>
        <v>RieslingBayern</v>
      </c>
    </row>
    <row r="2027" spans="1:7" ht="12" customHeight="1">
      <c r="A2027" s="298">
        <v>36412</v>
      </c>
      <c r="B2027" s="299" t="s">
        <v>3513</v>
      </c>
      <c r="C2027" s="299">
        <v>90</v>
      </c>
      <c r="D2027" s="299">
        <f t="shared" si="65"/>
        <v>9</v>
      </c>
      <c r="E2027" s="299">
        <v>49</v>
      </c>
      <c r="F2027" s="430" t="s">
        <v>3504</v>
      </c>
      <c r="G2027" s="300" t="str">
        <f t="shared" si="66"/>
        <v>RieslingBayern</v>
      </c>
    </row>
    <row r="2028" spans="1:7" ht="12" customHeight="1">
      <c r="A2028" s="298">
        <v>36488</v>
      </c>
      <c r="B2028" s="299" t="s">
        <v>3513</v>
      </c>
      <c r="C2028" s="299">
        <v>10</v>
      </c>
      <c r="D2028" s="299">
        <f t="shared" si="65"/>
        <v>11</v>
      </c>
      <c r="E2028" s="299">
        <v>54</v>
      </c>
      <c r="F2028" s="430" t="s">
        <v>3504</v>
      </c>
      <c r="G2028" s="300" t="str">
        <f t="shared" si="66"/>
        <v>RieslingBayern</v>
      </c>
    </row>
    <row r="2029" spans="1:7" ht="12" customHeight="1">
      <c r="A2029" s="298">
        <v>36505</v>
      </c>
      <c r="B2029" s="299" t="s">
        <v>3513</v>
      </c>
      <c r="C2029" s="299">
        <v>210</v>
      </c>
      <c r="D2029" s="299">
        <f t="shared" si="65"/>
        <v>12</v>
      </c>
      <c r="E2029" s="299">
        <v>54</v>
      </c>
      <c r="F2029" s="430" t="s">
        <v>3504</v>
      </c>
      <c r="G2029" s="300" t="str">
        <f t="shared" si="66"/>
        <v>RieslingBayern</v>
      </c>
    </row>
    <row r="2030" spans="1:7" ht="12" customHeight="1">
      <c r="A2030" s="298">
        <v>36508</v>
      </c>
      <c r="B2030" s="299" t="s">
        <v>3513</v>
      </c>
      <c r="C2030" s="299">
        <v>80</v>
      </c>
      <c r="D2030" s="299">
        <f t="shared" si="65"/>
        <v>12</v>
      </c>
      <c r="E2030" s="299">
        <v>50</v>
      </c>
      <c r="F2030" s="430" t="s">
        <v>3504</v>
      </c>
      <c r="G2030" s="300" t="str">
        <f t="shared" si="66"/>
        <v>RieslingBayern</v>
      </c>
    </row>
    <row r="2031" spans="1:7" ht="12" customHeight="1">
      <c r="A2031" s="298">
        <v>36205</v>
      </c>
      <c r="B2031" s="299" t="s">
        <v>3513</v>
      </c>
      <c r="C2031" s="299">
        <v>100</v>
      </c>
      <c r="D2031" s="299">
        <f t="shared" si="65"/>
        <v>2</v>
      </c>
      <c r="E2031" s="299">
        <v>50</v>
      </c>
      <c r="F2031" s="430" t="s">
        <v>3501</v>
      </c>
      <c r="G2031" s="300" t="str">
        <f t="shared" si="66"/>
        <v>RieslingBW</v>
      </c>
    </row>
    <row r="2032" spans="1:7" ht="12" customHeight="1">
      <c r="A2032" s="298">
        <v>36359</v>
      </c>
      <c r="B2032" s="299" t="s">
        <v>3513</v>
      </c>
      <c r="C2032" s="299">
        <v>80</v>
      </c>
      <c r="D2032" s="299">
        <f t="shared" si="65"/>
        <v>7</v>
      </c>
      <c r="E2032" s="299">
        <v>53</v>
      </c>
      <c r="F2032" s="430" t="s">
        <v>3501</v>
      </c>
      <c r="G2032" s="300" t="str">
        <f t="shared" si="66"/>
        <v>RieslingBW</v>
      </c>
    </row>
    <row r="2033" spans="1:7" ht="12" customHeight="1">
      <c r="A2033" s="298">
        <v>36370</v>
      </c>
      <c r="B2033" s="299" t="s">
        <v>3513</v>
      </c>
      <c r="C2033" s="299">
        <v>180</v>
      </c>
      <c r="D2033" s="299">
        <f t="shared" si="65"/>
        <v>7</v>
      </c>
      <c r="E2033" s="299">
        <v>50</v>
      </c>
      <c r="F2033" s="430" t="s">
        <v>3501</v>
      </c>
      <c r="G2033" s="300" t="str">
        <f t="shared" si="66"/>
        <v>RieslingBW</v>
      </c>
    </row>
    <row r="2034" spans="1:7" ht="12" customHeight="1">
      <c r="A2034" s="298">
        <v>36433</v>
      </c>
      <c r="B2034" s="299" t="s">
        <v>3513</v>
      </c>
      <c r="C2034" s="299">
        <v>40</v>
      </c>
      <c r="D2034" s="299">
        <f t="shared" si="65"/>
        <v>9</v>
      </c>
      <c r="E2034" s="299">
        <v>50</v>
      </c>
      <c r="F2034" s="430" t="s">
        <v>3502</v>
      </c>
      <c r="G2034" s="300" t="str">
        <f t="shared" si="66"/>
        <v>RieslingHessen</v>
      </c>
    </row>
    <row r="2035" spans="1:7" ht="12" customHeight="1">
      <c r="A2035" s="298">
        <v>36222</v>
      </c>
      <c r="B2035" s="299" t="s">
        <v>3513</v>
      </c>
      <c r="C2035" s="299">
        <v>60</v>
      </c>
      <c r="D2035" s="299">
        <f t="shared" si="65"/>
        <v>3</v>
      </c>
      <c r="E2035" s="299">
        <v>46</v>
      </c>
      <c r="F2035" s="430" t="s">
        <v>3503</v>
      </c>
      <c r="G2035" s="300" t="str">
        <f t="shared" si="66"/>
        <v>RieslingHolstein</v>
      </c>
    </row>
    <row r="2036" spans="1:7" ht="12" customHeight="1">
      <c r="A2036" s="298">
        <v>36222</v>
      </c>
      <c r="B2036" s="299" t="s">
        <v>3513</v>
      </c>
      <c r="C2036" s="299">
        <v>180</v>
      </c>
      <c r="D2036" s="299">
        <f t="shared" si="65"/>
        <v>3</v>
      </c>
      <c r="E2036" s="299">
        <v>46</v>
      </c>
      <c r="F2036" s="430" t="s">
        <v>3503</v>
      </c>
      <c r="G2036" s="300" t="str">
        <f t="shared" si="66"/>
        <v>RieslingHolstein</v>
      </c>
    </row>
    <row r="2037" spans="1:7" ht="12" customHeight="1">
      <c r="A2037" s="298">
        <v>36499</v>
      </c>
      <c r="B2037" s="299" t="s">
        <v>3513</v>
      </c>
      <c r="C2037" s="299">
        <v>60</v>
      </c>
      <c r="D2037" s="299">
        <f t="shared" si="65"/>
        <v>12</v>
      </c>
      <c r="E2037" s="299">
        <v>50</v>
      </c>
      <c r="F2037" s="430" t="s">
        <v>3503</v>
      </c>
      <c r="G2037" s="300" t="str">
        <f t="shared" si="66"/>
        <v>RieslingHolstein</v>
      </c>
    </row>
    <row r="2038" spans="1:7" ht="12" customHeight="1">
      <c r="A2038" s="298">
        <v>36172</v>
      </c>
      <c r="B2038" s="299" t="s">
        <v>3513</v>
      </c>
      <c r="C2038" s="299">
        <v>150</v>
      </c>
      <c r="D2038" s="299">
        <f t="shared" si="65"/>
        <v>1</v>
      </c>
      <c r="E2038" s="299">
        <v>48</v>
      </c>
      <c r="F2038" s="430" t="s">
        <v>3497</v>
      </c>
      <c r="G2038" s="300" t="str">
        <f t="shared" si="66"/>
        <v>RieslingNRW</v>
      </c>
    </row>
    <row r="2039" spans="1:7" ht="12" customHeight="1">
      <c r="A2039" s="298">
        <v>36181</v>
      </c>
      <c r="B2039" s="299" t="s">
        <v>3513</v>
      </c>
      <c r="C2039" s="299">
        <v>50</v>
      </c>
      <c r="D2039" s="299">
        <f t="shared" si="65"/>
        <v>1</v>
      </c>
      <c r="E2039" s="299">
        <v>48</v>
      </c>
      <c r="F2039" s="430" t="s">
        <v>3497</v>
      </c>
      <c r="G2039" s="300" t="str">
        <f t="shared" si="66"/>
        <v>RieslingNRW</v>
      </c>
    </row>
    <row r="2040" spans="1:7" ht="12" customHeight="1">
      <c r="A2040" s="298">
        <v>36196</v>
      </c>
      <c r="B2040" s="299" t="s">
        <v>3513</v>
      </c>
      <c r="C2040" s="299">
        <v>70</v>
      </c>
      <c r="D2040" s="299">
        <f t="shared" si="65"/>
        <v>2</v>
      </c>
      <c r="E2040" s="299">
        <v>50</v>
      </c>
      <c r="F2040" s="430" t="s">
        <v>3497</v>
      </c>
      <c r="G2040" s="300" t="str">
        <f t="shared" si="66"/>
        <v>RieslingNRW</v>
      </c>
    </row>
    <row r="2041" spans="1:7" ht="12" customHeight="1">
      <c r="A2041" s="298">
        <v>36206</v>
      </c>
      <c r="B2041" s="299" t="s">
        <v>3513</v>
      </c>
      <c r="C2041" s="299">
        <v>90</v>
      </c>
      <c r="D2041" s="299">
        <f t="shared" si="65"/>
        <v>2</v>
      </c>
      <c r="E2041" s="299">
        <v>49</v>
      </c>
      <c r="F2041" s="430" t="s">
        <v>3497</v>
      </c>
      <c r="G2041" s="300" t="str">
        <f t="shared" si="66"/>
        <v>RieslingNRW</v>
      </c>
    </row>
    <row r="2042" spans="1:7" ht="12" customHeight="1">
      <c r="A2042" s="298">
        <v>36213</v>
      </c>
      <c r="B2042" s="299" t="s">
        <v>3513</v>
      </c>
      <c r="C2042" s="299">
        <v>80</v>
      </c>
      <c r="D2042" s="299">
        <f t="shared" si="65"/>
        <v>2</v>
      </c>
      <c r="E2042" s="299">
        <v>49</v>
      </c>
      <c r="F2042" s="430" t="s">
        <v>3497</v>
      </c>
      <c r="G2042" s="300" t="str">
        <f t="shared" si="66"/>
        <v>RieslingNRW</v>
      </c>
    </row>
    <row r="2043" spans="1:7" ht="12" customHeight="1">
      <c r="A2043" s="298">
        <v>36214</v>
      </c>
      <c r="B2043" s="299" t="s">
        <v>3513</v>
      </c>
      <c r="C2043" s="299">
        <v>80</v>
      </c>
      <c r="D2043" s="299">
        <f t="shared" si="65"/>
        <v>2</v>
      </c>
      <c r="E2043" s="299">
        <v>49</v>
      </c>
      <c r="F2043" s="430" t="s">
        <v>3497</v>
      </c>
      <c r="G2043" s="300" t="str">
        <f t="shared" si="66"/>
        <v>RieslingNRW</v>
      </c>
    </row>
    <row r="2044" spans="1:7" ht="12" customHeight="1">
      <c r="A2044" s="298">
        <v>36227</v>
      </c>
      <c r="B2044" s="299" t="s">
        <v>3513</v>
      </c>
      <c r="C2044" s="299">
        <v>50</v>
      </c>
      <c r="D2044" s="299">
        <f t="shared" si="65"/>
        <v>3</v>
      </c>
      <c r="E2044" s="299">
        <v>49</v>
      </c>
      <c r="F2044" s="430" t="s">
        <v>3497</v>
      </c>
      <c r="G2044" s="300" t="str">
        <f t="shared" si="66"/>
        <v>RieslingNRW</v>
      </c>
    </row>
    <row r="2045" spans="1:7" ht="12" customHeight="1">
      <c r="A2045" s="298">
        <v>36228</v>
      </c>
      <c r="B2045" s="299" t="s">
        <v>3513</v>
      </c>
      <c r="C2045" s="299">
        <v>60</v>
      </c>
      <c r="D2045" s="299">
        <f t="shared" si="65"/>
        <v>3</v>
      </c>
      <c r="E2045" s="299">
        <v>49</v>
      </c>
      <c r="F2045" s="430" t="s">
        <v>3497</v>
      </c>
      <c r="G2045" s="300" t="str">
        <f t="shared" si="66"/>
        <v>RieslingNRW</v>
      </c>
    </row>
    <row r="2046" spans="1:7" ht="12" customHeight="1">
      <c r="A2046" s="298">
        <v>36233</v>
      </c>
      <c r="B2046" s="299" t="s">
        <v>3513</v>
      </c>
      <c r="C2046" s="299">
        <v>240</v>
      </c>
      <c r="D2046" s="299">
        <f t="shared" si="65"/>
        <v>3</v>
      </c>
      <c r="E2046" s="299">
        <v>53</v>
      </c>
      <c r="F2046" s="430" t="s">
        <v>3497</v>
      </c>
      <c r="G2046" s="300" t="str">
        <f t="shared" si="66"/>
        <v>RieslingNRW</v>
      </c>
    </row>
    <row r="2047" spans="1:7" ht="12" customHeight="1">
      <c r="A2047" s="298">
        <v>36245</v>
      </c>
      <c r="B2047" s="299" t="s">
        <v>3513</v>
      </c>
      <c r="C2047" s="299">
        <v>70</v>
      </c>
      <c r="D2047" s="299">
        <f t="shared" si="65"/>
        <v>3</v>
      </c>
      <c r="E2047" s="299">
        <v>46</v>
      </c>
      <c r="F2047" s="430" t="s">
        <v>3497</v>
      </c>
      <c r="G2047" s="300" t="str">
        <f t="shared" si="66"/>
        <v>RieslingNRW</v>
      </c>
    </row>
    <row r="2048" spans="1:7" ht="12" customHeight="1">
      <c r="A2048" s="298">
        <v>36256</v>
      </c>
      <c r="B2048" s="299" t="s">
        <v>3513</v>
      </c>
      <c r="C2048" s="299">
        <v>10</v>
      </c>
      <c r="D2048" s="299">
        <f t="shared" si="65"/>
        <v>4</v>
      </c>
      <c r="E2048" s="299">
        <v>51</v>
      </c>
      <c r="F2048" s="430" t="s">
        <v>3497</v>
      </c>
      <c r="G2048" s="300" t="str">
        <f t="shared" si="66"/>
        <v>RieslingNRW</v>
      </c>
    </row>
    <row r="2049" spans="1:7" ht="12" customHeight="1">
      <c r="A2049" s="298">
        <v>36261</v>
      </c>
      <c r="B2049" s="299" t="s">
        <v>3513</v>
      </c>
      <c r="C2049" s="299">
        <v>120</v>
      </c>
      <c r="D2049" s="299">
        <f t="shared" si="65"/>
        <v>4</v>
      </c>
      <c r="E2049" s="299">
        <v>47</v>
      </c>
      <c r="F2049" s="430" t="s">
        <v>3497</v>
      </c>
      <c r="G2049" s="300" t="str">
        <f t="shared" si="66"/>
        <v>RieslingNRW</v>
      </c>
    </row>
    <row r="2050" spans="1:7" ht="12" customHeight="1">
      <c r="A2050" s="298">
        <v>36267</v>
      </c>
      <c r="B2050" s="299" t="s">
        <v>3513</v>
      </c>
      <c r="C2050" s="299">
        <v>60</v>
      </c>
      <c r="D2050" s="299">
        <f t="shared" si="65"/>
        <v>4</v>
      </c>
      <c r="E2050" s="299">
        <v>53</v>
      </c>
      <c r="F2050" s="430" t="s">
        <v>3497</v>
      </c>
      <c r="G2050" s="300" t="str">
        <f t="shared" si="66"/>
        <v>RieslingNRW</v>
      </c>
    </row>
    <row r="2051" spans="1:7" ht="12" customHeight="1">
      <c r="A2051" s="298">
        <v>36283</v>
      </c>
      <c r="B2051" s="299" t="s">
        <v>3513</v>
      </c>
      <c r="C2051" s="299">
        <v>30</v>
      </c>
      <c r="D2051" s="299">
        <f t="shared" si="65"/>
        <v>5</v>
      </c>
      <c r="E2051" s="299">
        <v>48</v>
      </c>
      <c r="F2051" s="430" t="s">
        <v>3497</v>
      </c>
      <c r="G2051" s="300" t="str">
        <f t="shared" si="66"/>
        <v>RieslingNRW</v>
      </c>
    </row>
    <row r="2052" spans="1:7" ht="12" customHeight="1">
      <c r="A2052" s="298">
        <v>36288</v>
      </c>
      <c r="B2052" s="299" t="s">
        <v>3513</v>
      </c>
      <c r="C2052" s="299">
        <v>240</v>
      </c>
      <c r="D2052" s="299">
        <f t="shared" si="65"/>
        <v>5</v>
      </c>
      <c r="E2052" s="299">
        <v>46</v>
      </c>
      <c r="F2052" s="430" t="s">
        <v>3497</v>
      </c>
      <c r="G2052" s="300" t="str">
        <f t="shared" si="66"/>
        <v>RieslingNRW</v>
      </c>
    </row>
    <row r="2053" spans="1:7" ht="12" customHeight="1">
      <c r="A2053" s="298">
        <v>36291</v>
      </c>
      <c r="B2053" s="299" t="s">
        <v>3513</v>
      </c>
      <c r="C2053" s="299">
        <v>80</v>
      </c>
      <c r="D2053" s="299">
        <f t="shared" si="65"/>
        <v>5</v>
      </c>
      <c r="E2053" s="299">
        <v>50</v>
      </c>
      <c r="F2053" s="430" t="s">
        <v>3497</v>
      </c>
      <c r="G2053" s="300" t="str">
        <f t="shared" si="66"/>
        <v>RieslingNRW</v>
      </c>
    </row>
    <row r="2054" spans="1:7" ht="12" customHeight="1">
      <c r="A2054" s="298">
        <v>36292</v>
      </c>
      <c r="B2054" s="299" t="s">
        <v>3513</v>
      </c>
      <c r="C2054" s="299">
        <v>100</v>
      </c>
      <c r="D2054" s="299">
        <f t="shared" ref="D2054:D2117" si="67">MONTH(A2054)</f>
        <v>5</v>
      </c>
      <c r="E2054" s="299">
        <v>50</v>
      </c>
      <c r="F2054" s="430" t="s">
        <v>3497</v>
      </c>
      <c r="G2054" s="300" t="str">
        <f t="shared" ref="G2054:G2117" si="68">B2054&amp;F2054</f>
        <v>RieslingNRW</v>
      </c>
    </row>
    <row r="2055" spans="1:7" ht="12" customHeight="1">
      <c r="A2055" s="298">
        <v>36297</v>
      </c>
      <c r="B2055" s="299" t="s">
        <v>3513</v>
      </c>
      <c r="C2055" s="299">
        <v>90</v>
      </c>
      <c r="D2055" s="299">
        <f t="shared" si="67"/>
        <v>5</v>
      </c>
      <c r="E2055" s="299">
        <v>46</v>
      </c>
      <c r="F2055" s="430" t="s">
        <v>3497</v>
      </c>
      <c r="G2055" s="300" t="str">
        <f t="shared" si="68"/>
        <v>RieslingNRW</v>
      </c>
    </row>
    <row r="2056" spans="1:7" ht="12" customHeight="1">
      <c r="A2056" s="298">
        <v>36303</v>
      </c>
      <c r="B2056" s="299" t="s">
        <v>3513</v>
      </c>
      <c r="C2056" s="299">
        <v>40</v>
      </c>
      <c r="D2056" s="299">
        <f t="shared" si="67"/>
        <v>5</v>
      </c>
      <c r="E2056" s="299">
        <v>50</v>
      </c>
      <c r="F2056" s="430" t="s">
        <v>3497</v>
      </c>
      <c r="G2056" s="300" t="str">
        <f t="shared" si="68"/>
        <v>RieslingNRW</v>
      </c>
    </row>
    <row r="2057" spans="1:7" ht="12" customHeight="1">
      <c r="A2057" s="298">
        <v>36318</v>
      </c>
      <c r="B2057" s="299" t="s">
        <v>3513</v>
      </c>
      <c r="C2057" s="299">
        <v>180</v>
      </c>
      <c r="D2057" s="299">
        <f t="shared" si="67"/>
        <v>6</v>
      </c>
      <c r="E2057" s="299">
        <v>48</v>
      </c>
      <c r="F2057" s="430" t="s">
        <v>3497</v>
      </c>
      <c r="G2057" s="300" t="str">
        <f t="shared" si="68"/>
        <v>RieslingNRW</v>
      </c>
    </row>
    <row r="2058" spans="1:7" ht="12" customHeight="1">
      <c r="A2058" s="298">
        <v>36354</v>
      </c>
      <c r="B2058" s="299" t="s">
        <v>3513</v>
      </c>
      <c r="C2058" s="299">
        <v>210</v>
      </c>
      <c r="D2058" s="299">
        <f t="shared" si="67"/>
        <v>7</v>
      </c>
      <c r="E2058" s="299">
        <v>48</v>
      </c>
      <c r="F2058" s="430" t="s">
        <v>3497</v>
      </c>
      <c r="G2058" s="300" t="str">
        <f t="shared" si="68"/>
        <v>RieslingNRW</v>
      </c>
    </row>
    <row r="2059" spans="1:7" ht="12" customHeight="1">
      <c r="A2059" s="298">
        <v>36354</v>
      </c>
      <c r="B2059" s="299" t="s">
        <v>3513</v>
      </c>
      <c r="C2059" s="299">
        <v>90</v>
      </c>
      <c r="D2059" s="299">
        <f t="shared" si="67"/>
        <v>7</v>
      </c>
      <c r="E2059" s="299">
        <v>48</v>
      </c>
      <c r="F2059" s="430" t="s">
        <v>3497</v>
      </c>
      <c r="G2059" s="300" t="str">
        <f t="shared" si="68"/>
        <v>RieslingNRW</v>
      </c>
    </row>
    <row r="2060" spans="1:7" ht="12" customHeight="1">
      <c r="A2060" s="298">
        <v>36355</v>
      </c>
      <c r="B2060" s="299" t="s">
        <v>3513</v>
      </c>
      <c r="C2060" s="299">
        <v>30</v>
      </c>
      <c r="D2060" s="299">
        <f t="shared" si="67"/>
        <v>7</v>
      </c>
      <c r="E2060" s="299">
        <v>49</v>
      </c>
      <c r="F2060" s="430" t="s">
        <v>3497</v>
      </c>
      <c r="G2060" s="300" t="str">
        <f t="shared" si="68"/>
        <v>RieslingNRW</v>
      </c>
    </row>
    <row r="2061" spans="1:7" ht="12" customHeight="1">
      <c r="A2061" s="298">
        <v>36359</v>
      </c>
      <c r="B2061" s="299" t="s">
        <v>3513</v>
      </c>
      <c r="C2061" s="299">
        <v>90</v>
      </c>
      <c r="D2061" s="299">
        <f t="shared" si="67"/>
        <v>7</v>
      </c>
      <c r="E2061" s="299">
        <v>48</v>
      </c>
      <c r="F2061" s="430" t="s">
        <v>3497</v>
      </c>
      <c r="G2061" s="300" t="str">
        <f t="shared" si="68"/>
        <v>RieslingNRW</v>
      </c>
    </row>
    <row r="2062" spans="1:7" ht="12" customHeight="1">
      <c r="A2062" s="298">
        <v>36363</v>
      </c>
      <c r="B2062" s="299" t="s">
        <v>3513</v>
      </c>
      <c r="C2062" s="299">
        <v>210</v>
      </c>
      <c r="D2062" s="299">
        <f t="shared" si="67"/>
        <v>7</v>
      </c>
      <c r="E2062" s="299">
        <v>53</v>
      </c>
      <c r="F2062" s="430" t="s">
        <v>3497</v>
      </c>
      <c r="G2062" s="300" t="str">
        <f t="shared" si="68"/>
        <v>RieslingNRW</v>
      </c>
    </row>
    <row r="2063" spans="1:7" ht="12" customHeight="1">
      <c r="A2063" s="298">
        <v>36374</v>
      </c>
      <c r="B2063" s="299" t="s">
        <v>3513</v>
      </c>
      <c r="C2063" s="299">
        <v>30</v>
      </c>
      <c r="D2063" s="299">
        <f t="shared" si="67"/>
        <v>8</v>
      </c>
      <c r="E2063" s="299">
        <v>46</v>
      </c>
      <c r="F2063" s="430" t="s">
        <v>3497</v>
      </c>
      <c r="G2063" s="300" t="str">
        <f t="shared" si="68"/>
        <v>RieslingNRW</v>
      </c>
    </row>
    <row r="2064" spans="1:7" ht="12" customHeight="1">
      <c r="A2064" s="298">
        <v>36374</v>
      </c>
      <c r="B2064" s="299" t="s">
        <v>3513</v>
      </c>
      <c r="C2064" s="299">
        <v>180</v>
      </c>
      <c r="D2064" s="299">
        <f t="shared" si="67"/>
        <v>8</v>
      </c>
      <c r="E2064" s="299">
        <v>49</v>
      </c>
      <c r="F2064" s="430" t="s">
        <v>3497</v>
      </c>
      <c r="G2064" s="300" t="str">
        <f t="shared" si="68"/>
        <v>RieslingNRW</v>
      </c>
    </row>
    <row r="2065" spans="1:7" ht="12" customHeight="1">
      <c r="A2065" s="298">
        <v>36374</v>
      </c>
      <c r="B2065" s="299" t="s">
        <v>3513</v>
      </c>
      <c r="C2065" s="299">
        <v>120</v>
      </c>
      <c r="D2065" s="299">
        <f t="shared" si="67"/>
        <v>8</v>
      </c>
      <c r="E2065" s="299">
        <v>49</v>
      </c>
      <c r="F2065" s="430" t="s">
        <v>3497</v>
      </c>
      <c r="G2065" s="300" t="str">
        <f t="shared" si="68"/>
        <v>RieslingNRW</v>
      </c>
    </row>
    <row r="2066" spans="1:7" ht="12" customHeight="1">
      <c r="A2066" s="298">
        <v>36381</v>
      </c>
      <c r="B2066" s="299" t="s">
        <v>3513</v>
      </c>
      <c r="C2066" s="299">
        <v>90</v>
      </c>
      <c r="D2066" s="299">
        <f t="shared" si="67"/>
        <v>8</v>
      </c>
      <c r="E2066" s="299">
        <v>48</v>
      </c>
      <c r="F2066" s="430" t="s">
        <v>3497</v>
      </c>
      <c r="G2066" s="300" t="str">
        <f t="shared" si="68"/>
        <v>RieslingNRW</v>
      </c>
    </row>
    <row r="2067" spans="1:7" ht="12" customHeight="1">
      <c r="A2067" s="298">
        <v>36386</v>
      </c>
      <c r="B2067" s="299" t="s">
        <v>3513</v>
      </c>
      <c r="C2067" s="299">
        <v>150</v>
      </c>
      <c r="D2067" s="299">
        <f t="shared" si="67"/>
        <v>8</v>
      </c>
      <c r="E2067" s="299">
        <v>53</v>
      </c>
      <c r="F2067" s="430" t="s">
        <v>3497</v>
      </c>
      <c r="G2067" s="300" t="str">
        <f t="shared" si="68"/>
        <v>RieslingNRW</v>
      </c>
    </row>
    <row r="2068" spans="1:7" ht="12" customHeight="1">
      <c r="A2068" s="298">
        <v>36386</v>
      </c>
      <c r="B2068" s="299" t="s">
        <v>3513</v>
      </c>
      <c r="C2068" s="299">
        <v>210</v>
      </c>
      <c r="D2068" s="299">
        <f t="shared" si="67"/>
        <v>8</v>
      </c>
      <c r="E2068" s="299">
        <v>54</v>
      </c>
      <c r="F2068" s="430" t="s">
        <v>3497</v>
      </c>
      <c r="G2068" s="300" t="str">
        <f t="shared" si="68"/>
        <v>RieslingNRW</v>
      </c>
    </row>
    <row r="2069" spans="1:7" ht="12" customHeight="1">
      <c r="A2069" s="298">
        <v>36399</v>
      </c>
      <c r="B2069" s="299" t="s">
        <v>3513</v>
      </c>
      <c r="C2069" s="299">
        <v>30</v>
      </c>
      <c r="D2069" s="299">
        <f t="shared" si="67"/>
        <v>8</v>
      </c>
      <c r="E2069" s="299">
        <v>53</v>
      </c>
      <c r="F2069" s="430" t="s">
        <v>3497</v>
      </c>
      <c r="G2069" s="300" t="str">
        <f t="shared" si="68"/>
        <v>RieslingNRW</v>
      </c>
    </row>
    <row r="2070" spans="1:7" ht="12" customHeight="1">
      <c r="A2070" s="298">
        <v>36418</v>
      </c>
      <c r="B2070" s="299" t="s">
        <v>3513</v>
      </c>
      <c r="C2070" s="299">
        <v>60</v>
      </c>
      <c r="D2070" s="299">
        <f t="shared" si="67"/>
        <v>9</v>
      </c>
      <c r="E2070" s="299">
        <v>49</v>
      </c>
      <c r="F2070" s="430" t="s">
        <v>3497</v>
      </c>
      <c r="G2070" s="300" t="str">
        <f t="shared" si="68"/>
        <v>RieslingNRW</v>
      </c>
    </row>
    <row r="2071" spans="1:7" ht="12" customHeight="1">
      <c r="A2071" s="298">
        <v>36425</v>
      </c>
      <c r="B2071" s="299" t="s">
        <v>3513</v>
      </c>
      <c r="C2071" s="299">
        <v>60</v>
      </c>
      <c r="D2071" s="299">
        <f t="shared" si="67"/>
        <v>9</v>
      </c>
      <c r="E2071" s="299">
        <v>50</v>
      </c>
      <c r="F2071" s="430" t="s">
        <v>3497</v>
      </c>
      <c r="G2071" s="300" t="str">
        <f t="shared" si="68"/>
        <v>RieslingNRW</v>
      </c>
    </row>
    <row r="2072" spans="1:7" ht="12" customHeight="1">
      <c r="A2072" s="298">
        <v>36442</v>
      </c>
      <c r="B2072" s="299" t="s">
        <v>3513</v>
      </c>
      <c r="C2072" s="299">
        <v>30</v>
      </c>
      <c r="D2072" s="299">
        <f t="shared" si="67"/>
        <v>10</v>
      </c>
      <c r="E2072" s="299">
        <v>51</v>
      </c>
      <c r="F2072" s="430" t="s">
        <v>3497</v>
      </c>
      <c r="G2072" s="300" t="str">
        <f t="shared" si="68"/>
        <v>RieslingNRW</v>
      </c>
    </row>
    <row r="2073" spans="1:7" ht="12" customHeight="1">
      <c r="A2073" s="298">
        <v>36442</v>
      </c>
      <c r="B2073" s="299" t="s">
        <v>3513</v>
      </c>
      <c r="C2073" s="299">
        <v>30</v>
      </c>
      <c r="D2073" s="299">
        <f t="shared" si="67"/>
        <v>10</v>
      </c>
      <c r="E2073" s="299">
        <v>46</v>
      </c>
      <c r="F2073" s="430" t="s">
        <v>3497</v>
      </c>
      <c r="G2073" s="300" t="str">
        <f t="shared" si="68"/>
        <v>RieslingNRW</v>
      </c>
    </row>
    <row r="2074" spans="1:7" ht="12" customHeight="1">
      <c r="A2074" s="298">
        <v>36444</v>
      </c>
      <c r="B2074" s="299" t="s">
        <v>3513</v>
      </c>
      <c r="C2074" s="299">
        <v>90</v>
      </c>
      <c r="D2074" s="299">
        <f t="shared" si="67"/>
        <v>10</v>
      </c>
      <c r="E2074" s="299">
        <v>50</v>
      </c>
      <c r="F2074" s="430" t="s">
        <v>3497</v>
      </c>
      <c r="G2074" s="300" t="str">
        <f t="shared" si="68"/>
        <v>RieslingNRW</v>
      </c>
    </row>
    <row r="2075" spans="1:7" ht="12" customHeight="1">
      <c r="A2075" s="298">
        <v>36449</v>
      </c>
      <c r="B2075" s="299" t="s">
        <v>3513</v>
      </c>
      <c r="C2075" s="299">
        <v>20</v>
      </c>
      <c r="D2075" s="299">
        <f t="shared" si="67"/>
        <v>10</v>
      </c>
      <c r="E2075" s="299">
        <v>49</v>
      </c>
      <c r="F2075" s="430" t="s">
        <v>3497</v>
      </c>
      <c r="G2075" s="300" t="str">
        <f t="shared" si="68"/>
        <v>RieslingNRW</v>
      </c>
    </row>
    <row r="2076" spans="1:7" ht="12" customHeight="1">
      <c r="A2076" s="298">
        <v>36450</v>
      </c>
      <c r="B2076" s="299" t="s">
        <v>3513</v>
      </c>
      <c r="C2076" s="299">
        <v>30</v>
      </c>
      <c r="D2076" s="299">
        <f t="shared" si="67"/>
        <v>10</v>
      </c>
      <c r="E2076" s="299">
        <v>50</v>
      </c>
      <c r="F2076" s="430" t="s">
        <v>3497</v>
      </c>
      <c r="G2076" s="300" t="str">
        <f t="shared" si="68"/>
        <v>RieslingNRW</v>
      </c>
    </row>
    <row r="2077" spans="1:7" ht="12" customHeight="1">
      <c r="A2077" s="298">
        <v>36452</v>
      </c>
      <c r="B2077" s="299" t="s">
        <v>3513</v>
      </c>
      <c r="C2077" s="299">
        <v>210</v>
      </c>
      <c r="D2077" s="299">
        <f t="shared" si="67"/>
        <v>10</v>
      </c>
      <c r="E2077" s="299">
        <v>49</v>
      </c>
      <c r="F2077" s="430" t="s">
        <v>3497</v>
      </c>
      <c r="G2077" s="300" t="str">
        <f t="shared" si="68"/>
        <v>RieslingNRW</v>
      </c>
    </row>
    <row r="2078" spans="1:7" ht="12" customHeight="1">
      <c r="A2078" s="298">
        <v>36458</v>
      </c>
      <c r="B2078" s="299" t="s">
        <v>3513</v>
      </c>
      <c r="C2078" s="299">
        <v>100</v>
      </c>
      <c r="D2078" s="299">
        <f t="shared" si="67"/>
        <v>10</v>
      </c>
      <c r="E2078" s="299">
        <v>46</v>
      </c>
      <c r="F2078" s="430" t="s">
        <v>3497</v>
      </c>
      <c r="G2078" s="300" t="str">
        <f t="shared" si="68"/>
        <v>RieslingNRW</v>
      </c>
    </row>
    <row r="2079" spans="1:7" ht="12" customHeight="1">
      <c r="A2079" s="298">
        <v>36478</v>
      </c>
      <c r="B2079" s="299" t="s">
        <v>3513</v>
      </c>
      <c r="C2079" s="299">
        <v>50</v>
      </c>
      <c r="D2079" s="299">
        <f t="shared" si="67"/>
        <v>11</v>
      </c>
      <c r="E2079" s="299">
        <v>53</v>
      </c>
      <c r="F2079" s="430" t="s">
        <v>3497</v>
      </c>
      <c r="G2079" s="300" t="str">
        <f t="shared" si="68"/>
        <v>RieslingNRW</v>
      </c>
    </row>
    <row r="2080" spans="1:7" ht="12" customHeight="1">
      <c r="A2080" s="298">
        <v>36485</v>
      </c>
      <c r="B2080" s="299" t="s">
        <v>3513</v>
      </c>
      <c r="C2080" s="299">
        <v>90</v>
      </c>
      <c r="D2080" s="299">
        <f t="shared" si="67"/>
        <v>11</v>
      </c>
      <c r="E2080" s="299">
        <v>53</v>
      </c>
      <c r="F2080" s="430" t="s">
        <v>3497</v>
      </c>
      <c r="G2080" s="300" t="str">
        <f t="shared" si="68"/>
        <v>RieslingNRW</v>
      </c>
    </row>
    <row r="2081" spans="1:7" ht="12" customHeight="1">
      <c r="A2081" s="298">
        <v>36487</v>
      </c>
      <c r="B2081" s="299" t="s">
        <v>3513</v>
      </c>
      <c r="C2081" s="299">
        <v>80</v>
      </c>
      <c r="D2081" s="299">
        <f t="shared" si="67"/>
        <v>11</v>
      </c>
      <c r="E2081" s="299">
        <v>53</v>
      </c>
      <c r="F2081" s="430" t="s">
        <v>3497</v>
      </c>
      <c r="G2081" s="300" t="str">
        <f t="shared" si="68"/>
        <v>RieslingNRW</v>
      </c>
    </row>
    <row r="2082" spans="1:7" ht="12" customHeight="1">
      <c r="A2082" s="298">
        <v>36506</v>
      </c>
      <c r="B2082" s="299" t="s">
        <v>3513</v>
      </c>
      <c r="C2082" s="299">
        <v>10</v>
      </c>
      <c r="D2082" s="299">
        <f t="shared" si="67"/>
        <v>12</v>
      </c>
      <c r="E2082" s="299">
        <v>50</v>
      </c>
      <c r="F2082" s="430" t="s">
        <v>3497</v>
      </c>
      <c r="G2082" s="300" t="str">
        <f t="shared" si="68"/>
        <v>RieslingNRW</v>
      </c>
    </row>
    <row r="2083" spans="1:7" ht="12" customHeight="1">
      <c r="A2083" s="298">
        <v>36520</v>
      </c>
      <c r="B2083" s="299" t="s">
        <v>3513</v>
      </c>
      <c r="C2083" s="299">
        <v>10</v>
      </c>
      <c r="D2083" s="299">
        <f t="shared" si="67"/>
        <v>12</v>
      </c>
      <c r="E2083" s="299">
        <v>53</v>
      </c>
      <c r="F2083" s="430" t="s">
        <v>3497</v>
      </c>
      <c r="G2083" s="300" t="str">
        <f t="shared" si="68"/>
        <v>RieslingNRW</v>
      </c>
    </row>
    <row r="2084" spans="1:7" ht="12" customHeight="1">
      <c r="A2084" s="298">
        <v>36169</v>
      </c>
      <c r="B2084" s="299" t="s">
        <v>3513</v>
      </c>
      <c r="C2084" s="299">
        <v>10</v>
      </c>
      <c r="D2084" s="299">
        <f t="shared" si="67"/>
        <v>1</v>
      </c>
      <c r="E2084" s="299">
        <v>46</v>
      </c>
      <c r="F2084" s="430" t="s">
        <v>3499</v>
      </c>
      <c r="G2084" s="300" t="str">
        <f t="shared" si="68"/>
        <v>RieslingPfalz</v>
      </c>
    </row>
    <row r="2085" spans="1:7" ht="12" customHeight="1">
      <c r="A2085" s="298">
        <v>36170</v>
      </c>
      <c r="B2085" s="299" t="s">
        <v>3513</v>
      </c>
      <c r="C2085" s="299">
        <v>80</v>
      </c>
      <c r="D2085" s="299">
        <f t="shared" si="67"/>
        <v>1</v>
      </c>
      <c r="E2085" s="299">
        <v>46</v>
      </c>
      <c r="F2085" s="430" t="s">
        <v>3499</v>
      </c>
      <c r="G2085" s="300" t="str">
        <f t="shared" si="68"/>
        <v>RieslingPfalz</v>
      </c>
    </row>
    <row r="2086" spans="1:7" ht="12" customHeight="1">
      <c r="A2086" s="298">
        <v>36223</v>
      </c>
      <c r="B2086" s="299" t="s">
        <v>3513</v>
      </c>
      <c r="C2086" s="299">
        <v>60</v>
      </c>
      <c r="D2086" s="299">
        <f t="shared" si="67"/>
        <v>3</v>
      </c>
      <c r="E2086" s="299">
        <v>50</v>
      </c>
      <c r="F2086" s="430" t="s">
        <v>3499</v>
      </c>
      <c r="G2086" s="300" t="str">
        <f t="shared" si="68"/>
        <v>RieslingPfalz</v>
      </c>
    </row>
    <row r="2087" spans="1:7" ht="12" customHeight="1">
      <c r="A2087" s="298">
        <v>36239</v>
      </c>
      <c r="B2087" s="299" t="s">
        <v>3513</v>
      </c>
      <c r="C2087" s="299">
        <v>100</v>
      </c>
      <c r="D2087" s="299">
        <f t="shared" si="67"/>
        <v>3</v>
      </c>
      <c r="E2087" s="299">
        <v>52</v>
      </c>
      <c r="F2087" s="430" t="s">
        <v>3499</v>
      </c>
      <c r="G2087" s="300" t="str">
        <f t="shared" si="68"/>
        <v>RieslingPfalz</v>
      </c>
    </row>
    <row r="2088" spans="1:7" ht="12" customHeight="1">
      <c r="A2088" s="298">
        <v>36243</v>
      </c>
      <c r="B2088" s="299" t="s">
        <v>3513</v>
      </c>
      <c r="C2088" s="299">
        <v>210</v>
      </c>
      <c r="D2088" s="299">
        <f t="shared" si="67"/>
        <v>3</v>
      </c>
      <c r="E2088" s="299">
        <v>50</v>
      </c>
      <c r="F2088" s="430" t="s">
        <v>3499</v>
      </c>
      <c r="G2088" s="300" t="str">
        <f t="shared" si="68"/>
        <v>RieslingPfalz</v>
      </c>
    </row>
    <row r="2089" spans="1:7" ht="12" customHeight="1">
      <c r="A2089" s="298">
        <v>36294</v>
      </c>
      <c r="B2089" s="299" t="s">
        <v>3513</v>
      </c>
      <c r="C2089" s="299">
        <v>80</v>
      </c>
      <c r="D2089" s="299">
        <f t="shared" si="67"/>
        <v>5</v>
      </c>
      <c r="E2089" s="299">
        <v>52</v>
      </c>
      <c r="F2089" s="430" t="s">
        <v>3499</v>
      </c>
      <c r="G2089" s="300" t="str">
        <f t="shared" si="68"/>
        <v>RieslingPfalz</v>
      </c>
    </row>
    <row r="2090" spans="1:7" ht="12" customHeight="1">
      <c r="A2090" s="298">
        <v>36308</v>
      </c>
      <c r="B2090" s="299" t="s">
        <v>3513</v>
      </c>
      <c r="C2090" s="299">
        <v>90</v>
      </c>
      <c r="D2090" s="299">
        <f t="shared" si="67"/>
        <v>5</v>
      </c>
      <c r="E2090" s="299">
        <v>52</v>
      </c>
      <c r="F2090" s="430" t="s">
        <v>3499</v>
      </c>
      <c r="G2090" s="300" t="str">
        <f t="shared" si="68"/>
        <v>RieslingPfalz</v>
      </c>
    </row>
    <row r="2091" spans="1:7" ht="12" customHeight="1">
      <c r="A2091" s="298">
        <v>36346</v>
      </c>
      <c r="B2091" s="299" t="s">
        <v>3513</v>
      </c>
      <c r="C2091" s="299">
        <v>90</v>
      </c>
      <c r="D2091" s="299">
        <f t="shared" si="67"/>
        <v>7</v>
      </c>
      <c r="E2091" s="299">
        <v>54</v>
      </c>
      <c r="F2091" s="430" t="s">
        <v>3499</v>
      </c>
      <c r="G2091" s="300" t="str">
        <f t="shared" si="68"/>
        <v>RieslingPfalz</v>
      </c>
    </row>
    <row r="2092" spans="1:7" ht="12" customHeight="1">
      <c r="A2092" s="298">
        <v>36361</v>
      </c>
      <c r="B2092" s="299" t="s">
        <v>3513</v>
      </c>
      <c r="C2092" s="299">
        <v>60</v>
      </c>
      <c r="D2092" s="299">
        <f t="shared" si="67"/>
        <v>7</v>
      </c>
      <c r="E2092" s="299">
        <v>54</v>
      </c>
      <c r="F2092" s="430" t="s">
        <v>3499</v>
      </c>
      <c r="G2092" s="300" t="str">
        <f t="shared" si="68"/>
        <v>RieslingPfalz</v>
      </c>
    </row>
    <row r="2093" spans="1:7" ht="12" customHeight="1">
      <c r="A2093" s="298">
        <v>36375</v>
      </c>
      <c r="B2093" s="299" t="s">
        <v>3513</v>
      </c>
      <c r="C2093" s="299">
        <v>30</v>
      </c>
      <c r="D2093" s="299">
        <f t="shared" si="67"/>
        <v>8</v>
      </c>
      <c r="E2093" s="299">
        <v>54</v>
      </c>
      <c r="F2093" s="430" t="s">
        <v>3499</v>
      </c>
      <c r="G2093" s="300" t="str">
        <f t="shared" si="68"/>
        <v>RieslingPfalz</v>
      </c>
    </row>
    <row r="2094" spans="1:7" ht="12" customHeight="1">
      <c r="A2094" s="298">
        <v>36401</v>
      </c>
      <c r="B2094" s="299" t="s">
        <v>3513</v>
      </c>
      <c r="C2094" s="299">
        <v>10</v>
      </c>
      <c r="D2094" s="299">
        <f t="shared" si="67"/>
        <v>8</v>
      </c>
      <c r="E2094" s="299">
        <v>46</v>
      </c>
      <c r="F2094" s="430" t="s">
        <v>3499</v>
      </c>
      <c r="G2094" s="300" t="str">
        <f t="shared" si="68"/>
        <v>RieslingPfalz</v>
      </c>
    </row>
    <row r="2095" spans="1:7" ht="12" customHeight="1">
      <c r="A2095" s="298">
        <v>36473</v>
      </c>
      <c r="B2095" s="299" t="s">
        <v>3513</v>
      </c>
      <c r="C2095" s="299">
        <v>100</v>
      </c>
      <c r="D2095" s="299">
        <f t="shared" si="67"/>
        <v>11</v>
      </c>
      <c r="E2095" s="299">
        <v>46</v>
      </c>
      <c r="F2095" s="430" t="s">
        <v>3499</v>
      </c>
      <c r="G2095" s="300" t="str">
        <f t="shared" si="68"/>
        <v>RieslingPfalz</v>
      </c>
    </row>
    <row r="2096" spans="1:7" ht="12" customHeight="1">
      <c r="A2096" s="298">
        <v>36491</v>
      </c>
      <c r="B2096" s="299" t="s">
        <v>3513</v>
      </c>
      <c r="C2096" s="299">
        <v>60</v>
      </c>
      <c r="D2096" s="299">
        <f t="shared" si="67"/>
        <v>11</v>
      </c>
      <c r="E2096" s="299">
        <v>46</v>
      </c>
      <c r="F2096" s="430" t="s">
        <v>3499</v>
      </c>
      <c r="G2096" s="300" t="str">
        <f t="shared" si="68"/>
        <v>RieslingPfalz</v>
      </c>
    </row>
    <row r="2097" spans="1:7" ht="12" customHeight="1">
      <c r="A2097" s="298">
        <v>36522</v>
      </c>
      <c r="B2097" s="299" t="s">
        <v>3513</v>
      </c>
      <c r="C2097" s="299">
        <v>150</v>
      </c>
      <c r="D2097" s="299">
        <f t="shared" si="67"/>
        <v>12</v>
      </c>
      <c r="E2097" s="299">
        <v>52</v>
      </c>
      <c r="F2097" s="430" t="s">
        <v>3499</v>
      </c>
      <c r="G2097" s="300" t="str">
        <f t="shared" si="68"/>
        <v>RieslingPfalz</v>
      </c>
    </row>
    <row r="2098" spans="1:7" ht="12" customHeight="1">
      <c r="A2098" s="298">
        <v>36163</v>
      </c>
      <c r="B2098" s="299" t="s">
        <v>3513</v>
      </c>
      <c r="C2098" s="299">
        <v>100</v>
      </c>
      <c r="D2098" s="299">
        <f t="shared" si="67"/>
        <v>1</v>
      </c>
      <c r="E2098" s="299">
        <v>45</v>
      </c>
      <c r="F2098" s="430" t="s">
        <v>3500</v>
      </c>
      <c r="G2098" s="300" t="str">
        <f t="shared" si="68"/>
        <v>RieslingSaarland</v>
      </c>
    </row>
    <row r="2099" spans="1:7" ht="12" customHeight="1">
      <c r="A2099" s="298">
        <v>36173</v>
      </c>
      <c r="B2099" s="299" t="s">
        <v>3513</v>
      </c>
      <c r="C2099" s="299">
        <v>70</v>
      </c>
      <c r="D2099" s="299">
        <f t="shared" si="67"/>
        <v>1</v>
      </c>
      <c r="E2099" s="299">
        <v>48</v>
      </c>
      <c r="F2099" s="430" t="s">
        <v>3500</v>
      </c>
      <c r="G2099" s="300" t="str">
        <f t="shared" si="68"/>
        <v>RieslingSaarland</v>
      </c>
    </row>
    <row r="2100" spans="1:7" ht="12" customHeight="1">
      <c r="A2100" s="298">
        <v>36180</v>
      </c>
      <c r="B2100" s="299" t="s">
        <v>3513</v>
      </c>
      <c r="C2100" s="299">
        <v>110</v>
      </c>
      <c r="D2100" s="299">
        <f t="shared" si="67"/>
        <v>1</v>
      </c>
      <c r="E2100" s="299">
        <v>45</v>
      </c>
      <c r="F2100" s="430" t="s">
        <v>3500</v>
      </c>
      <c r="G2100" s="300" t="str">
        <f t="shared" si="68"/>
        <v>RieslingSaarland</v>
      </c>
    </row>
    <row r="2101" spans="1:7" ht="12" customHeight="1">
      <c r="A2101" s="298">
        <v>36182</v>
      </c>
      <c r="B2101" s="299" t="s">
        <v>3513</v>
      </c>
      <c r="C2101" s="299">
        <v>110</v>
      </c>
      <c r="D2101" s="299">
        <f t="shared" si="67"/>
        <v>1</v>
      </c>
      <c r="E2101" s="299">
        <v>48</v>
      </c>
      <c r="F2101" s="430" t="s">
        <v>3500</v>
      </c>
      <c r="G2101" s="300" t="str">
        <f t="shared" si="68"/>
        <v>RieslingSaarland</v>
      </c>
    </row>
    <row r="2102" spans="1:7" ht="12" customHeight="1">
      <c r="A2102" s="298">
        <v>36235</v>
      </c>
      <c r="B2102" s="299" t="s">
        <v>3513</v>
      </c>
      <c r="C2102" s="299">
        <v>40</v>
      </c>
      <c r="D2102" s="299">
        <f t="shared" si="67"/>
        <v>3</v>
      </c>
      <c r="E2102" s="299">
        <v>49</v>
      </c>
      <c r="F2102" s="430" t="s">
        <v>3500</v>
      </c>
      <c r="G2102" s="300" t="str">
        <f t="shared" si="68"/>
        <v>RieslingSaarland</v>
      </c>
    </row>
    <row r="2103" spans="1:7" ht="12" customHeight="1">
      <c r="A2103" s="298">
        <v>36237</v>
      </c>
      <c r="B2103" s="299" t="s">
        <v>3513</v>
      </c>
      <c r="C2103" s="299">
        <v>60</v>
      </c>
      <c r="D2103" s="299">
        <f t="shared" si="67"/>
        <v>3</v>
      </c>
      <c r="E2103" s="299">
        <v>49</v>
      </c>
      <c r="F2103" s="430" t="s">
        <v>3500</v>
      </c>
      <c r="G2103" s="300" t="str">
        <f t="shared" si="68"/>
        <v>RieslingSaarland</v>
      </c>
    </row>
    <row r="2104" spans="1:7" ht="12" customHeight="1">
      <c r="A2104" s="298">
        <v>36239</v>
      </c>
      <c r="B2104" s="299" t="s">
        <v>3513</v>
      </c>
      <c r="C2104" s="299">
        <v>180</v>
      </c>
      <c r="D2104" s="299">
        <f t="shared" si="67"/>
        <v>3</v>
      </c>
      <c r="E2104" s="299">
        <v>49</v>
      </c>
      <c r="F2104" s="430" t="s">
        <v>3500</v>
      </c>
      <c r="G2104" s="300" t="str">
        <f t="shared" si="68"/>
        <v>RieslingSaarland</v>
      </c>
    </row>
    <row r="2105" spans="1:7" ht="12" customHeight="1">
      <c r="A2105" s="298">
        <v>36258</v>
      </c>
      <c r="B2105" s="299" t="s">
        <v>3513</v>
      </c>
      <c r="C2105" s="299">
        <v>80</v>
      </c>
      <c r="D2105" s="299">
        <f t="shared" si="67"/>
        <v>4</v>
      </c>
      <c r="E2105" s="299">
        <v>46</v>
      </c>
      <c r="F2105" s="430" t="s">
        <v>3500</v>
      </c>
      <c r="G2105" s="300" t="str">
        <f t="shared" si="68"/>
        <v>RieslingSaarland</v>
      </c>
    </row>
    <row r="2106" spans="1:7" ht="12" customHeight="1">
      <c r="A2106" s="298">
        <v>36258</v>
      </c>
      <c r="B2106" s="299" t="s">
        <v>3513</v>
      </c>
      <c r="C2106" s="299">
        <v>100</v>
      </c>
      <c r="D2106" s="299">
        <f t="shared" si="67"/>
        <v>4</v>
      </c>
      <c r="E2106" s="299">
        <v>53</v>
      </c>
      <c r="F2106" s="430" t="s">
        <v>3500</v>
      </c>
      <c r="G2106" s="300" t="str">
        <f t="shared" si="68"/>
        <v>RieslingSaarland</v>
      </c>
    </row>
    <row r="2107" spans="1:7" ht="12" customHeight="1">
      <c r="A2107" s="298">
        <v>36270</v>
      </c>
      <c r="B2107" s="299" t="s">
        <v>3513</v>
      </c>
      <c r="C2107" s="299">
        <v>180</v>
      </c>
      <c r="D2107" s="299">
        <f t="shared" si="67"/>
        <v>4</v>
      </c>
      <c r="E2107" s="299">
        <v>46</v>
      </c>
      <c r="F2107" s="430" t="s">
        <v>3500</v>
      </c>
      <c r="G2107" s="300" t="str">
        <f t="shared" si="68"/>
        <v>RieslingSaarland</v>
      </c>
    </row>
    <row r="2108" spans="1:7" ht="12" customHeight="1">
      <c r="A2108" s="298">
        <v>36288</v>
      </c>
      <c r="B2108" s="299" t="s">
        <v>3513</v>
      </c>
      <c r="C2108" s="299">
        <v>90</v>
      </c>
      <c r="D2108" s="299">
        <f t="shared" si="67"/>
        <v>5</v>
      </c>
      <c r="E2108" s="299">
        <v>53</v>
      </c>
      <c r="F2108" s="430" t="s">
        <v>3500</v>
      </c>
      <c r="G2108" s="300" t="str">
        <f t="shared" si="68"/>
        <v>RieslingSaarland</v>
      </c>
    </row>
    <row r="2109" spans="1:7" ht="12" customHeight="1">
      <c r="A2109" s="298">
        <v>36290</v>
      </c>
      <c r="B2109" s="299" t="s">
        <v>3513</v>
      </c>
      <c r="C2109" s="299">
        <v>100</v>
      </c>
      <c r="D2109" s="299">
        <f t="shared" si="67"/>
        <v>5</v>
      </c>
      <c r="E2109" s="299">
        <v>51</v>
      </c>
      <c r="F2109" s="430" t="s">
        <v>3500</v>
      </c>
      <c r="G2109" s="300" t="str">
        <f t="shared" si="68"/>
        <v>RieslingSaarland</v>
      </c>
    </row>
    <row r="2110" spans="1:7" ht="12" customHeight="1">
      <c r="A2110" s="298">
        <v>36301</v>
      </c>
      <c r="B2110" s="299" t="s">
        <v>3513</v>
      </c>
      <c r="C2110" s="299">
        <v>210</v>
      </c>
      <c r="D2110" s="299">
        <f t="shared" si="67"/>
        <v>5</v>
      </c>
      <c r="E2110" s="299">
        <v>48</v>
      </c>
      <c r="F2110" s="430" t="s">
        <v>3500</v>
      </c>
      <c r="G2110" s="300" t="str">
        <f t="shared" si="68"/>
        <v>RieslingSaarland</v>
      </c>
    </row>
    <row r="2111" spans="1:7" ht="12" customHeight="1">
      <c r="A2111" s="298">
        <v>36310</v>
      </c>
      <c r="B2111" s="299" t="s">
        <v>3513</v>
      </c>
      <c r="C2111" s="299">
        <v>120</v>
      </c>
      <c r="D2111" s="299">
        <f t="shared" si="67"/>
        <v>5</v>
      </c>
      <c r="E2111" s="299">
        <v>50</v>
      </c>
      <c r="F2111" s="430" t="s">
        <v>3500</v>
      </c>
      <c r="G2111" s="300" t="str">
        <f t="shared" si="68"/>
        <v>RieslingSaarland</v>
      </c>
    </row>
    <row r="2112" spans="1:7" ht="12" customHeight="1">
      <c r="A2112" s="298">
        <v>36322</v>
      </c>
      <c r="B2112" s="299" t="s">
        <v>3513</v>
      </c>
      <c r="C2112" s="299">
        <v>60</v>
      </c>
      <c r="D2112" s="299">
        <f t="shared" si="67"/>
        <v>6</v>
      </c>
      <c r="E2112" s="299">
        <v>48</v>
      </c>
      <c r="F2112" s="430" t="s">
        <v>3500</v>
      </c>
      <c r="G2112" s="300" t="str">
        <f t="shared" si="68"/>
        <v>RieslingSaarland</v>
      </c>
    </row>
    <row r="2113" spans="1:7" ht="12" customHeight="1">
      <c r="A2113" s="298">
        <v>36335</v>
      </c>
      <c r="B2113" s="299" t="s">
        <v>3513</v>
      </c>
      <c r="C2113" s="299">
        <v>100</v>
      </c>
      <c r="D2113" s="299">
        <f t="shared" si="67"/>
        <v>6</v>
      </c>
      <c r="E2113" s="299">
        <v>45</v>
      </c>
      <c r="F2113" s="430" t="s">
        <v>3500</v>
      </c>
      <c r="G2113" s="300" t="str">
        <f t="shared" si="68"/>
        <v>RieslingSaarland</v>
      </c>
    </row>
    <row r="2114" spans="1:7" ht="12" customHeight="1">
      <c r="A2114" s="298">
        <v>36336</v>
      </c>
      <c r="B2114" s="299" t="s">
        <v>3513</v>
      </c>
      <c r="C2114" s="299">
        <v>150</v>
      </c>
      <c r="D2114" s="299">
        <f t="shared" si="67"/>
        <v>6</v>
      </c>
      <c r="E2114" s="299">
        <v>51</v>
      </c>
      <c r="F2114" s="430" t="s">
        <v>3500</v>
      </c>
      <c r="G2114" s="300" t="str">
        <f t="shared" si="68"/>
        <v>RieslingSaarland</v>
      </c>
    </row>
    <row r="2115" spans="1:7" ht="12" customHeight="1">
      <c r="A2115" s="298">
        <v>36342</v>
      </c>
      <c r="B2115" s="299" t="s">
        <v>3513</v>
      </c>
      <c r="C2115" s="299">
        <v>120</v>
      </c>
      <c r="D2115" s="299">
        <f t="shared" si="67"/>
        <v>7</v>
      </c>
      <c r="E2115" s="299">
        <v>50</v>
      </c>
      <c r="F2115" s="430" t="s">
        <v>3500</v>
      </c>
      <c r="G2115" s="300" t="str">
        <f t="shared" si="68"/>
        <v>RieslingSaarland</v>
      </c>
    </row>
    <row r="2116" spans="1:7" ht="12" customHeight="1">
      <c r="A2116" s="298">
        <v>36356</v>
      </c>
      <c r="B2116" s="299" t="s">
        <v>3513</v>
      </c>
      <c r="C2116" s="299">
        <v>50</v>
      </c>
      <c r="D2116" s="299">
        <f t="shared" si="67"/>
        <v>7</v>
      </c>
      <c r="E2116" s="299">
        <v>53</v>
      </c>
      <c r="F2116" s="430" t="s">
        <v>3500</v>
      </c>
      <c r="G2116" s="300" t="str">
        <f t="shared" si="68"/>
        <v>RieslingSaarland</v>
      </c>
    </row>
    <row r="2117" spans="1:7" ht="12" customHeight="1">
      <c r="A2117" s="298">
        <v>36363</v>
      </c>
      <c r="B2117" s="299" t="s">
        <v>3513</v>
      </c>
      <c r="C2117" s="299">
        <v>150</v>
      </c>
      <c r="D2117" s="299">
        <f t="shared" si="67"/>
        <v>7</v>
      </c>
      <c r="E2117" s="299">
        <v>49</v>
      </c>
      <c r="F2117" s="430" t="s">
        <v>3500</v>
      </c>
      <c r="G2117" s="300" t="str">
        <f t="shared" si="68"/>
        <v>RieslingSaarland</v>
      </c>
    </row>
    <row r="2118" spans="1:7" ht="12" customHeight="1">
      <c r="A2118" s="298">
        <v>36371</v>
      </c>
      <c r="B2118" s="299" t="s">
        <v>3513</v>
      </c>
      <c r="C2118" s="299">
        <v>80</v>
      </c>
      <c r="D2118" s="299">
        <f t="shared" ref="D2118:D2181" si="69">MONTH(A2118)</f>
        <v>7</v>
      </c>
      <c r="E2118" s="299">
        <v>49</v>
      </c>
      <c r="F2118" s="430" t="s">
        <v>3500</v>
      </c>
      <c r="G2118" s="300" t="str">
        <f t="shared" ref="G2118:G2181" si="70">B2118&amp;F2118</f>
        <v>RieslingSaarland</v>
      </c>
    </row>
    <row r="2119" spans="1:7" ht="12" customHeight="1">
      <c r="A2119" s="298">
        <v>36379</v>
      </c>
      <c r="B2119" s="299" t="s">
        <v>3513</v>
      </c>
      <c r="C2119" s="299">
        <v>90</v>
      </c>
      <c r="D2119" s="299">
        <f t="shared" si="69"/>
        <v>8</v>
      </c>
      <c r="E2119" s="299">
        <v>50</v>
      </c>
      <c r="F2119" s="430" t="s">
        <v>3500</v>
      </c>
      <c r="G2119" s="300" t="str">
        <f t="shared" si="70"/>
        <v>RieslingSaarland</v>
      </c>
    </row>
    <row r="2120" spans="1:7" ht="12" customHeight="1">
      <c r="A2120" s="298">
        <v>36382</v>
      </c>
      <c r="B2120" s="299" t="s">
        <v>3513</v>
      </c>
      <c r="C2120" s="299">
        <v>50</v>
      </c>
      <c r="D2120" s="299">
        <f t="shared" si="69"/>
        <v>8</v>
      </c>
      <c r="E2120" s="299">
        <v>48</v>
      </c>
      <c r="F2120" s="430" t="s">
        <v>3500</v>
      </c>
      <c r="G2120" s="300" t="str">
        <f t="shared" si="70"/>
        <v>RieslingSaarland</v>
      </c>
    </row>
    <row r="2121" spans="1:7" ht="12" customHeight="1">
      <c r="A2121" s="298">
        <v>36392</v>
      </c>
      <c r="B2121" s="299" t="s">
        <v>3513</v>
      </c>
      <c r="C2121" s="299">
        <v>120</v>
      </c>
      <c r="D2121" s="299">
        <f t="shared" si="69"/>
        <v>8</v>
      </c>
      <c r="E2121" s="299">
        <v>50</v>
      </c>
      <c r="F2121" s="430" t="s">
        <v>3500</v>
      </c>
      <c r="G2121" s="300" t="str">
        <f t="shared" si="70"/>
        <v>RieslingSaarland</v>
      </c>
    </row>
    <row r="2122" spans="1:7" ht="12" customHeight="1">
      <c r="A2122" s="298">
        <v>36393</v>
      </c>
      <c r="B2122" s="299" t="s">
        <v>3513</v>
      </c>
      <c r="C2122" s="299">
        <v>80</v>
      </c>
      <c r="D2122" s="299">
        <f t="shared" si="69"/>
        <v>8</v>
      </c>
      <c r="E2122" s="299">
        <v>46</v>
      </c>
      <c r="F2122" s="430" t="s">
        <v>3500</v>
      </c>
      <c r="G2122" s="300" t="str">
        <f t="shared" si="70"/>
        <v>RieslingSaarland</v>
      </c>
    </row>
    <row r="2123" spans="1:7" ht="12" customHeight="1">
      <c r="A2123" s="298">
        <v>36395</v>
      </c>
      <c r="B2123" s="299" t="s">
        <v>3513</v>
      </c>
      <c r="C2123" s="299">
        <v>210</v>
      </c>
      <c r="D2123" s="299">
        <f t="shared" si="69"/>
        <v>8</v>
      </c>
      <c r="E2123" s="299">
        <v>45</v>
      </c>
      <c r="F2123" s="430" t="s">
        <v>3500</v>
      </c>
      <c r="G2123" s="300" t="str">
        <f t="shared" si="70"/>
        <v>RieslingSaarland</v>
      </c>
    </row>
    <row r="2124" spans="1:7" ht="12" customHeight="1">
      <c r="A2124" s="298">
        <v>36401</v>
      </c>
      <c r="B2124" s="299" t="s">
        <v>3513</v>
      </c>
      <c r="C2124" s="299">
        <v>10</v>
      </c>
      <c r="D2124" s="299">
        <f t="shared" si="69"/>
        <v>8</v>
      </c>
      <c r="E2124" s="299">
        <v>49</v>
      </c>
      <c r="F2124" s="430" t="s">
        <v>3500</v>
      </c>
      <c r="G2124" s="300" t="str">
        <f t="shared" si="70"/>
        <v>RieslingSaarland</v>
      </c>
    </row>
    <row r="2125" spans="1:7" ht="12" customHeight="1">
      <c r="A2125" s="298">
        <v>36402</v>
      </c>
      <c r="B2125" s="299" t="s">
        <v>3513</v>
      </c>
      <c r="C2125" s="299">
        <v>10</v>
      </c>
      <c r="D2125" s="299">
        <f t="shared" si="69"/>
        <v>8</v>
      </c>
      <c r="E2125" s="299">
        <v>46</v>
      </c>
      <c r="F2125" s="430" t="s">
        <v>3500</v>
      </c>
      <c r="G2125" s="300" t="str">
        <f t="shared" si="70"/>
        <v>RieslingSaarland</v>
      </c>
    </row>
    <row r="2126" spans="1:7" ht="12" customHeight="1">
      <c r="A2126" s="298">
        <v>36418</v>
      </c>
      <c r="B2126" s="299" t="s">
        <v>3513</v>
      </c>
      <c r="C2126" s="299">
        <v>50</v>
      </c>
      <c r="D2126" s="299">
        <f t="shared" si="69"/>
        <v>9</v>
      </c>
      <c r="E2126" s="299">
        <v>51</v>
      </c>
      <c r="F2126" s="430" t="s">
        <v>3500</v>
      </c>
      <c r="G2126" s="300" t="str">
        <f t="shared" si="70"/>
        <v>RieslingSaarland</v>
      </c>
    </row>
    <row r="2127" spans="1:7" ht="12" customHeight="1">
      <c r="A2127" s="298">
        <v>36436</v>
      </c>
      <c r="B2127" s="299" t="s">
        <v>3513</v>
      </c>
      <c r="C2127" s="299">
        <v>90</v>
      </c>
      <c r="D2127" s="299">
        <f t="shared" si="69"/>
        <v>10</v>
      </c>
      <c r="E2127" s="299">
        <v>45</v>
      </c>
      <c r="F2127" s="430" t="s">
        <v>3500</v>
      </c>
      <c r="G2127" s="300" t="str">
        <f t="shared" si="70"/>
        <v>RieslingSaarland</v>
      </c>
    </row>
    <row r="2128" spans="1:7" ht="12" customHeight="1">
      <c r="A2128" s="298">
        <v>36441</v>
      </c>
      <c r="B2128" s="299" t="s">
        <v>3513</v>
      </c>
      <c r="C2128" s="299">
        <v>60</v>
      </c>
      <c r="D2128" s="299">
        <f t="shared" si="69"/>
        <v>10</v>
      </c>
      <c r="E2128" s="299">
        <v>49</v>
      </c>
      <c r="F2128" s="430" t="s">
        <v>3500</v>
      </c>
      <c r="G2128" s="300" t="str">
        <f t="shared" si="70"/>
        <v>RieslingSaarland</v>
      </c>
    </row>
    <row r="2129" spans="1:7" ht="12" customHeight="1">
      <c r="A2129" s="298">
        <v>36448</v>
      </c>
      <c r="B2129" s="299" t="s">
        <v>3513</v>
      </c>
      <c r="C2129" s="299">
        <v>10</v>
      </c>
      <c r="D2129" s="299">
        <f t="shared" si="69"/>
        <v>10</v>
      </c>
      <c r="E2129" s="299">
        <v>48</v>
      </c>
      <c r="F2129" s="430" t="s">
        <v>3500</v>
      </c>
      <c r="G2129" s="300" t="str">
        <f t="shared" si="70"/>
        <v>RieslingSaarland</v>
      </c>
    </row>
    <row r="2130" spans="1:7" ht="12" customHeight="1">
      <c r="A2130" s="298">
        <v>36460</v>
      </c>
      <c r="B2130" s="299" t="s">
        <v>3513</v>
      </c>
      <c r="C2130" s="299">
        <v>120</v>
      </c>
      <c r="D2130" s="299">
        <f t="shared" si="69"/>
        <v>10</v>
      </c>
      <c r="E2130" s="299">
        <v>45</v>
      </c>
      <c r="F2130" s="430" t="s">
        <v>3500</v>
      </c>
      <c r="G2130" s="300" t="str">
        <f t="shared" si="70"/>
        <v>RieslingSaarland</v>
      </c>
    </row>
    <row r="2131" spans="1:7" ht="12" customHeight="1">
      <c r="A2131" s="298">
        <v>36466</v>
      </c>
      <c r="B2131" s="299" t="s">
        <v>3513</v>
      </c>
      <c r="C2131" s="299">
        <v>20</v>
      </c>
      <c r="D2131" s="299">
        <f t="shared" si="69"/>
        <v>11</v>
      </c>
      <c r="E2131" s="299">
        <v>53</v>
      </c>
      <c r="F2131" s="430" t="s">
        <v>3500</v>
      </c>
      <c r="G2131" s="300" t="str">
        <f t="shared" si="70"/>
        <v>RieslingSaarland</v>
      </c>
    </row>
    <row r="2132" spans="1:7" ht="12" customHeight="1">
      <c r="A2132" s="298">
        <v>36467</v>
      </c>
      <c r="B2132" s="299" t="s">
        <v>3513</v>
      </c>
      <c r="C2132" s="299">
        <v>10</v>
      </c>
      <c r="D2132" s="299">
        <f t="shared" si="69"/>
        <v>11</v>
      </c>
      <c r="E2132" s="299">
        <v>51</v>
      </c>
      <c r="F2132" s="430" t="s">
        <v>3500</v>
      </c>
      <c r="G2132" s="300" t="str">
        <f t="shared" si="70"/>
        <v>RieslingSaarland</v>
      </c>
    </row>
    <row r="2133" spans="1:7" ht="12" customHeight="1">
      <c r="A2133" s="298">
        <v>36473</v>
      </c>
      <c r="B2133" s="299" t="s">
        <v>3513</v>
      </c>
      <c r="C2133" s="299">
        <v>90</v>
      </c>
      <c r="D2133" s="299">
        <f t="shared" si="69"/>
        <v>11</v>
      </c>
      <c r="E2133" s="299">
        <v>51</v>
      </c>
      <c r="F2133" s="430" t="s">
        <v>3500</v>
      </c>
      <c r="G2133" s="300" t="str">
        <f t="shared" si="70"/>
        <v>RieslingSaarland</v>
      </c>
    </row>
    <row r="2134" spans="1:7" ht="12" customHeight="1">
      <c r="A2134" s="298">
        <v>36476</v>
      </c>
      <c r="B2134" s="299" t="s">
        <v>3513</v>
      </c>
      <c r="C2134" s="299">
        <v>60</v>
      </c>
      <c r="D2134" s="299">
        <f t="shared" si="69"/>
        <v>11</v>
      </c>
      <c r="E2134" s="299">
        <v>45</v>
      </c>
      <c r="F2134" s="430" t="s">
        <v>3500</v>
      </c>
      <c r="G2134" s="300" t="str">
        <f t="shared" si="70"/>
        <v>RieslingSaarland</v>
      </c>
    </row>
    <row r="2135" spans="1:7" ht="12" customHeight="1">
      <c r="A2135" s="298">
        <v>36483</v>
      </c>
      <c r="B2135" s="299" t="s">
        <v>3513</v>
      </c>
      <c r="C2135" s="299">
        <v>110</v>
      </c>
      <c r="D2135" s="299">
        <f t="shared" si="69"/>
        <v>11</v>
      </c>
      <c r="E2135" s="299">
        <v>51</v>
      </c>
      <c r="F2135" s="430" t="s">
        <v>3500</v>
      </c>
      <c r="G2135" s="300" t="str">
        <f t="shared" si="70"/>
        <v>RieslingSaarland</v>
      </c>
    </row>
    <row r="2136" spans="1:7" ht="12" customHeight="1">
      <c r="A2136" s="298">
        <v>36484</v>
      </c>
      <c r="B2136" s="299" t="s">
        <v>3513</v>
      </c>
      <c r="C2136" s="299">
        <v>80</v>
      </c>
      <c r="D2136" s="299">
        <f t="shared" si="69"/>
        <v>11</v>
      </c>
      <c r="E2136" s="299">
        <v>50</v>
      </c>
      <c r="F2136" s="430" t="s">
        <v>3500</v>
      </c>
      <c r="G2136" s="300" t="str">
        <f t="shared" si="70"/>
        <v>RieslingSaarland</v>
      </c>
    </row>
    <row r="2137" spans="1:7" ht="12" customHeight="1">
      <c r="A2137" s="298">
        <v>36485</v>
      </c>
      <c r="B2137" s="299" t="s">
        <v>3513</v>
      </c>
      <c r="C2137" s="299">
        <v>120</v>
      </c>
      <c r="D2137" s="299">
        <f t="shared" si="69"/>
        <v>11</v>
      </c>
      <c r="E2137" s="299">
        <v>53</v>
      </c>
      <c r="F2137" s="430" t="s">
        <v>3500</v>
      </c>
      <c r="G2137" s="300" t="str">
        <f t="shared" si="70"/>
        <v>RieslingSaarland</v>
      </c>
    </row>
    <row r="2138" spans="1:7" ht="12" customHeight="1">
      <c r="A2138" s="298">
        <v>36488</v>
      </c>
      <c r="B2138" s="299" t="s">
        <v>3513</v>
      </c>
      <c r="C2138" s="299">
        <v>80</v>
      </c>
      <c r="D2138" s="299">
        <f t="shared" si="69"/>
        <v>11</v>
      </c>
      <c r="E2138" s="299">
        <v>50</v>
      </c>
      <c r="F2138" s="430" t="s">
        <v>3500</v>
      </c>
      <c r="G2138" s="300" t="str">
        <f t="shared" si="70"/>
        <v>RieslingSaarland</v>
      </c>
    </row>
    <row r="2139" spans="1:7" ht="12" customHeight="1">
      <c r="A2139" s="298">
        <v>36488</v>
      </c>
      <c r="B2139" s="299" t="s">
        <v>3513</v>
      </c>
      <c r="C2139" s="299">
        <v>30</v>
      </c>
      <c r="D2139" s="299">
        <f t="shared" si="69"/>
        <v>11</v>
      </c>
      <c r="E2139" s="299">
        <v>45</v>
      </c>
      <c r="F2139" s="430" t="s">
        <v>3500</v>
      </c>
      <c r="G2139" s="300" t="str">
        <f t="shared" si="70"/>
        <v>RieslingSaarland</v>
      </c>
    </row>
    <row r="2140" spans="1:7" ht="12" customHeight="1">
      <c r="A2140" s="298">
        <v>36490</v>
      </c>
      <c r="B2140" s="299" t="s">
        <v>3513</v>
      </c>
      <c r="C2140" s="299">
        <v>50</v>
      </c>
      <c r="D2140" s="299">
        <f t="shared" si="69"/>
        <v>11</v>
      </c>
      <c r="E2140" s="299">
        <v>48</v>
      </c>
      <c r="F2140" s="430" t="s">
        <v>3500</v>
      </c>
      <c r="G2140" s="300" t="str">
        <f t="shared" si="70"/>
        <v>RieslingSaarland</v>
      </c>
    </row>
    <row r="2141" spans="1:7" ht="12" customHeight="1">
      <c r="A2141" s="298">
        <v>36496</v>
      </c>
      <c r="B2141" s="299" t="s">
        <v>3513</v>
      </c>
      <c r="C2141" s="299">
        <v>60</v>
      </c>
      <c r="D2141" s="299">
        <f t="shared" si="69"/>
        <v>12</v>
      </c>
      <c r="E2141" s="299">
        <v>45</v>
      </c>
      <c r="F2141" s="430" t="s">
        <v>3500</v>
      </c>
      <c r="G2141" s="300" t="str">
        <f t="shared" si="70"/>
        <v>RieslingSaarland</v>
      </c>
    </row>
    <row r="2142" spans="1:7" ht="12" customHeight="1">
      <c r="A2142" s="298">
        <v>36499</v>
      </c>
      <c r="B2142" s="299" t="s">
        <v>3513</v>
      </c>
      <c r="C2142" s="299">
        <v>110</v>
      </c>
      <c r="D2142" s="299">
        <f t="shared" si="69"/>
        <v>12</v>
      </c>
      <c r="E2142" s="299">
        <v>49</v>
      </c>
      <c r="F2142" s="430" t="s">
        <v>3500</v>
      </c>
      <c r="G2142" s="300" t="str">
        <f t="shared" si="70"/>
        <v>RieslingSaarland</v>
      </c>
    </row>
    <row r="2143" spans="1:7" ht="12" customHeight="1">
      <c r="A2143" s="298">
        <v>36501</v>
      </c>
      <c r="B2143" s="299" t="s">
        <v>3513</v>
      </c>
      <c r="C2143" s="299">
        <v>210</v>
      </c>
      <c r="D2143" s="299">
        <f t="shared" si="69"/>
        <v>12</v>
      </c>
      <c r="E2143" s="299">
        <v>53</v>
      </c>
      <c r="F2143" s="430" t="s">
        <v>3500</v>
      </c>
      <c r="G2143" s="300" t="str">
        <f t="shared" si="70"/>
        <v>RieslingSaarland</v>
      </c>
    </row>
    <row r="2144" spans="1:7" ht="12" customHeight="1">
      <c r="A2144" s="298">
        <v>36513</v>
      </c>
      <c r="B2144" s="299" t="s">
        <v>3513</v>
      </c>
      <c r="C2144" s="299">
        <v>10</v>
      </c>
      <c r="D2144" s="299">
        <f t="shared" si="69"/>
        <v>12</v>
      </c>
      <c r="E2144" s="299">
        <v>50</v>
      </c>
      <c r="F2144" s="430" t="s">
        <v>3500</v>
      </c>
      <c r="G2144" s="300" t="str">
        <f t="shared" si="70"/>
        <v>RieslingSaarland</v>
      </c>
    </row>
    <row r="2145" spans="1:7" ht="12" customHeight="1">
      <c r="A2145" s="298">
        <v>36516</v>
      </c>
      <c r="B2145" s="299" t="s">
        <v>3513</v>
      </c>
      <c r="C2145" s="299">
        <v>100</v>
      </c>
      <c r="D2145" s="299">
        <f t="shared" si="69"/>
        <v>12</v>
      </c>
      <c r="E2145" s="299">
        <v>45</v>
      </c>
      <c r="F2145" s="430" t="s">
        <v>3500</v>
      </c>
      <c r="G2145" s="300" t="str">
        <f t="shared" si="70"/>
        <v>RieslingSaarland</v>
      </c>
    </row>
    <row r="2146" spans="1:7" ht="12" customHeight="1">
      <c r="A2146" s="298">
        <v>36517</v>
      </c>
      <c r="B2146" s="299" t="s">
        <v>3513</v>
      </c>
      <c r="C2146" s="299">
        <v>110</v>
      </c>
      <c r="D2146" s="299">
        <f t="shared" si="69"/>
        <v>12</v>
      </c>
      <c r="E2146" s="299">
        <v>50</v>
      </c>
      <c r="F2146" s="430" t="s">
        <v>3500</v>
      </c>
      <c r="G2146" s="300" t="str">
        <f t="shared" si="70"/>
        <v>RieslingSaarland</v>
      </c>
    </row>
    <row r="2147" spans="1:7" ht="12" customHeight="1">
      <c r="A2147" s="298">
        <v>36217</v>
      </c>
      <c r="B2147" s="299" t="s">
        <v>3514</v>
      </c>
      <c r="C2147" s="299">
        <v>90</v>
      </c>
      <c r="D2147" s="299">
        <f t="shared" si="69"/>
        <v>2</v>
      </c>
      <c r="E2147" s="299">
        <v>54</v>
      </c>
      <c r="F2147" s="430" t="s">
        <v>3504</v>
      </c>
      <c r="G2147" s="300" t="str">
        <f t="shared" si="70"/>
        <v>RiojaBayern</v>
      </c>
    </row>
    <row r="2148" spans="1:7" ht="12" customHeight="1">
      <c r="A2148" s="298">
        <v>36239</v>
      </c>
      <c r="B2148" s="299" t="s">
        <v>3514</v>
      </c>
      <c r="C2148" s="299">
        <v>50</v>
      </c>
      <c r="D2148" s="299">
        <f t="shared" si="69"/>
        <v>3</v>
      </c>
      <c r="E2148" s="299">
        <v>48</v>
      </c>
      <c r="F2148" s="430" t="s">
        <v>3504</v>
      </c>
      <c r="G2148" s="300" t="str">
        <f t="shared" si="70"/>
        <v>RiojaBayern</v>
      </c>
    </row>
    <row r="2149" spans="1:7" ht="12" customHeight="1">
      <c r="A2149" s="298">
        <v>36317</v>
      </c>
      <c r="B2149" s="299" t="s">
        <v>3514</v>
      </c>
      <c r="C2149" s="299">
        <v>210</v>
      </c>
      <c r="D2149" s="299">
        <f t="shared" si="69"/>
        <v>6</v>
      </c>
      <c r="E2149" s="299">
        <v>53</v>
      </c>
      <c r="F2149" s="430" t="s">
        <v>3504</v>
      </c>
      <c r="G2149" s="300" t="str">
        <f t="shared" si="70"/>
        <v>RiojaBayern</v>
      </c>
    </row>
    <row r="2150" spans="1:7" ht="12" customHeight="1">
      <c r="A2150" s="298">
        <v>36318</v>
      </c>
      <c r="B2150" s="299" t="s">
        <v>3514</v>
      </c>
      <c r="C2150" s="299">
        <v>50</v>
      </c>
      <c r="D2150" s="299">
        <f t="shared" si="69"/>
        <v>6</v>
      </c>
      <c r="E2150" s="299">
        <v>53</v>
      </c>
      <c r="F2150" s="430" t="s">
        <v>3504</v>
      </c>
      <c r="G2150" s="300" t="str">
        <f t="shared" si="70"/>
        <v>RiojaBayern</v>
      </c>
    </row>
    <row r="2151" spans="1:7" ht="12" customHeight="1">
      <c r="A2151" s="298">
        <v>36235</v>
      </c>
      <c r="B2151" s="299" t="s">
        <v>3514</v>
      </c>
      <c r="C2151" s="299">
        <v>80</v>
      </c>
      <c r="D2151" s="299">
        <f t="shared" si="69"/>
        <v>3</v>
      </c>
      <c r="E2151" s="299">
        <v>51</v>
      </c>
      <c r="F2151" s="430" t="s">
        <v>3501</v>
      </c>
      <c r="G2151" s="300" t="str">
        <f t="shared" si="70"/>
        <v>RiojaBW</v>
      </c>
    </row>
    <row r="2152" spans="1:7" ht="12" customHeight="1">
      <c r="A2152" s="298">
        <v>36280</v>
      </c>
      <c r="B2152" s="299" t="s">
        <v>3514</v>
      </c>
      <c r="C2152" s="299">
        <v>40</v>
      </c>
      <c r="D2152" s="299">
        <f t="shared" si="69"/>
        <v>4</v>
      </c>
      <c r="E2152" s="299">
        <v>50</v>
      </c>
      <c r="F2152" s="430" t="s">
        <v>3501</v>
      </c>
      <c r="G2152" s="300" t="str">
        <f t="shared" si="70"/>
        <v>RiojaBW</v>
      </c>
    </row>
    <row r="2153" spans="1:7" ht="12" customHeight="1">
      <c r="A2153" s="298">
        <v>36348</v>
      </c>
      <c r="B2153" s="299" t="s">
        <v>3514</v>
      </c>
      <c r="C2153" s="299">
        <v>100</v>
      </c>
      <c r="D2153" s="299">
        <f t="shared" si="69"/>
        <v>7</v>
      </c>
      <c r="E2153" s="299">
        <v>50</v>
      </c>
      <c r="F2153" s="430" t="s">
        <v>3501</v>
      </c>
      <c r="G2153" s="300" t="str">
        <f t="shared" si="70"/>
        <v>RiojaBW</v>
      </c>
    </row>
    <row r="2154" spans="1:7" ht="12" customHeight="1">
      <c r="A2154" s="298">
        <v>36386</v>
      </c>
      <c r="B2154" s="299" t="s">
        <v>3514</v>
      </c>
      <c r="C2154" s="299">
        <v>120</v>
      </c>
      <c r="D2154" s="299">
        <f t="shared" si="69"/>
        <v>8</v>
      </c>
      <c r="E2154" s="299">
        <v>50</v>
      </c>
      <c r="F2154" s="430" t="s">
        <v>3501</v>
      </c>
      <c r="G2154" s="300" t="str">
        <f t="shared" si="70"/>
        <v>RiojaBW</v>
      </c>
    </row>
    <row r="2155" spans="1:7" ht="12" customHeight="1">
      <c r="A2155" s="298">
        <v>36427</v>
      </c>
      <c r="B2155" s="299" t="s">
        <v>3514</v>
      </c>
      <c r="C2155" s="299">
        <v>100</v>
      </c>
      <c r="D2155" s="299">
        <f t="shared" si="69"/>
        <v>9</v>
      </c>
      <c r="E2155" s="299">
        <v>50</v>
      </c>
      <c r="F2155" s="430" t="s">
        <v>3501</v>
      </c>
      <c r="G2155" s="300" t="str">
        <f t="shared" si="70"/>
        <v>RiojaBW</v>
      </c>
    </row>
    <row r="2156" spans="1:7" ht="12" customHeight="1">
      <c r="A2156" s="298">
        <v>36429</v>
      </c>
      <c r="B2156" s="299" t="s">
        <v>3514</v>
      </c>
      <c r="C2156" s="299">
        <v>70</v>
      </c>
      <c r="D2156" s="299">
        <f t="shared" si="69"/>
        <v>9</v>
      </c>
      <c r="E2156" s="299">
        <v>50</v>
      </c>
      <c r="F2156" s="430" t="s">
        <v>3501</v>
      </c>
      <c r="G2156" s="300" t="str">
        <f t="shared" si="70"/>
        <v>RiojaBW</v>
      </c>
    </row>
    <row r="2157" spans="1:7" ht="12" customHeight="1">
      <c r="A2157" s="298">
        <v>36168</v>
      </c>
      <c r="B2157" s="299" t="s">
        <v>3514</v>
      </c>
      <c r="C2157" s="299">
        <v>70</v>
      </c>
      <c r="D2157" s="299">
        <f t="shared" si="69"/>
        <v>1</v>
      </c>
      <c r="E2157" s="299">
        <v>50</v>
      </c>
      <c r="F2157" s="430" t="s">
        <v>3502</v>
      </c>
      <c r="G2157" s="300" t="str">
        <f t="shared" si="70"/>
        <v>RiojaHessen</v>
      </c>
    </row>
    <row r="2158" spans="1:7" ht="12" customHeight="1">
      <c r="A2158" s="298">
        <v>36173</v>
      </c>
      <c r="B2158" s="299" t="s">
        <v>3514</v>
      </c>
      <c r="C2158" s="299">
        <v>150</v>
      </c>
      <c r="D2158" s="299">
        <f t="shared" si="69"/>
        <v>1</v>
      </c>
      <c r="E2158" s="299">
        <v>50</v>
      </c>
      <c r="F2158" s="430" t="s">
        <v>3502</v>
      </c>
      <c r="G2158" s="300" t="str">
        <f t="shared" si="70"/>
        <v>RiojaHessen</v>
      </c>
    </row>
    <row r="2159" spans="1:7" ht="12" customHeight="1">
      <c r="A2159" s="298">
        <v>36209</v>
      </c>
      <c r="B2159" s="299" t="s">
        <v>3514</v>
      </c>
      <c r="C2159" s="299">
        <v>210</v>
      </c>
      <c r="D2159" s="299">
        <f t="shared" si="69"/>
        <v>2</v>
      </c>
      <c r="E2159" s="299">
        <v>54</v>
      </c>
      <c r="F2159" s="430" t="s">
        <v>3502</v>
      </c>
      <c r="G2159" s="300" t="str">
        <f t="shared" si="70"/>
        <v>RiojaHessen</v>
      </c>
    </row>
    <row r="2160" spans="1:7" ht="12" customHeight="1">
      <c r="A2160" s="298">
        <v>36227</v>
      </c>
      <c r="B2160" s="299" t="s">
        <v>3514</v>
      </c>
      <c r="C2160" s="299">
        <v>90</v>
      </c>
      <c r="D2160" s="299">
        <f t="shared" si="69"/>
        <v>3</v>
      </c>
      <c r="E2160" s="299">
        <v>50</v>
      </c>
      <c r="F2160" s="430" t="s">
        <v>3502</v>
      </c>
      <c r="G2160" s="300" t="str">
        <f t="shared" si="70"/>
        <v>RiojaHessen</v>
      </c>
    </row>
    <row r="2161" spans="1:7" ht="12" customHeight="1">
      <c r="A2161" s="298">
        <v>36230</v>
      </c>
      <c r="B2161" s="299" t="s">
        <v>3514</v>
      </c>
      <c r="C2161" s="299">
        <v>120</v>
      </c>
      <c r="D2161" s="299">
        <f t="shared" si="69"/>
        <v>3</v>
      </c>
      <c r="E2161" s="299">
        <v>52</v>
      </c>
      <c r="F2161" s="430" t="s">
        <v>3502</v>
      </c>
      <c r="G2161" s="300" t="str">
        <f t="shared" si="70"/>
        <v>RiojaHessen</v>
      </c>
    </row>
    <row r="2162" spans="1:7" ht="12" customHeight="1">
      <c r="A2162" s="298">
        <v>36237</v>
      </c>
      <c r="B2162" s="299" t="s">
        <v>3514</v>
      </c>
      <c r="C2162" s="299">
        <v>10</v>
      </c>
      <c r="D2162" s="299">
        <f t="shared" si="69"/>
        <v>3</v>
      </c>
      <c r="E2162" s="299">
        <v>50</v>
      </c>
      <c r="F2162" s="430" t="s">
        <v>3502</v>
      </c>
      <c r="G2162" s="300" t="str">
        <f t="shared" si="70"/>
        <v>RiojaHessen</v>
      </c>
    </row>
    <row r="2163" spans="1:7" ht="12" customHeight="1">
      <c r="A2163" s="298">
        <v>36248</v>
      </c>
      <c r="B2163" s="299" t="s">
        <v>3514</v>
      </c>
      <c r="C2163" s="299">
        <v>80</v>
      </c>
      <c r="D2163" s="299">
        <f t="shared" si="69"/>
        <v>3</v>
      </c>
      <c r="E2163" s="299">
        <v>52</v>
      </c>
      <c r="F2163" s="430" t="s">
        <v>3502</v>
      </c>
      <c r="G2163" s="300" t="str">
        <f t="shared" si="70"/>
        <v>RiojaHessen</v>
      </c>
    </row>
    <row r="2164" spans="1:7" ht="12" customHeight="1">
      <c r="A2164" s="298">
        <v>36259</v>
      </c>
      <c r="B2164" s="299" t="s">
        <v>3514</v>
      </c>
      <c r="C2164" s="299">
        <v>30</v>
      </c>
      <c r="D2164" s="299">
        <f t="shared" si="69"/>
        <v>4</v>
      </c>
      <c r="E2164" s="299">
        <v>52</v>
      </c>
      <c r="F2164" s="430" t="s">
        <v>3502</v>
      </c>
      <c r="G2164" s="300" t="str">
        <f t="shared" si="70"/>
        <v>RiojaHessen</v>
      </c>
    </row>
    <row r="2165" spans="1:7" ht="12" customHeight="1">
      <c r="A2165" s="298">
        <v>36304</v>
      </c>
      <c r="B2165" s="299" t="s">
        <v>3514</v>
      </c>
      <c r="C2165" s="299">
        <v>40</v>
      </c>
      <c r="D2165" s="299">
        <f t="shared" si="69"/>
        <v>5</v>
      </c>
      <c r="E2165" s="299">
        <v>50</v>
      </c>
      <c r="F2165" s="430" t="s">
        <v>3502</v>
      </c>
      <c r="G2165" s="300" t="str">
        <f t="shared" si="70"/>
        <v>RiojaHessen</v>
      </c>
    </row>
    <row r="2166" spans="1:7" ht="12" customHeight="1">
      <c r="A2166" s="298">
        <v>36315</v>
      </c>
      <c r="B2166" s="299" t="s">
        <v>3514</v>
      </c>
      <c r="C2166" s="299">
        <v>50</v>
      </c>
      <c r="D2166" s="299">
        <f t="shared" si="69"/>
        <v>6</v>
      </c>
      <c r="E2166" s="299">
        <v>45</v>
      </c>
      <c r="F2166" s="430" t="s">
        <v>3502</v>
      </c>
      <c r="G2166" s="300" t="str">
        <f t="shared" si="70"/>
        <v>RiojaHessen</v>
      </c>
    </row>
    <row r="2167" spans="1:7" ht="12" customHeight="1">
      <c r="A2167" s="298">
        <v>36318</v>
      </c>
      <c r="B2167" s="299" t="s">
        <v>3514</v>
      </c>
      <c r="C2167" s="299">
        <v>30</v>
      </c>
      <c r="D2167" s="299">
        <f t="shared" si="69"/>
        <v>6</v>
      </c>
      <c r="E2167" s="299">
        <v>50</v>
      </c>
      <c r="F2167" s="430" t="s">
        <v>3502</v>
      </c>
      <c r="G2167" s="300" t="str">
        <f t="shared" si="70"/>
        <v>RiojaHessen</v>
      </c>
    </row>
    <row r="2168" spans="1:7" ht="12" customHeight="1">
      <c r="A2168" s="298">
        <v>36322</v>
      </c>
      <c r="B2168" s="299" t="s">
        <v>3514</v>
      </c>
      <c r="C2168" s="299">
        <v>180</v>
      </c>
      <c r="D2168" s="299">
        <f t="shared" si="69"/>
        <v>6</v>
      </c>
      <c r="E2168" s="299">
        <v>45</v>
      </c>
      <c r="F2168" s="430" t="s">
        <v>3502</v>
      </c>
      <c r="G2168" s="300" t="str">
        <f t="shared" si="70"/>
        <v>RiojaHessen</v>
      </c>
    </row>
    <row r="2169" spans="1:7" ht="12" customHeight="1">
      <c r="A2169" s="298">
        <v>36329</v>
      </c>
      <c r="B2169" s="299" t="s">
        <v>3514</v>
      </c>
      <c r="C2169" s="299">
        <v>150</v>
      </c>
      <c r="D2169" s="299">
        <f t="shared" si="69"/>
        <v>6</v>
      </c>
      <c r="E2169" s="299">
        <v>45</v>
      </c>
      <c r="F2169" s="430" t="s">
        <v>3502</v>
      </c>
      <c r="G2169" s="300" t="str">
        <f t="shared" si="70"/>
        <v>RiojaHessen</v>
      </c>
    </row>
    <row r="2170" spans="1:7" ht="12" customHeight="1">
      <c r="A2170" s="298">
        <v>36337</v>
      </c>
      <c r="B2170" s="299" t="s">
        <v>3514</v>
      </c>
      <c r="C2170" s="299">
        <v>90</v>
      </c>
      <c r="D2170" s="299">
        <f t="shared" si="69"/>
        <v>6</v>
      </c>
      <c r="E2170" s="299">
        <v>45</v>
      </c>
      <c r="F2170" s="430" t="s">
        <v>3502</v>
      </c>
      <c r="G2170" s="300" t="str">
        <f t="shared" si="70"/>
        <v>RiojaHessen</v>
      </c>
    </row>
    <row r="2171" spans="1:7" ht="12" customHeight="1">
      <c r="A2171" s="298">
        <v>36338</v>
      </c>
      <c r="B2171" s="299" t="s">
        <v>3514</v>
      </c>
      <c r="C2171" s="299">
        <v>120</v>
      </c>
      <c r="D2171" s="299">
        <f t="shared" si="69"/>
        <v>6</v>
      </c>
      <c r="E2171" s="299">
        <v>52</v>
      </c>
      <c r="F2171" s="430" t="s">
        <v>3502</v>
      </c>
      <c r="G2171" s="300" t="str">
        <f t="shared" si="70"/>
        <v>RiojaHessen</v>
      </c>
    </row>
    <row r="2172" spans="1:7" ht="12" customHeight="1">
      <c r="A2172" s="298">
        <v>36352</v>
      </c>
      <c r="B2172" s="299" t="s">
        <v>3514</v>
      </c>
      <c r="C2172" s="299">
        <v>100</v>
      </c>
      <c r="D2172" s="299">
        <f t="shared" si="69"/>
        <v>7</v>
      </c>
      <c r="E2172" s="299">
        <v>45</v>
      </c>
      <c r="F2172" s="430" t="s">
        <v>3502</v>
      </c>
      <c r="G2172" s="300" t="str">
        <f t="shared" si="70"/>
        <v>RiojaHessen</v>
      </c>
    </row>
    <row r="2173" spans="1:7" ht="12" customHeight="1">
      <c r="A2173" s="298">
        <v>36390</v>
      </c>
      <c r="B2173" s="299" t="s">
        <v>3514</v>
      </c>
      <c r="C2173" s="299">
        <v>180</v>
      </c>
      <c r="D2173" s="299">
        <f t="shared" si="69"/>
        <v>8</v>
      </c>
      <c r="E2173" s="299">
        <v>54</v>
      </c>
      <c r="F2173" s="430" t="s">
        <v>3502</v>
      </c>
      <c r="G2173" s="300" t="str">
        <f t="shared" si="70"/>
        <v>RiojaHessen</v>
      </c>
    </row>
    <row r="2174" spans="1:7" ht="12" customHeight="1">
      <c r="A2174" s="298">
        <v>36391</v>
      </c>
      <c r="B2174" s="299" t="s">
        <v>3514</v>
      </c>
      <c r="C2174" s="299">
        <v>120</v>
      </c>
      <c r="D2174" s="299">
        <f t="shared" si="69"/>
        <v>8</v>
      </c>
      <c r="E2174" s="299">
        <v>54</v>
      </c>
      <c r="F2174" s="430" t="s">
        <v>3502</v>
      </c>
      <c r="G2174" s="300" t="str">
        <f t="shared" si="70"/>
        <v>RiojaHessen</v>
      </c>
    </row>
    <row r="2175" spans="1:7" ht="12" customHeight="1">
      <c r="A2175" s="298">
        <v>36392</v>
      </c>
      <c r="B2175" s="299" t="s">
        <v>3514</v>
      </c>
      <c r="C2175" s="299">
        <v>150</v>
      </c>
      <c r="D2175" s="299">
        <f t="shared" si="69"/>
        <v>8</v>
      </c>
      <c r="E2175" s="299">
        <v>50</v>
      </c>
      <c r="F2175" s="430" t="s">
        <v>3502</v>
      </c>
      <c r="G2175" s="300" t="str">
        <f t="shared" si="70"/>
        <v>RiojaHessen</v>
      </c>
    </row>
    <row r="2176" spans="1:7" ht="12" customHeight="1">
      <c r="A2176" s="298">
        <v>36394</v>
      </c>
      <c r="B2176" s="299" t="s">
        <v>3514</v>
      </c>
      <c r="C2176" s="299">
        <v>120</v>
      </c>
      <c r="D2176" s="299">
        <f t="shared" si="69"/>
        <v>8</v>
      </c>
      <c r="E2176" s="299">
        <v>54</v>
      </c>
      <c r="F2176" s="430" t="s">
        <v>3502</v>
      </c>
      <c r="G2176" s="300" t="str">
        <f t="shared" si="70"/>
        <v>RiojaHessen</v>
      </c>
    </row>
    <row r="2177" spans="1:7" ht="12" customHeight="1">
      <c r="A2177" s="298">
        <v>36409</v>
      </c>
      <c r="B2177" s="299" t="s">
        <v>3514</v>
      </c>
      <c r="C2177" s="299">
        <v>80</v>
      </c>
      <c r="D2177" s="299">
        <f t="shared" si="69"/>
        <v>9</v>
      </c>
      <c r="E2177" s="299">
        <v>52</v>
      </c>
      <c r="F2177" s="430" t="s">
        <v>3502</v>
      </c>
      <c r="G2177" s="300" t="str">
        <f t="shared" si="70"/>
        <v>RiojaHessen</v>
      </c>
    </row>
    <row r="2178" spans="1:7" ht="12" customHeight="1">
      <c r="A2178" s="298">
        <v>36432</v>
      </c>
      <c r="B2178" s="299" t="s">
        <v>3514</v>
      </c>
      <c r="C2178" s="299">
        <v>60</v>
      </c>
      <c r="D2178" s="299">
        <f t="shared" si="69"/>
        <v>9</v>
      </c>
      <c r="E2178" s="299">
        <v>52</v>
      </c>
      <c r="F2178" s="430" t="s">
        <v>3502</v>
      </c>
      <c r="G2178" s="300" t="str">
        <f t="shared" si="70"/>
        <v>RiojaHessen</v>
      </c>
    </row>
    <row r="2179" spans="1:7" ht="12" customHeight="1">
      <c r="A2179" s="298">
        <v>36448</v>
      </c>
      <c r="B2179" s="299" t="s">
        <v>3514</v>
      </c>
      <c r="C2179" s="299">
        <v>240</v>
      </c>
      <c r="D2179" s="299">
        <f t="shared" si="69"/>
        <v>10</v>
      </c>
      <c r="E2179" s="299">
        <v>54</v>
      </c>
      <c r="F2179" s="430" t="s">
        <v>3502</v>
      </c>
      <c r="G2179" s="300" t="str">
        <f t="shared" si="70"/>
        <v>RiojaHessen</v>
      </c>
    </row>
    <row r="2180" spans="1:7" ht="12" customHeight="1">
      <c r="A2180" s="298">
        <v>36461</v>
      </c>
      <c r="B2180" s="299" t="s">
        <v>3514</v>
      </c>
      <c r="C2180" s="299">
        <v>180</v>
      </c>
      <c r="D2180" s="299">
        <f t="shared" si="69"/>
        <v>10</v>
      </c>
      <c r="E2180" s="299">
        <v>45</v>
      </c>
      <c r="F2180" s="430" t="s">
        <v>3502</v>
      </c>
      <c r="G2180" s="300" t="str">
        <f t="shared" si="70"/>
        <v>RiojaHessen</v>
      </c>
    </row>
    <row r="2181" spans="1:7" ht="12" customHeight="1">
      <c r="A2181" s="298">
        <v>36463</v>
      </c>
      <c r="B2181" s="299" t="s">
        <v>3514</v>
      </c>
      <c r="C2181" s="299">
        <v>10</v>
      </c>
      <c r="D2181" s="299">
        <f t="shared" si="69"/>
        <v>10</v>
      </c>
      <c r="E2181" s="299">
        <v>45</v>
      </c>
      <c r="F2181" s="430" t="s">
        <v>3502</v>
      </c>
      <c r="G2181" s="300" t="str">
        <f t="shared" si="70"/>
        <v>RiojaHessen</v>
      </c>
    </row>
    <row r="2182" spans="1:7" ht="12" customHeight="1">
      <c r="A2182" s="298">
        <v>36523</v>
      </c>
      <c r="B2182" s="299" t="s">
        <v>3514</v>
      </c>
      <c r="C2182" s="299">
        <v>60</v>
      </c>
      <c r="D2182" s="299">
        <f t="shared" ref="D2182:D2245" si="71">MONTH(A2182)</f>
        <v>12</v>
      </c>
      <c r="E2182" s="299">
        <v>50</v>
      </c>
      <c r="F2182" s="430" t="s">
        <v>3502</v>
      </c>
      <c r="G2182" s="300" t="str">
        <f t="shared" ref="G2182:G2245" si="72">B2182&amp;F2182</f>
        <v>RiojaHessen</v>
      </c>
    </row>
    <row r="2183" spans="1:7" ht="12" customHeight="1">
      <c r="A2183" s="298">
        <v>36320</v>
      </c>
      <c r="B2183" s="299" t="s">
        <v>3514</v>
      </c>
      <c r="C2183" s="299">
        <v>120</v>
      </c>
      <c r="D2183" s="299">
        <f t="shared" si="71"/>
        <v>6</v>
      </c>
      <c r="E2183" s="299">
        <v>53</v>
      </c>
      <c r="F2183" s="430" t="s">
        <v>3503</v>
      </c>
      <c r="G2183" s="300" t="str">
        <f t="shared" si="72"/>
        <v>RiojaHolstein</v>
      </c>
    </row>
    <row r="2184" spans="1:7" ht="12" customHeight="1">
      <c r="A2184" s="298">
        <v>36362</v>
      </c>
      <c r="B2184" s="299" t="s">
        <v>3514</v>
      </c>
      <c r="C2184" s="299">
        <v>150</v>
      </c>
      <c r="D2184" s="299">
        <f t="shared" si="71"/>
        <v>7</v>
      </c>
      <c r="E2184" s="299">
        <v>53</v>
      </c>
      <c r="F2184" s="430" t="s">
        <v>3503</v>
      </c>
      <c r="G2184" s="300" t="str">
        <f t="shared" si="72"/>
        <v>RiojaHolstein</v>
      </c>
    </row>
    <row r="2185" spans="1:7" ht="12" customHeight="1">
      <c r="A2185" s="298">
        <v>36365</v>
      </c>
      <c r="B2185" s="299" t="s">
        <v>3514</v>
      </c>
      <c r="C2185" s="299">
        <v>10</v>
      </c>
      <c r="D2185" s="299">
        <f t="shared" si="71"/>
        <v>7</v>
      </c>
      <c r="E2185" s="299">
        <v>48</v>
      </c>
      <c r="F2185" s="430" t="s">
        <v>3503</v>
      </c>
      <c r="G2185" s="300" t="str">
        <f t="shared" si="72"/>
        <v>RiojaHolstein</v>
      </c>
    </row>
    <row r="2186" spans="1:7" ht="12" customHeight="1">
      <c r="A2186" s="298">
        <v>36212</v>
      </c>
      <c r="B2186" s="299" t="s">
        <v>3514</v>
      </c>
      <c r="C2186" s="299">
        <v>90</v>
      </c>
      <c r="D2186" s="299">
        <f t="shared" si="71"/>
        <v>2</v>
      </c>
      <c r="E2186" s="299">
        <v>50</v>
      </c>
      <c r="F2186" s="430" t="s">
        <v>3497</v>
      </c>
      <c r="G2186" s="300" t="str">
        <f t="shared" si="72"/>
        <v>RiojaNRW</v>
      </c>
    </row>
    <row r="2187" spans="1:7" ht="12" customHeight="1">
      <c r="A2187" s="298">
        <v>36299</v>
      </c>
      <c r="B2187" s="299" t="s">
        <v>3514</v>
      </c>
      <c r="C2187" s="299">
        <v>150</v>
      </c>
      <c r="D2187" s="299">
        <f t="shared" si="71"/>
        <v>5</v>
      </c>
      <c r="E2187" s="299">
        <v>50</v>
      </c>
      <c r="F2187" s="430" t="s">
        <v>3497</v>
      </c>
      <c r="G2187" s="300" t="str">
        <f t="shared" si="72"/>
        <v>RiojaNRW</v>
      </c>
    </row>
    <row r="2188" spans="1:7" ht="12" customHeight="1">
      <c r="A2188" s="298">
        <v>36342</v>
      </c>
      <c r="B2188" s="299" t="s">
        <v>3514</v>
      </c>
      <c r="C2188" s="299">
        <v>80</v>
      </c>
      <c r="D2188" s="299">
        <f t="shared" si="71"/>
        <v>7</v>
      </c>
      <c r="E2188" s="299">
        <v>50</v>
      </c>
      <c r="F2188" s="430" t="s">
        <v>3497</v>
      </c>
      <c r="G2188" s="300" t="str">
        <f t="shared" si="72"/>
        <v>RiojaNRW</v>
      </c>
    </row>
    <row r="2189" spans="1:7" ht="12" customHeight="1">
      <c r="A2189" s="298">
        <v>36354</v>
      </c>
      <c r="B2189" s="299" t="s">
        <v>3514</v>
      </c>
      <c r="C2189" s="299">
        <v>210</v>
      </c>
      <c r="D2189" s="299">
        <f t="shared" si="71"/>
        <v>7</v>
      </c>
      <c r="E2189" s="299">
        <v>45</v>
      </c>
      <c r="F2189" s="430" t="s">
        <v>3497</v>
      </c>
      <c r="G2189" s="300" t="str">
        <f t="shared" si="72"/>
        <v>RiojaNRW</v>
      </c>
    </row>
    <row r="2190" spans="1:7" ht="12" customHeight="1">
      <c r="A2190" s="298">
        <v>36367</v>
      </c>
      <c r="B2190" s="299" t="s">
        <v>3514</v>
      </c>
      <c r="C2190" s="299">
        <v>90</v>
      </c>
      <c r="D2190" s="299">
        <f t="shared" si="71"/>
        <v>7</v>
      </c>
      <c r="E2190" s="299">
        <v>50</v>
      </c>
      <c r="F2190" s="430" t="s">
        <v>3497</v>
      </c>
      <c r="G2190" s="300" t="str">
        <f t="shared" si="72"/>
        <v>RiojaNRW</v>
      </c>
    </row>
    <row r="2191" spans="1:7" ht="12" customHeight="1">
      <c r="A2191" s="298">
        <v>36414</v>
      </c>
      <c r="B2191" s="299" t="s">
        <v>3514</v>
      </c>
      <c r="C2191" s="299">
        <v>150</v>
      </c>
      <c r="D2191" s="299">
        <f t="shared" si="71"/>
        <v>9</v>
      </c>
      <c r="E2191" s="299">
        <v>46</v>
      </c>
      <c r="F2191" s="430" t="s">
        <v>3497</v>
      </c>
      <c r="G2191" s="300" t="str">
        <f t="shared" si="72"/>
        <v>RiojaNRW</v>
      </c>
    </row>
    <row r="2192" spans="1:7" ht="12" customHeight="1">
      <c r="A2192" s="298">
        <v>36419</v>
      </c>
      <c r="B2192" s="299" t="s">
        <v>3514</v>
      </c>
      <c r="C2192" s="299">
        <v>210</v>
      </c>
      <c r="D2192" s="299">
        <f t="shared" si="71"/>
        <v>9</v>
      </c>
      <c r="E2192" s="299">
        <v>46</v>
      </c>
      <c r="F2192" s="430" t="s">
        <v>3497</v>
      </c>
      <c r="G2192" s="300" t="str">
        <f t="shared" si="72"/>
        <v>RiojaNRW</v>
      </c>
    </row>
    <row r="2193" spans="1:7" ht="12" customHeight="1">
      <c r="A2193" s="298">
        <v>36430</v>
      </c>
      <c r="B2193" s="299" t="s">
        <v>3514</v>
      </c>
      <c r="C2193" s="299">
        <v>180</v>
      </c>
      <c r="D2193" s="299">
        <f t="shared" si="71"/>
        <v>9</v>
      </c>
      <c r="E2193" s="299">
        <v>53</v>
      </c>
      <c r="F2193" s="430" t="s">
        <v>3497</v>
      </c>
      <c r="G2193" s="300" t="str">
        <f t="shared" si="72"/>
        <v>RiojaNRW</v>
      </c>
    </row>
    <row r="2194" spans="1:7" ht="12" customHeight="1">
      <c r="A2194" s="298">
        <v>36457</v>
      </c>
      <c r="B2194" s="299" t="s">
        <v>3514</v>
      </c>
      <c r="C2194" s="299">
        <v>10</v>
      </c>
      <c r="D2194" s="299">
        <f t="shared" si="71"/>
        <v>10</v>
      </c>
      <c r="E2194" s="299">
        <v>48</v>
      </c>
      <c r="F2194" s="430" t="s">
        <v>3497</v>
      </c>
      <c r="G2194" s="300" t="str">
        <f t="shared" si="72"/>
        <v>RiojaNRW</v>
      </c>
    </row>
    <row r="2195" spans="1:7" ht="12" customHeight="1">
      <c r="A2195" s="298">
        <v>36320</v>
      </c>
      <c r="B2195" s="299" t="s">
        <v>3514</v>
      </c>
      <c r="C2195" s="299">
        <v>60</v>
      </c>
      <c r="D2195" s="299">
        <f t="shared" si="71"/>
        <v>6</v>
      </c>
      <c r="E2195" s="299">
        <v>52</v>
      </c>
      <c r="F2195" s="430" t="s">
        <v>3499</v>
      </c>
      <c r="G2195" s="300" t="str">
        <f t="shared" si="72"/>
        <v>RiojaPfalz</v>
      </c>
    </row>
    <row r="2196" spans="1:7" ht="12" customHeight="1">
      <c r="A2196" s="298">
        <v>36320</v>
      </c>
      <c r="B2196" s="299" t="s">
        <v>3514</v>
      </c>
      <c r="C2196" s="299">
        <v>60</v>
      </c>
      <c r="D2196" s="299">
        <f t="shared" si="71"/>
        <v>6</v>
      </c>
      <c r="E2196" s="299">
        <v>46</v>
      </c>
      <c r="F2196" s="430" t="s">
        <v>3499</v>
      </c>
      <c r="G2196" s="300" t="str">
        <f t="shared" si="72"/>
        <v>RiojaPfalz</v>
      </c>
    </row>
    <row r="2197" spans="1:7" ht="12" customHeight="1">
      <c r="A2197" s="298">
        <v>36327</v>
      </c>
      <c r="B2197" s="299" t="s">
        <v>3514</v>
      </c>
      <c r="C2197" s="299">
        <v>20</v>
      </c>
      <c r="D2197" s="299">
        <f t="shared" si="71"/>
        <v>6</v>
      </c>
      <c r="E2197" s="299">
        <v>52</v>
      </c>
      <c r="F2197" s="430" t="s">
        <v>3499</v>
      </c>
      <c r="G2197" s="300" t="str">
        <f t="shared" si="72"/>
        <v>RiojaPfalz</v>
      </c>
    </row>
    <row r="2198" spans="1:7" ht="12" customHeight="1">
      <c r="A2198" s="298">
        <v>36330</v>
      </c>
      <c r="B2198" s="299" t="s">
        <v>3514</v>
      </c>
      <c r="C2198" s="299">
        <v>210</v>
      </c>
      <c r="D2198" s="299">
        <f t="shared" si="71"/>
        <v>6</v>
      </c>
      <c r="E2198" s="299">
        <v>52</v>
      </c>
      <c r="F2198" s="430" t="s">
        <v>3499</v>
      </c>
      <c r="G2198" s="300" t="str">
        <f t="shared" si="72"/>
        <v>RiojaPfalz</v>
      </c>
    </row>
    <row r="2199" spans="1:7" ht="12" customHeight="1">
      <c r="A2199" s="298">
        <v>36457</v>
      </c>
      <c r="B2199" s="299" t="s">
        <v>3514</v>
      </c>
      <c r="C2199" s="299">
        <v>50</v>
      </c>
      <c r="D2199" s="299">
        <f t="shared" si="71"/>
        <v>10</v>
      </c>
      <c r="E2199" s="299">
        <v>46</v>
      </c>
      <c r="F2199" s="430" t="s">
        <v>3499</v>
      </c>
      <c r="G2199" s="300" t="str">
        <f t="shared" si="72"/>
        <v>RiojaPfalz</v>
      </c>
    </row>
    <row r="2200" spans="1:7" ht="12" customHeight="1">
      <c r="A2200" s="298">
        <v>36245</v>
      </c>
      <c r="B2200" s="299" t="s">
        <v>3515</v>
      </c>
      <c r="C2200" s="299">
        <v>100</v>
      </c>
      <c r="D2200" s="299">
        <f t="shared" si="71"/>
        <v>3</v>
      </c>
      <c r="E2200" s="299">
        <v>54</v>
      </c>
      <c r="F2200" s="430" t="s">
        <v>3504</v>
      </c>
      <c r="G2200" s="300" t="str">
        <f t="shared" si="72"/>
        <v>SoaveBayern</v>
      </c>
    </row>
    <row r="2201" spans="1:7" ht="12" customHeight="1">
      <c r="A2201" s="298">
        <v>36281</v>
      </c>
      <c r="B2201" s="299" t="s">
        <v>3515</v>
      </c>
      <c r="C2201" s="299">
        <v>180</v>
      </c>
      <c r="D2201" s="299">
        <f t="shared" si="71"/>
        <v>5</v>
      </c>
      <c r="E2201" s="299">
        <v>48</v>
      </c>
      <c r="F2201" s="430" t="s">
        <v>3504</v>
      </c>
      <c r="G2201" s="300" t="str">
        <f t="shared" si="72"/>
        <v>SoaveBayern</v>
      </c>
    </row>
    <row r="2202" spans="1:7" ht="12" customHeight="1">
      <c r="A2202" s="298">
        <v>36434</v>
      </c>
      <c r="B2202" s="299" t="s">
        <v>3515</v>
      </c>
      <c r="C2202" s="299">
        <v>60</v>
      </c>
      <c r="D2202" s="299">
        <f t="shared" si="71"/>
        <v>10</v>
      </c>
      <c r="E2202" s="299">
        <v>49</v>
      </c>
      <c r="F2202" s="430" t="s">
        <v>3504</v>
      </c>
      <c r="G2202" s="300" t="str">
        <f t="shared" si="72"/>
        <v>SoaveBayern</v>
      </c>
    </row>
    <row r="2203" spans="1:7" ht="12" customHeight="1">
      <c r="A2203" s="298">
        <v>36171</v>
      </c>
      <c r="B2203" s="299" t="s">
        <v>3515</v>
      </c>
      <c r="C2203" s="299">
        <v>50</v>
      </c>
      <c r="D2203" s="299">
        <f t="shared" si="71"/>
        <v>1</v>
      </c>
      <c r="E2203" s="299">
        <v>54</v>
      </c>
      <c r="F2203" s="430" t="s">
        <v>3501</v>
      </c>
      <c r="G2203" s="300" t="str">
        <f t="shared" si="72"/>
        <v>SoaveBW</v>
      </c>
    </row>
    <row r="2204" spans="1:7" ht="12" customHeight="1">
      <c r="A2204" s="298">
        <v>36249</v>
      </c>
      <c r="B2204" s="299" t="s">
        <v>3515</v>
      </c>
      <c r="C2204" s="299">
        <v>150</v>
      </c>
      <c r="D2204" s="299">
        <f t="shared" si="71"/>
        <v>3</v>
      </c>
      <c r="E2204" s="299">
        <v>50</v>
      </c>
      <c r="F2204" s="430" t="s">
        <v>3501</v>
      </c>
      <c r="G2204" s="300" t="str">
        <f t="shared" si="72"/>
        <v>SoaveBW</v>
      </c>
    </row>
    <row r="2205" spans="1:7" ht="12" customHeight="1">
      <c r="A2205" s="298">
        <v>36262</v>
      </c>
      <c r="B2205" s="299" t="s">
        <v>3515</v>
      </c>
      <c r="C2205" s="299">
        <v>20</v>
      </c>
      <c r="D2205" s="299">
        <f t="shared" si="71"/>
        <v>4</v>
      </c>
      <c r="E2205" s="299">
        <v>46</v>
      </c>
      <c r="F2205" s="430" t="s">
        <v>3501</v>
      </c>
      <c r="G2205" s="300" t="str">
        <f t="shared" si="72"/>
        <v>SoaveBW</v>
      </c>
    </row>
    <row r="2206" spans="1:7" ht="12" customHeight="1">
      <c r="A2206" s="298">
        <v>36268</v>
      </c>
      <c r="B2206" s="299" t="s">
        <v>3515</v>
      </c>
      <c r="C2206" s="299">
        <v>100</v>
      </c>
      <c r="D2206" s="299">
        <f t="shared" si="71"/>
        <v>4</v>
      </c>
      <c r="E2206" s="299">
        <v>51</v>
      </c>
      <c r="F2206" s="430" t="s">
        <v>3501</v>
      </c>
      <c r="G2206" s="300" t="str">
        <f t="shared" si="72"/>
        <v>SoaveBW</v>
      </c>
    </row>
    <row r="2207" spans="1:7" ht="12" customHeight="1">
      <c r="A2207" s="298">
        <v>36318</v>
      </c>
      <c r="B2207" s="299" t="s">
        <v>3515</v>
      </c>
      <c r="C2207" s="299">
        <v>120</v>
      </c>
      <c r="D2207" s="299">
        <f t="shared" si="71"/>
        <v>6</v>
      </c>
      <c r="E2207" s="299">
        <v>50</v>
      </c>
      <c r="F2207" s="430" t="s">
        <v>3501</v>
      </c>
      <c r="G2207" s="300" t="str">
        <f t="shared" si="72"/>
        <v>SoaveBW</v>
      </c>
    </row>
    <row r="2208" spans="1:7" ht="12" customHeight="1">
      <c r="A2208" s="298">
        <v>36332</v>
      </c>
      <c r="B2208" s="299" t="s">
        <v>3515</v>
      </c>
      <c r="C2208" s="299">
        <v>90</v>
      </c>
      <c r="D2208" s="299">
        <f t="shared" si="71"/>
        <v>6</v>
      </c>
      <c r="E2208" s="299">
        <v>54</v>
      </c>
      <c r="F2208" s="430" t="s">
        <v>3501</v>
      </c>
      <c r="G2208" s="300" t="str">
        <f t="shared" si="72"/>
        <v>SoaveBW</v>
      </c>
    </row>
    <row r="2209" spans="1:7" ht="12" customHeight="1">
      <c r="A2209" s="298">
        <v>36334</v>
      </c>
      <c r="B2209" s="299" t="s">
        <v>3515</v>
      </c>
      <c r="C2209" s="299">
        <v>40</v>
      </c>
      <c r="D2209" s="299">
        <f t="shared" si="71"/>
        <v>6</v>
      </c>
      <c r="E2209" s="299">
        <v>50</v>
      </c>
      <c r="F2209" s="430" t="s">
        <v>3501</v>
      </c>
      <c r="G2209" s="300" t="str">
        <f t="shared" si="72"/>
        <v>SoaveBW</v>
      </c>
    </row>
    <row r="2210" spans="1:7" ht="12" customHeight="1">
      <c r="A2210" s="298">
        <v>36350</v>
      </c>
      <c r="B2210" s="299" t="s">
        <v>3515</v>
      </c>
      <c r="C2210" s="299">
        <v>150</v>
      </c>
      <c r="D2210" s="299">
        <f t="shared" si="71"/>
        <v>7</v>
      </c>
      <c r="E2210" s="299">
        <v>53</v>
      </c>
      <c r="F2210" s="430" t="s">
        <v>3501</v>
      </c>
      <c r="G2210" s="300" t="str">
        <f t="shared" si="72"/>
        <v>SoaveBW</v>
      </c>
    </row>
    <row r="2211" spans="1:7" ht="12" customHeight="1">
      <c r="A2211" s="298">
        <v>36364</v>
      </c>
      <c r="B2211" s="299" t="s">
        <v>3515</v>
      </c>
      <c r="C2211" s="299">
        <v>120</v>
      </c>
      <c r="D2211" s="299">
        <f t="shared" si="71"/>
        <v>7</v>
      </c>
      <c r="E2211" s="299">
        <v>46</v>
      </c>
      <c r="F2211" s="430" t="s">
        <v>3501</v>
      </c>
      <c r="G2211" s="300" t="str">
        <f t="shared" si="72"/>
        <v>SoaveBW</v>
      </c>
    </row>
    <row r="2212" spans="1:7" ht="12" customHeight="1">
      <c r="A2212" s="298">
        <v>36371</v>
      </c>
      <c r="B2212" s="299" t="s">
        <v>3515</v>
      </c>
      <c r="C2212" s="299">
        <v>240</v>
      </c>
      <c r="D2212" s="299">
        <f t="shared" si="71"/>
        <v>7</v>
      </c>
      <c r="E2212" s="299">
        <v>48</v>
      </c>
      <c r="F2212" s="430" t="s">
        <v>3501</v>
      </c>
      <c r="G2212" s="300" t="str">
        <f t="shared" si="72"/>
        <v>SoaveBW</v>
      </c>
    </row>
    <row r="2213" spans="1:7" ht="12" customHeight="1">
      <c r="A2213" s="298">
        <v>36420</v>
      </c>
      <c r="B2213" s="299" t="s">
        <v>3515</v>
      </c>
      <c r="C2213" s="299">
        <v>50</v>
      </c>
      <c r="D2213" s="299">
        <f t="shared" si="71"/>
        <v>9</v>
      </c>
      <c r="E2213" s="299">
        <v>48</v>
      </c>
      <c r="F2213" s="430" t="s">
        <v>3501</v>
      </c>
      <c r="G2213" s="300" t="str">
        <f t="shared" si="72"/>
        <v>SoaveBW</v>
      </c>
    </row>
    <row r="2214" spans="1:7" ht="12" customHeight="1">
      <c r="A2214" s="298">
        <v>36468</v>
      </c>
      <c r="B2214" s="299" t="s">
        <v>3515</v>
      </c>
      <c r="C2214" s="299">
        <v>20</v>
      </c>
      <c r="D2214" s="299">
        <f t="shared" si="71"/>
        <v>11</v>
      </c>
      <c r="E2214" s="299">
        <v>53</v>
      </c>
      <c r="F2214" s="430" t="s">
        <v>3501</v>
      </c>
      <c r="G2214" s="300" t="str">
        <f t="shared" si="72"/>
        <v>SoaveBW</v>
      </c>
    </row>
    <row r="2215" spans="1:7" ht="12" customHeight="1">
      <c r="A2215" s="298">
        <v>36483</v>
      </c>
      <c r="B2215" s="299" t="s">
        <v>3515</v>
      </c>
      <c r="C2215" s="299">
        <v>100</v>
      </c>
      <c r="D2215" s="299">
        <f t="shared" si="71"/>
        <v>11</v>
      </c>
      <c r="E2215" s="299">
        <v>48</v>
      </c>
      <c r="F2215" s="430" t="s">
        <v>3501</v>
      </c>
      <c r="G2215" s="300" t="str">
        <f t="shared" si="72"/>
        <v>SoaveBW</v>
      </c>
    </row>
    <row r="2216" spans="1:7" ht="12" customHeight="1">
      <c r="A2216" s="298">
        <v>36486</v>
      </c>
      <c r="B2216" s="299" t="s">
        <v>3515</v>
      </c>
      <c r="C2216" s="299">
        <v>90</v>
      </c>
      <c r="D2216" s="299">
        <f t="shared" si="71"/>
        <v>11</v>
      </c>
      <c r="E2216" s="299">
        <v>48</v>
      </c>
      <c r="F2216" s="430" t="s">
        <v>3501</v>
      </c>
      <c r="G2216" s="300" t="str">
        <f t="shared" si="72"/>
        <v>SoaveBW</v>
      </c>
    </row>
    <row r="2217" spans="1:7" ht="12" customHeight="1">
      <c r="A2217" s="298">
        <v>36493</v>
      </c>
      <c r="B2217" s="299" t="s">
        <v>3515</v>
      </c>
      <c r="C2217" s="299">
        <v>10</v>
      </c>
      <c r="D2217" s="299">
        <f t="shared" si="71"/>
        <v>11</v>
      </c>
      <c r="E2217" s="299">
        <v>48</v>
      </c>
      <c r="F2217" s="430" t="s">
        <v>3501</v>
      </c>
      <c r="G2217" s="300" t="str">
        <f t="shared" si="72"/>
        <v>SoaveBW</v>
      </c>
    </row>
    <row r="2218" spans="1:7" ht="12" customHeight="1">
      <c r="A2218" s="298">
        <v>36510</v>
      </c>
      <c r="B2218" s="299" t="s">
        <v>3515</v>
      </c>
      <c r="C2218" s="299">
        <v>210</v>
      </c>
      <c r="D2218" s="299">
        <f t="shared" si="71"/>
        <v>12</v>
      </c>
      <c r="E2218" s="299">
        <v>53</v>
      </c>
      <c r="F2218" s="430" t="s">
        <v>3501</v>
      </c>
      <c r="G2218" s="300" t="str">
        <f t="shared" si="72"/>
        <v>SoaveBW</v>
      </c>
    </row>
    <row r="2219" spans="1:7" ht="12" customHeight="1">
      <c r="A2219" s="298">
        <v>36287</v>
      </c>
      <c r="B2219" s="299" t="s">
        <v>3515</v>
      </c>
      <c r="C2219" s="299">
        <v>80</v>
      </c>
      <c r="D2219" s="299">
        <f t="shared" si="71"/>
        <v>5</v>
      </c>
      <c r="E2219" s="299">
        <v>50</v>
      </c>
      <c r="F2219" s="430" t="s">
        <v>3502</v>
      </c>
      <c r="G2219" s="300" t="str">
        <f t="shared" si="72"/>
        <v>SoaveHessen</v>
      </c>
    </row>
    <row r="2220" spans="1:7" ht="12" customHeight="1">
      <c r="A2220" s="298">
        <v>36297</v>
      </c>
      <c r="B2220" s="299" t="s">
        <v>3515</v>
      </c>
      <c r="C2220" s="299">
        <v>150</v>
      </c>
      <c r="D2220" s="299">
        <f t="shared" si="71"/>
        <v>5</v>
      </c>
      <c r="E2220" s="299">
        <v>50</v>
      </c>
      <c r="F2220" s="430" t="s">
        <v>3502</v>
      </c>
      <c r="G2220" s="300" t="str">
        <f t="shared" si="72"/>
        <v>SoaveHessen</v>
      </c>
    </row>
    <row r="2221" spans="1:7" ht="12" customHeight="1">
      <c r="A2221" s="298">
        <v>36393</v>
      </c>
      <c r="B2221" s="299" t="s">
        <v>3515</v>
      </c>
      <c r="C2221" s="299">
        <v>150</v>
      </c>
      <c r="D2221" s="299">
        <f t="shared" si="71"/>
        <v>8</v>
      </c>
      <c r="E2221" s="299">
        <v>50</v>
      </c>
      <c r="F2221" s="430" t="s">
        <v>3502</v>
      </c>
      <c r="G2221" s="300" t="str">
        <f t="shared" si="72"/>
        <v>SoaveHessen</v>
      </c>
    </row>
    <row r="2222" spans="1:7" ht="12" customHeight="1">
      <c r="A2222" s="298">
        <v>36202</v>
      </c>
      <c r="B2222" s="299" t="s">
        <v>3515</v>
      </c>
      <c r="C2222" s="299">
        <v>120</v>
      </c>
      <c r="D2222" s="299">
        <f t="shared" si="71"/>
        <v>2</v>
      </c>
      <c r="E2222" s="299">
        <v>49</v>
      </c>
      <c r="F2222" s="430" t="s">
        <v>3503</v>
      </c>
      <c r="G2222" s="300" t="str">
        <f t="shared" si="72"/>
        <v>SoaveHolstein</v>
      </c>
    </row>
    <row r="2223" spans="1:7" ht="12" customHeight="1">
      <c r="A2223" s="298">
        <v>36219</v>
      </c>
      <c r="B2223" s="299" t="s">
        <v>3515</v>
      </c>
      <c r="C2223" s="299">
        <v>30</v>
      </c>
      <c r="D2223" s="299">
        <f t="shared" si="71"/>
        <v>2</v>
      </c>
      <c r="E2223" s="299">
        <v>49</v>
      </c>
      <c r="F2223" s="430" t="s">
        <v>3503</v>
      </c>
      <c r="G2223" s="300" t="str">
        <f t="shared" si="72"/>
        <v>SoaveHolstein</v>
      </c>
    </row>
    <row r="2224" spans="1:7" ht="12" customHeight="1">
      <c r="A2224" s="298">
        <v>36226</v>
      </c>
      <c r="B2224" s="299" t="s">
        <v>3515</v>
      </c>
      <c r="C2224" s="299">
        <v>60</v>
      </c>
      <c r="D2224" s="299">
        <f t="shared" si="71"/>
        <v>3</v>
      </c>
      <c r="E2224" s="299">
        <v>50</v>
      </c>
      <c r="F2224" s="430" t="s">
        <v>3503</v>
      </c>
      <c r="G2224" s="300" t="str">
        <f t="shared" si="72"/>
        <v>SoaveHolstein</v>
      </c>
    </row>
    <row r="2225" spans="1:7" ht="12" customHeight="1">
      <c r="A2225" s="298">
        <v>36246</v>
      </c>
      <c r="B2225" s="299" t="s">
        <v>3515</v>
      </c>
      <c r="C2225" s="299">
        <v>100</v>
      </c>
      <c r="D2225" s="299">
        <f t="shared" si="71"/>
        <v>3</v>
      </c>
      <c r="E2225" s="299">
        <v>50</v>
      </c>
      <c r="F2225" s="430" t="s">
        <v>3503</v>
      </c>
      <c r="G2225" s="300" t="str">
        <f t="shared" si="72"/>
        <v>SoaveHolstein</v>
      </c>
    </row>
    <row r="2226" spans="1:7" ht="12" customHeight="1">
      <c r="A2226" s="298">
        <v>36279</v>
      </c>
      <c r="B2226" s="299" t="s">
        <v>3515</v>
      </c>
      <c r="C2226" s="299">
        <v>90</v>
      </c>
      <c r="D2226" s="299">
        <f t="shared" si="71"/>
        <v>4</v>
      </c>
      <c r="E2226" s="299">
        <v>53</v>
      </c>
      <c r="F2226" s="430" t="s">
        <v>3503</v>
      </c>
      <c r="G2226" s="300" t="str">
        <f t="shared" si="72"/>
        <v>SoaveHolstein</v>
      </c>
    </row>
    <row r="2227" spans="1:7" ht="12" customHeight="1">
      <c r="A2227" s="298">
        <v>36280</v>
      </c>
      <c r="B2227" s="299" t="s">
        <v>3515</v>
      </c>
      <c r="C2227" s="299">
        <v>90</v>
      </c>
      <c r="D2227" s="299">
        <f t="shared" si="71"/>
        <v>4</v>
      </c>
      <c r="E2227" s="299">
        <v>53</v>
      </c>
      <c r="F2227" s="430" t="s">
        <v>3503</v>
      </c>
      <c r="G2227" s="300" t="str">
        <f t="shared" si="72"/>
        <v>SoaveHolstein</v>
      </c>
    </row>
    <row r="2228" spans="1:7" ht="12" customHeight="1">
      <c r="A2228" s="298">
        <v>36308</v>
      </c>
      <c r="B2228" s="299" t="s">
        <v>3515</v>
      </c>
      <c r="C2228" s="299">
        <v>30</v>
      </c>
      <c r="D2228" s="299">
        <f t="shared" si="71"/>
        <v>5</v>
      </c>
      <c r="E2228" s="299">
        <v>49</v>
      </c>
      <c r="F2228" s="430" t="s">
        <v>3503</v>
      </c>
      <c r="G2228" s="300" t="str">
        <f t="shared" si="72"/>
        <v>SoaveHolstein</v>
      </c>
    </row>
    <row r="2229" spans="1:7" ht="12" customHeight="1">
      <c r="A2229" s="298">
        <v>36285</v>
      </c>
      <c r="B2229" s="299" t="s">
        <v>3515</v>
      </c>
      <c r="C2229" s="299">
        <v>180</v>
      </c>
      <c r="D2229" s="299">
        <f t="shared" si="71"/>
        <v>5</v>
      </c>
      <c r="E2229" s="299">
        <v>48</v>
      </c>
      <c r="F2229" s="430" t="s">
        <v>3497</v>
      </c>
      <c r="G2229" s="300" t="str">
        <f t="shared" si="72"/>
        <v>SoaveNRW</v>
      </c>
    </row>
    <row r="2230" spans="1:7" ht="12" customHeight="1">
      <c r="A2230" s="298">
        <v>36336</v>
      </c>
      <c r="B2230" s="299" t="s">
        <v>3515</v>
      </c>
      <c r="C2230" s="299">
        <v>90</v>
      </c>
      <c r="D2230" s="299">
        <f t="shared" si="71"/>
        <v>6</v>
      </c>
      <c r="E2230" s="299">
        <v>53</v>
      </c>
      <c r="F2230" s="430" t="s">
        <v>3497</v>
      </c>
      <c r="G2230" s="300" t="str">
        <f t="shared" si="72"/>
        <v>SoaveNRW</v>
      </c>
    </row>
    <row r="2231" spans="1:7" ht="12" customHeight="1">
      <c r="A2231" s="298">
        <v>36344</v>
      </c>
      <c r="B2231" s="299" t="s">
        <v>3515</v>
      </c>
      <c r="C2231" s="299">
        <v>180</v>
      </c>
      <c r="D2231" s="299">
        <f t="shared" si="71"/>
        <v>7</v>
      </c>
      <c r="E2231" s="299">
        <v>46</v>
      </c>
      <c r="F2231" s="430" t="s">
        <v>3497</v>
      </c>
      <c r="G2231" s="300" t="str">
        <f t="shared" si="72"/>
        <v>SoaveNRW</v>
      </c>
    </row>
    <row r="2232" spans="1:7" ht="12" customHeight="1">
      <c r="A2232" s="298">
        <v>36347</v>
      </c>
      <c r="B2232" s="299" t="s">
        <v>3515</v>
      </c>
      <c r="C2232" s="299">
        <v>30</v>
      </c>
      <c r="D2232" s="299">
        <f t="shared" si="71"/>
        <v>7</v>
      </c>
      <c r="E2232" s="299">
        <v>54</v>
      </c>
      <c r="F2232" s="430" t="s">
        <v>3497</v>
      </c>
      <c r="G2232" s="300" t="str">
        <f t="shared" si="72"/>
        <v>SoaveNRW</v>
      </c>
    </row>
    <row r="2233" spans="1:7" ht="12" customHeight="1">
      <c r="A2233" s="298">
        <v>36354</v>
      </c>
      <c r="B2233" s="299" t="s">
        <v>3515</v>
      </c>
      <c r="C2233" s="299">
        <v>50</v>
      </c>
      <c r="D2233" s="299">
        <f t="shared" si="71"/>
        <v>7</v>
      </c>
      <c r="E2233" s="299">
        <v>46</v>
      </c>
      <c r="F2233" s="430" t="s">
        <v>3497</v>
      </c>
      <c r="G2233" s="300" t="str">
        <f t="shared" si="72"/>
        <v>SoaveNRW</v>
      </c>
    </row>
    <row r="2234" spans="1:7" ht="12" customHeight="1">
      <c r="A2234" s="298">
        <v>36357</v>
      </c>
      <c r="B2234" s="299" t="s">
        <v>3515</v>
      </c>
      <c r="C2234" s="299">
        <v>210</v>
      </c>
      <c r="D2234" s="299">
        <f t="shared" si="71"/>
        <v>7</v>
      </c>
      <c r="E2234" s="299">
        <v>54</v>
      </c>
      <c r="F2234" s="430" t="s">
        <v>3497</v>
      </c>
      <c r="G2234" s="300" t="str">
        <f t="shared" si="72"/>
        <v>SoaveNRW</v>
      </c>
    </row>
    <row r="2235" spans="1:7" ht="12" customHeight="1">
      <c r="A2235" s="298">
        <v>36413</v>
      </c>
      <c r="B2235" s="299" t="s">
        <v>3515</v>
      </c>
      <c r="C2235" s="299">
        <v>10</v>
      </c>
      <c r="D2235" s="299">
        <f t="shared" si="71"/>
        <v>9</v>
      </c>
      <c r="E2235" s="299">
        <v>54</v>
      </c>
      <c r="F2235" s="430" t="s">
        <v>3497</v>
      </c>
      <c r="G2235" s="300" t="str">
        <f t="shared" si="72"/>
        <v>SoaveNRW</v>
      </c>
    </row>
    <row r="2236" spans="1:7" ht="12" customHeight="1">
      <c r="A2236" s="298">
        <v>36416</v>
      </c>
      <c r="B2236" s="299" t="s">
        <v>3515</v>
      </c>
      <c r="C2236" s="299">
        <v>10</v>
      </c>
      <c r="D2236" s="299">
        <f t="shared" si="71"/>
        <v>9</v>
      </c>
      <c r="E2236" s="299">
        <v>54</v>
      </c>
      <c r="F2236" s="430" t="s">
        <v>3497</v>
      </c>
      <c r="G2236" s="300" t="str">
        <f t="shared" si="72"/>
        <v>SoaveNRW</v>
      </c>
    </row>
    <row r="2237" spans="1:7" ht="12" customHeight="1">
      <c r="A2237" s="298">
        <v>36418</v>
      </c>
      <c r="B2237" s="299" t="s">
        <v>3515</v>
      </c>
      <c r="C2237" s="299">
        <v>150</v>
      </c>
      <c r="D2237" s="299">
        <f t="shared" si="71"/>
        <v>9</v>
      </c>
      <c r="E2237" s="299">
        <v>53</v>
      </c>
      <c r="F2237" s="430" t="s">
        <v>3497</v>
      </c>
      <c r="G2237" s="300" t="str">
        <f t="shared" si="72"/>
        <v>SoaveNRW</v>
      </c>
    </row>
    <row r="2238" spans="1:7" ht="12" customHeight="1">
      <c r="A2238" s="298">
        <v>36431</v>
      </c>
      <c r="B2238" s="299" t="s">
        <v>3515</v>
      </c>
      <c r="C2238" s="299">
        <v>150</v>
      </c>
      <c r="D2238" s="299">
        <f t="shared" si="71"/>
        <v>9</v>
      </c>
      <c r="E2238" s="299">
        <v>53</v>
      </c>
      <c r="F2238" s="430" t="s">
        <v>3497</v>
      </c>
      <c r="G2238" s="300" t="str">
        <f t="shared" si="72"/>
        <v>SoaveNRW</v>
      </c>
    </row>
    <row r="2239" spans="1:7" ht="12" customHeight="1">
      <c r="A2239" s="298">
        <v>36432</v>
      </c>
      <c r="B2239" s="299" t="s">
        <v>3515</v>
      </c>
      <c r="C2239" s="299">
        <v>30</v>
      </c>
      <c r="D2239" s="299">
        <f t="shared" si="71"/>
        <v>9</v>
      </c>
      <c r="E2239" s="299">
        <v>53</v>
      </c>
      <c r="F2239" s="430" t="s">
        <v>3497</v>
      </c>
      <c r="G2239" s="300" t="str">
        <f t="shared" si="72"/>
        <v>SoaveNRW</v>
      </c>
    </row>
    <row r="2240" spans="1:7" ht="12" customHeight="1">
      <c r="A2240" s="298">
        <v>36469</v>
      </c>
      <c r="B2240" s="299" t="s">
        <v>3515</v>
      </c>
      <c r="C2240" s="299">
        <v>20</v>
      </c>
      <c r="D2240" s="299">
        <f t="shared" si="71"/>
        <v>11</v>
      </c>
      <c r="E2240" s="299">
        <v>50</v>
      </c>
      <c r="F2240" s="430" t="s">
        <v>3497</v>
      </c>
      <c r="G2240" s="300" t="str">
        <f t="shared" si="72"/>
        <v>SoaveNRW</v>
      </c>
    </row>
    <row r="2241" spans="1:7" ht="12" customHeight="1">
      <c r="A2241" s="298">
        <v>36472</v>
      </c>
      <c r="B2241" s="299" t="s">
        <v>3515</v>
      </c>
      <c r="C2241" s="299">
        <v>100</v>
      </c>
      <c r="D2241" s="299">
        <f t="shared" si="71"/>
        <v>11</v>
      </c>
      <c r="E2241" s="299">
        <v>48</v>
      </c>
      <c r="F2241" s="430" t="s">
        <v>3497</v>
      </c>
      <c r="G2241" s="300" t="str">
        <f t="shared" si="72"/>
        <v>SoaveNRW</v>
      </c>
    </row>
    <row r="2242" spans="1:7" ht="12" customHeight="1">
      <c r="A2242" s="298">
        <v>36473</v>
      </c>
      <c r="B2242" s="299" t="s">
        <v>3515</v>
      </c>
      <c r="C2242" s="299">
        <v>120</v>
      </c>
      <c r="D2242" s="299">
        <f t="shared" si="71"/>
        <v>11</v>
      </c>
      <c r="E2242" s="299">
        <v>49</v>
      </c>
      <c r="F2242" s="430" t="s">
        <v>3497</v>
      </c>
      <c r="G2242" s="300" t="str">
        <f t="shared" si="72"/>
        <v>SoaveNRW</v>
      </c>
    </row>
    <row r="2243" spans="1:7" ht="12" customHeight="1">
      <c r="A2243" s="298">
        <v>36484</v>
      </c>
      <c r="B2243" s="299" t="s">
        <v>3515</v>
      </c>
      <c r="C2243" s="299">
        <v>60</v>
      </c>
      <c r="D2243" s="299">
        <f t="shared" si="71"/>
        <v>11</v>
      </c>
      <c r="E2243" s="299">
        <v>49</v>
      </c>
      <c r="F2243" s="430" t="s">
        <v>3497</v>
      </c>
      <c r="G2243" s="300" t="str">
        <f t="shared" si="72"/>
        <v>SoaveNRW</v>
      </c>
    </row>
    <row r="2244" spans="1:7" ht="12" customHeight="1">
      <c r="A2244" s="298">
        <v>36492</v>
      </c>
      <c r="B2244" s="299" t="s">
        <v>3515</v>
      </c>
      <c r="C2244" s="299">
        <v>80</v>
      </c>
      <c r="D2244" s="299">
        <f t="shared" si="71"/>
        <v>11</v>
      </c>
      <c r="E2244" s="299">
        <v>48</v>
      </c>
      <c r="F2244" s="430" t="s">
        <v>3497</v>
      </c>
      <c r="G2244" s="300" t="str">
        <f t="shared" si="72"/>
        <v>SoaveNRW</v>
      </c>
    </row>
    <row r="2245" spans="1:7" ht="12" customHeight="1">
      <c r="A2245" s="298">
        <v>36194</v>
      </c>
      <c r="B2245" s="299" t="s">
        <v>3515</v>
      </c>
      <c r="C2245" s="299">
        <v>210</v>
      </c>
      <c r="D2245" s="299">
        <f t="shared" si="71"/>
        <v>2</v>
      </c>
      <c r="E2245" s="299">
        <v>50</v>
      </c>
      <c r="F2245" s="430" t="s">
        <v>3499</v>
      </c>
      <c r="G2245" s="300" t="str">
        <f t="shared" si="72"/>
        <v>SoavePfalz</v>
      </c>
    </row>
    <row r="2246" spans="1:7" ht="12" customHeight="1">
      <c r="A2246" s="298">
        <v>36273</v>
      </c>
      <c r="B2246" s="299" t="s">
        <v>3496</v>
      </c>
      <c r="C2246" s="299">
        <v>120</v>
      </c>
      <c r="D2246" s="299">
        <f t="shared" ref="D2246:D2309" si="73">MONTH(A2246)</f>
        <v>4</v>
      </c>
      <c r="E2246" s="299">
        <v>55</v>
      </c>
      <c r="F2246" s="430" t="s">
        <v>3504</v>
      </c>
      <c r="G2246" s="300" t="str">
        <f t="shared" ref="G2246:G2309" si="74">B2246&amp;F2246</f>
        <v>BordeauxBayern</v>
      </c>
    </row>
    <row r="2247" spans="1:7" ht="12" customHeight="1">
      <c r="A2247" s="298">
        <v>36279</v>
      </c>
      <c r="B2247" s="299" t="s">
        <v>3496</v>
      </c>
      <c r="C2247" s="299">
        <v>80</v>
      </c>
      <c r="D2247" s="299">
        <f t="shared" si="73"/>
        <v>4</v>
      </c>
      <c r="E2247" s="299">
        <v>55</v>
      </c>
      <c r="F2247" s="430" t="s">
        <v>3504</v>
      </c>
      <c r="G2247" s="300" t="str">
        <f t="shared" si="74"/>
        <v>BordeauxBayern</v>
      </c>
    </row>
    <row r="2248" spans="1:7" ht="12" customHeight="1">
      <c r="A2248" s="298">
        <v>36325</v>
      </c>
      <c r="B2248" s="299" t="s">
        <v>3496</v>
      </c>
      <c r="C2248" s="299">
        <v>90</v>
      </c>
      <c r="D2248" s="299">
        <f t="shared" si="73"/>
        <v>6</v>
      </c>
      <c r="E2248" s="299">
        <v>55</v>
      </c>
      <c r="F2248" s="430" t="s">
        <v>3504</v>
      </c>
      <c r="G2248" s="300" t="str">
        <f t="shared" si="74"/>
        <v>BordeauxBayern</v>
      </c>
    </row>
    <row r="2249" spans="1:7" ht="12" customHeight="1">
      <c r="A2249" s="298">
        <v>36331</v>
      </c>
      <c r="B2249" s="299" t="s">
        <v>3496</v>
      </c>
      <c r="C2249" s="299">
        <v>20</v>
      </c>
      <c r="D2249" s="299">
        <f t="shared" si="73"/>
        <v>6</v>
      </c>
      <c r="E2249" s="299">
        <v>55</v>
      </c>
      <c r="F2249" s="430" t="s">
        <v>3504</v>
      </c>
      <c r="G2249" s="300" t="str">
        <f t="shared" si="74"/>
        <v>BordeauxBayern</v>
      </c>
    </row>
    <row r="2250" spans="1:7" ht="12" customHeight="1">
      <c r="A2250" s="298">
        <v>36358</v>
      </c>
      <c r="B2250" s="299" t="s">
        <v>3496</v>
      </c>
      <c r="C2250" s="299">
        <v>50</v>
      </c>
      <c r="D2250" s="299">
        <f t="shared" si="73"/>
        <v>7</v>
      </c>
      <c r="E2250" s="299">
        <v>61</v>
      </c>
      <c r="F2250" s="430" t="s">
        <v>3504</v>
      </c>
      <c r="G2250" s="300" t="str">
        <f t="shared" si="74"/>
        <v>BordeauxBayern</v>
      </c>
    </row>
    <row r="2251" spans="1:7" ht="12" customHeight="1">
      <c r="A2251" s="298">
        <v>36404</v>
      </c>
      <c r="B2251" s="299" t="s">
        <v>3496</v>
      </c>
      <c r="C2251" s="299">
        <v>20</v>
      </c>
      <c r="D2251" s="299">
        <f t="shared" si="73"/>
        <v>9</v>
      </c>
      <c r="E2251" s="299">
        <v>55</v>
      </c>
      <c r="F2251" s="430" t="s">
        <v>3504</v>
      </c>
      <c r="G2251" s="300" t="str">
        <f t="shared" si="74"/>
        <v>BordeauxBayern</v>
      </c>
    </row>
    <row r="2252" spans="1:7" ht="12" customHeight="1">
      <c r="A2252" s="298">
        <v>36427</v>
      </c>
      <c r="B2252" s="299" t="s">
        <v>3496</v>
      </c>
      <c r="C2252" s="299">
        <v>90</v>
      </c>
      <c r="D2252" s="299">
        <f t="shared" si="73"/>
        <v>9</v>
      </c>
      <c r="E2252" s="299">
        <v>55</v>
      </c>
      <c r="F2252" s="430" t="s">
        <v>3504</v>
      </c>
      <c r="G2252" s="300" t="str">
        <f t="shared" si="74"/>
        <v>BordeauxBayern</v>
      </c>
    </row>
    <row r="2253" spans="1:7" ht="12" customHeight="1">
      <c r="A2253" s="298">
        <v>36455</v>
      </c>
      <c r="B2253" s="299" t="s">
        <v>3496</v>
      </c>
      <c r="C2253" s="299">
        <v>100</v>
      </c>
      <c r="D2253" s="299">
        <f t="shared" si="73"/>
        <v>10</v>
      </c>
      <c r="E2253" s="299">
        <v>60</v>
      </c>
      <c r="F2253" s="430" t="s">
        <v>3504</v>
      </c>
      <c r="G2253" s="300" t="str">
        <f t="shared" si="74"/>
        <v>BordeauxBayern</v>
      </c>
    </row>
    <row r="2254" spans="1:7" ht="12" customHeight="1">
      <c r="A2254" s="298">
        <v>36458</v>
      </c>
      <c r="B2254" s="299" t="s">
        <v>3496</v>
      </c>
      <c r="C2254" s="299">
        <v>50</v>
      </c>
      <c r="D2254" s="299">
        <f t="shared" si="73"/>
        <v>10</v>
      </c>
      <c r="E2254" s="299">
        <v>60</v>
      </c>
      <c r="F2254" s="430" t="s">
        <v>3504</v>
      </c>
      <c r="G2254" s="300" t="str">
        <f t="shared" si="74"/>
        <v>BordeauxBayern</v>
      </c>
    </row>
    <row r="2255" spans="1:7" ht="12" customHeight="1">
      <c r="A2255" s="298">
        <v>36459</v>
      </c>
      <c r="B2255" s="299" t="s">
        <v>3496</v>
      </c>
      <c r="C2255" s="299">
        <v>50</v>
      </c>
      <c r="D2255" s="299">
        <f t="shared" si="73"/>
        <v>10</v>
      </c>
      <c r="E2255" s="299">
        <v>60</v>
      </c>
      <c r="F2255" s="430" t="s">
        <v>3504</v>
      </c>
      <c r="G2255" s="300" t="str">
        <f t="shared" si="74"/>
        <v>BordeauxBayern</v>
      </c>
    </row>
    <row r="2256" spans="1:7" ht="12" customHeight="1">
      <c r="A2256" s="298">
        <v>36483</v>
      </c>
      <c r="B2256" s="299" t="s">
        <v>3496</v>
      </c>
      <c r="C2256" s="299">
        <v>30</v>
      </c>
      <c r="D2256" s="299">
        <f t="shared" si="73"/>
        <v>11</v>
      </c>
      <c r="E2256" s="299">
        <v>55</v>
      </c>
      <c r="F2256" s="430" t="s">
        <v>3504</v>
      </c>
      <c r="G2256" s="300" t="str">
        <f t="shared" si="74"/>
        <v>BordeauxBayern</v>
      </c>
    </row>
    <row r="2257" spans="1:7" ht="12" customHeight="1">
      <c r="A2257" s="298">
        <v>36503</v>
      </c>
      <c r="B2257" s="299" t="s">
        <v>3496</v>
      </c>
      <c r="C2257" s="299">
        <v>10</v>
      </c>
      <c r="D2257" s="299">
        <f t="shared" si="73"/>
        <v>12</v>
      </c>
      <c r="E2257" s="299">
        <v>60</v>
      </c>
      <c r="F2257" s="430" t="s">
        <v>3504</v>
      </c>
      <c r="G2257" s="300" t="str">
        <f t="shared" si="74"/>
        <v>BordeauxBayern</v>
      </c>
    </row>
    <row r="2258" spans="1:7" ht="12" customHeight="1">
      <c r="A2258" s="298">
        <v>36350</v>
      </c>
      <c r="B2258" s="299" t="s">
        <v>3496</v>
      </c>
      <c r="C2258" s="299">
        <v>80</v>
      </c>
      <c r="D2258" s="299">
        <f t="shared" si="73"/>
        <v>7</v>
      </c>
      <c r="E2258" s="299">
        <v>55</v>
      </c>
      <c r="F2258" s="430" t="s">
        <v>3502</v>
      </c>
      <c r="G2258" s="300" t="str">
        <f t="shared" si="74"/>
        <v>BordeauxHessen</v>
      </c>
    </row>
    <row r="2259" spans="1:7" ht="12" customHeight="1">
      <c r="A2259" s="298">
        <v>36357</v>
      </c>
      <c r="B2259" s="299" t="s">
        <v>3496</v>
      </c>
      <c r="C2259" s="299">
        <v>60</v>
      </c>
      <c r="D2259" s="299">
        <f t="shared" si="73"/>
        <v>7</v>
      </c>
      <c r="E2259" s="299">
        <v>55</v>
      </c>
      <c r="F2259" s="430" t="s">
        <v>3502</v>
      </c>
      <c r="G2259" s="300" t="str">
        <f t="shared" si="74"/>
        <v>BordeauxHessen</v>
      </c>
    </row>
    <row r="2260" spans="1:7" ht="12" customHeight="1">
      <c r="A2260" s="298">
        <v>36364</v>
      </c>
      <c r="B2260" s="299" t="s">
        <v>3496</v>
      </c>
      <c r="C2260" s="299">
        <v>90</v>
      </c>
      <c r="D2260" s="299">
        <f t="shared" si="73"/>
        <v>7</v>
      </c>
      <c r="E2260" s="299">
        <v>56</v>
      </c>
      <c r="F2260" s="430" t="s">
        <v>3502</v>
      </c>
      <c r="G2260" s="300" t="str">
        <f t="shared" si="74"/>
        <v>BordeauxHessen</v>
      </c>
    </row>
    <row r="2261" spans="1:7" ht="12" customHeight="1">
      <c r="A2261" s="298">
        <v>36377</v>
      </c>
      <c r="B2261" s="299" t="s">
        <v>3496</v>
      </c>
      <c r="C2261" s="299">
        <v>150</v>
      </c>
      <c r="D2261" s="299">
        <f t="shared" si="73"/>
        <v>8</v>
      </c>
      <c r="E2261" s="299">
        <v>56</v>
      </c>
      <c r="F2261" s="430" t="s">
        <v>3502</v>
      </c>
      <c r="G2261" s="300" t="str">
        <f t="shared" si="74"/>
        <v>BordeauxHessen</v>
      </c>
    </row>
    <row r="2262" spans="1:7" ht="12" customHeight="1">
      <c r="A2262" s="298">
        <v>36169</v>
      </c>
      <c r="B2262" s="299" t="s">
        <v>3496</v>
      </c>
      <c r="C2262" s="299">
        <v>90</v>
      </c>
      <c r="D2262" s="299">
        <f t="shared" si="73"/>
        <v>1</v>
      </c>
      <c r="E2262" s="299">
        <v>58</v>
      </c>
      <c r="F2262" s="430" t="s">
        <v>3503</v>
      </c>
      <c r="G2262" s="300" t="str">
        <f t="shared" si="74"/>
        <v>BordeauxHolstein</v>
      </c>
    </row>
    <row r="2263" spans="1:7" ht="12" customHeight="1">
      <c r="A2263" s="298">
        <v>36176</v>
      </c>
      <c r="B2263" s="299" t="s">
        <v>3496</v>
      </c>
      <c r="C2263" s="299">
        <v>50</v>
      </c>
      <c r="D2263" s="299">
        <f t="shared" si="73"/>
        <v>1</v>
      </c>
      <c r="E2263" s="299">
        <v>58</v>
      </c>
      <c r="F2263" s="430" t="s">
        <v>3503</v>
      </c>
      <c r="G2263" s="300" t="str">
        <f t="shared" si="74"/>
        <v>BordeauxHolstein</v>
      </c>
    </row>
    <row r="2264" spans="1:7" ht="12" customHeight="1">
      <c r="A2264" s="298">
        <v>36332</v>
      </c>
      <c r="B2264" s="299" t="s">
        <v>3496</v>
      </c>
      <c r="C2264" s="299">
        <v>210</v>
      </c>
      <c r="D2264" s="299">
        <f t="shared" si="73"/>
        <v>6</v>
      </c>
      <c r="E2264" s="299">
        <v>55</v>
      </c>
      <c r="F2264" s="430" t="s">
        <v>3503</v>
      </c>
      <c r="G2264" s="300" t="str">
        <f t="shared" si="74"/>
        <v>BordeauxHolstein</v>
      </c>
    </row>
    <row r="2265" spans="1:7" ht="12" customHeight="1">
      <c r="A2265" s="298">
        <v>36406</v>
      </c>
      <c r="B2265" s="299" t="s">
        <v>3496</v>
      </c>
      <c r="C2265" s="299">
        <v>60</v>
      </c>
      <c r="D2265" s="299">
        <f t="shared" si="73"/>
        <v>9</v>
      </c>
      <c r="E2265" s="299">
        <v>55</v>
      </c>
      <c r="F2265" s="430" t="s">
        <v>3503</v>
      </c>
      <c r="G2265" s="300" t="str">
        <f t="shared" si="74"/>
        <v>BordeauxHolstein</v>
      </c>
    </row>
    <row r="2266" spans="1:7" ht="12" customHeight="1">
      <c r="A2266" s="298">
        <v>36229</v>
      </c>
      <c r="B2266" s="299" t="s">
        <v>3496</v>
      </c>
      <c r="C2266" s="299">
        <v>150</v>
      </c>
      <c r="D2266" s="299">
        <f t="shared" si="73"/>
        <v>3</v>
      </c>
      <c r="E2266" s="299">
        <v>56</v>
      </c>
      <c r="F2266" s="430" t="s">
        <v>3497</v>
      </c>
      <c r="G2266" s="300" t="str">
        <f t="shared" si="74"/>
        <v>BordeauxNRW</v>
      </c>
    </row>
    <row r="2267" spans="1:7" ht="12" customHeight="1">
      <c r="A2267" s="298">
        <v>36278</v>
      </c>
      <c r="B2267" s="299" t="s">
        <v>3496</v>
      </c>
      <c r="C2267" s="299">
        <v>120</v>
      </c>
      <c r="D2267" s="299">
        <f t="shared" si="73"/>
        <v>4</v>
      </c>
      <c r="E2267" s="299">
        <v>56</v>
      </c>
      <c r="F2267" s="430" t="s">
        <v>3497</v>
      </c>
      <c r="G2267" s="300" t="str">
        <f t="shared" si="74"/>
        <v>BordeauxNRW</v>
      </c>
    </row>
    <row r="2268" spans="1:7" ht="12" customHeight="1">
      <c r="A2268" s="298">
        <v>36295</v>
      </c>
      <c r="B2268" s="299" t="s">
        <v>3496</v>
      </c>
      <c r="C2268" s="299">
        <v>120</v>
      </c>
      <c r="D2268" s="299">
        <f t="shared" si="73"/>
        <v>5</v>
      </c>
      <c r="E2268" s="299">
        <v>57</v>
      </c>
      <c r="F2268" s="430" t="s">
        <v>3497</v>
      </c>
      <c r="G2268" s="300" t="str">
        <f t="shared" si="74"/>
        <v>BordeauxNRW</v>
      </c>
    </row>
    <row r="2269" spans="1:7" ht="12" customHeight="1">
      <c r="A2269" s="298">
        <v>36309</v>
      </c>
      <c r="B2269" s="299" t="s">
        <v>3496</v>
      </c>
      <c r="C2269" s="299">
        <v>80</v>
      </c>
      <c r="D2269" s="299">
        <f t="shared" si="73"/>
        <v>5</v>
      </c>
      <c r="E2269" s="299">
        <v>57</v>
      </c>
      <c r="F2269" s="430" t="s">
        <v>3497</v>
      </c>
      <c r="G2269" s="300" t="str">
        <f t="shared" si="74"/>
        <v>BordeauxNRW</v>
      </c>
    </row>
    <row r="2270" spans="1:7" ht="12" customHeight="1">
      <c r="A2270" s="298">
        <v>36313</v>
      </c>
      <c r="B2270" s="299" t="s">
        <v>3496</v>
      </c>
      <c r="C2270" s="299">
        <v>210</v>
      </c>
      <c r="D2270" s="299">
        <f t="shared" si="73"/>
        <v>6</v>
      </c>
      <c r="E2270" s="299">
        <v>56</v>
      </c>
      <c r="F2270" s="430" t="s">
        <v>3497</v>
      </c>
      <c r="G2270" s="300" t="str">
        <f t="shared" si="74"/>
        <v>BordeauxNRW</v>
      </c>
    </row>
    <row r="2271" spans="1:7" ht="12" customHeight="1">
      <c r="A2271" s="298">
        <v>36314</v>
      </c>
      <c r="B2271" s="299" t="s">
        <v>3496</v>
      </c>
      <c r="C2271" s="299">
        <v>150</v>
      </c>
      <c r="D2271" s="299">
        <f t="shared" si="73"/>
        <v>6</v>
      </c>
      <c r="E2271" s="299">
        <v>56</v>
      </c>
      <c r="F2271" s="430" t="s">
        <v>3497</v>
      </c>
      <c r="G2271" s="300" t="str">
        <f t="shared" si="74"/>
        <v>BordeauxNRW</v>
      </c>
    </row>
    <row r="2272" spans="1:7" ht="12" customHeight="1">
      <c r="A2272" s="298">
        <v>36314</v>
      </c>
      <c r="B2272" s="299" t="s">
        <v>3496</v>
      </c>
      <c r="C2272" s="299">
        <v>60</v>
      </c>
      <c r="D2272" s="299">
        <f t="shared" si="73"/>
        <v>6</v>
      </c>
      <c r="E2272" s="299">
        <v>60</v>
      </c>
      <c r="F2272" s="430" t="s">
        <v>3497</v>
      </c>
      <c r="G2272" s="300" t="str">
        <f t="shared" si="74"/>
        <v>BordeauxNRW</v>
      </c>
    </row>
    <row r="2273" spans="1:7" ht="12" customHeight="1">
      <c r="A2273" s="298">
        <v>36318</v>
      </c>
      <c r="B2273" s="299" t="s">
        <v>3496</v>
      </c>
      <c r="C2273" s="299">
        <v>120</v>
      </c>
      <c r="D2273" s="299">
        <f t="shared" si="73"/>
        <v>6</v>
      </c>
      <c r="E2273" s="299">
        <v>61</v>
      </c>
      <c r="F2273" s="430" t="s">
        <v>3497</v>
      </c>
      <c r="G2273" s="300" t="str">
        <f t="shared" si="74"/>
        <v>BordeauxNRW</v>
      </c>
    </row>
    <row r="2274" spans="1:7" ht="12" customHeight="1">
      <c r="A2274" s="298">
        <v>36320</v>
      </c>
      <c r="B2274" s="299" t="s">
        <v>3496</v>
      </c>
      <c r="C2274" s="299">
        <v>30</v>
      </c>
      <c r="D2274" s="299">
        <f t="shared" si="73"/>
        <v>6</v>
      </c>
      <c r="E2274" s="299">
        <v>58</v>
      </c>
      <c r="F2274" s="430" t="s">
        <v>3497</v>
      </c>
      <c r="G2274" s="300" t="str">
        <f t="shared" si="74"/>
        <v>BordeauxNRW</v>
      </c>
    </row>
    <row r="2275" spans="1:7" ht="12" customHeight="1">
      <c r="A2275" s="298">
        <v>36322</v>
      </c>
      <c r="B2275" s="299" t="s">
        <v>3496</v>
      </c>
      <c r="C2275" s="299">
        <v>10</v>
      </c>
      <c r="D2275" s="299">
        <f t="shared" si="73"/>
        <v>6</v>
      </c>
      <c r="E2275" s="299">
        <v>56</v>
      </c>
      <c r="F2275" s="430" t="s">
        <v>3497</v>
      </c>
      <c r="G2275" s="300" t="str">
        <f t="shared" si="74"/>
        <v>BordeauxNRW</v>
      </c>
    </row>
    <row r="2276" spans="1:7" ht="12" customHeight="1">
      <c r="A2276" s="298">
        <v>36324</v>
      </c>
      <c r="B2276" s="299" t="s">
        <v>3496</v>
      </c>
      <c r="C2276" s="299">
        <v>40</v>
      </c>
      <c r="D2276" s="299">
        <f t="shared" si="73"/>
        <v>6</v>
      </c>
      <c r="E2276" s="299">
        <v>61</v>
      </c>
      <c r="F2276" s="430" t="s">
        <v>3497</v>
      </c>
      <c r="G2276" s="300" t="str">
        <f t="shared" si="74"/>
        <v>BordeauxNRW</v>
      </c>
    </row>
    <row r="2277" spans="1:7" ht="12" customHeight="1">
      <c r="A2277" s="298">
        <v>36326</v>
      </c>
      <c r="B2277" s="299" t="s">
        <v>3496</v>
      </c>
      <c r="C2277" s="299">
        <v>10</v>
      </c>
      <c r="D2277" s="299">
        <f t="shared" si="73"/>
        <v>6</v>
      </c>
      <c r="E2277" s="299">
        <v>61</v>
      </c>
      <c r="F2277" s="430" t="s">
        <v>3497</v>
      </c>
      <c r="G2277" s="300" t="str">
        <f t="shared" si="74"/>
        <v>BordeauxNRW</v>
      </c>
    </row>
    <row r="2278" spans="1:7" ht="12" customHeight="1">
      <c r="A2278" s="298">
        <v>36333</v>
      </c>
      <c r="B2278" s="299" t="s">
        <v>3496</v>
      </c>
      <c r="C2278" s="299">
        <v>10</v>
      </c>
      <c r="D2278" s="299">
        <f t="shared" si="73"/>
        <v>6</v>
      </c>
      <c r="E2278" s="299">
        <v>60</v>
      </c>
      <c r="F2278" s="430" t="s">
        <v>3497</v>
      </c>
      <c r="G2278" s="300" t="str">
        <f t="shared" si="74"/>
        <v>BordeauxNRW</v>
      </c>
    </row>
    <row r="2279" spans="1:7" ht="12" customHeight="1">
      <c r="A2279" s="298">
        <v>36334</v>
      </c>
      <c r="B2279" s="299" t="s">
        <v>3496</v>
      </c>
      <c r="C2279" s="299">
        <v>110</v>
      </c>
      <c r="D2279" s="299">
        <f t="shared" si="73"/>
        <v>6</v>
      </c>
      <c r="E2279" s="299">
        <v>56</v>
      </c>
      <c r="F2279" s="430" t="s">
        <v>3497</v>
      </c>
      <c r="G2279" s="300" t="str">
        <f t="shared" si="74"/>
        <v>BordeauxNRW</v>
      </c>
    </row>
    <row r="2280" spans="1:7" ht="12" customHeight="1">
      <c r="A2280" s="298">
        <v>36356</v>
      </c>
      <c r="B2280" s="299" t="s">
        <v>3496</v>
      </c>
      <c r="C2280" s="299">
        <v>50</v>
      </c>
      <c r="D2280" s="299">
        <f t="shared" si="73"/>
        <v>7</v>
      </c>
      <c r="E2280" s="299">
        <v>56</v>
      </c>
      <c r="F2280" s="430" t="s">
        <v>3497</v>
      </c>
      <c r="G2280" s="300" t="str">
        <f t="shared" si="74"/>
        <v>BordeauxNRW</v>
      </c>
    </row>
    <row r="2281" spans="1:7" ht="12" customHeight="1">
      <c r="A2281" s="298">
        <v>36364</v>
      </c>
      <c r="B2281" s="299" t="s">
        <v>3496</v>
      </c>
      <c r="C2281" s="299">
        <v>90</v>
      </c>
      <c r="D2281" s="299">
        <f t="shared" si="73"/>
        <v>7</v>
      </c>
      <c r="E2281" s="299">
        <v>60</v>
      </c>
      <c r="F2281" s="430" t="s">
        <v>3497</v>
      </c>
      <c r="G2281" s="300" t="str">
        <f t="shared" si="74"/>
        <v>BordeauxNRW</v>
      </c>
    </row>
    <row r="2282" spans="1:7" ht="12" customHeight="1">
      <c r="A2282" s="298">
        <v>36367</v>
      </c>
      <c r="B2282" s="299" t="s">
        <v>3496</v>
      </c>
      <c r="C2282" s="299">
        <v>80</v>
      </c>
      <c r="D2282" s="299">
        <f t="shared" si="73"/>
        <v>7</v>
      </c>
      <c r="E2282" s="299">
        <v>58</v>
      </c>
      <c r="F2282" s="430" t="s">
        <v>3497</v>
      </c>
      <c r="G2282" s="300" t="str">
        <f t="shared" si="74"/>
        <v>BordeauxNRW</v>
      </c>
    </row>
    <row r="2283" spans="1:7" ht="12" customHeight="1">
      <c r="A2283" s="298">
        <v>36466</v>
      </c>
      <c r="B2283" s="299" t="s">
        <v>3496</v>
      </c>
      <c r="C2283" s="299">
        <v>10</v>
      </c>
      <c r="D2283" s="299">
        <f t="shared" si="73"/>
        <v>11</v>
      </c>
      <c r="E2283" s="299">
        <v>56</v>
      </c>
      <c r="F2283" s="430" t="s">
        <v>3497</v>
      </c>
      <c r="G2283" s="300" t="str">
        <f t="shared" si="74"/>
        <v>BordeauxNRW</v>
      </c>
    </row>
    <row r="2284" spans="1:7" ht="12" customHeight="1">
      <c r="A2284" s="298">
        <v>36473</v>
      </c>
      <c r="B2284" s="299" t="s">
        <v>3496</v>
      </c>
      <c r="C2284" s="299">
        <v>30</v>
      </c>
      <c r="D2284" s="299">
        <f t="shared" si="73"/>
        <v>11</v>
      </c>
      <c r="E2284" s="299">
        <v>61</v>
      </c>
      <c r="F2284" s="430" t="s">
        <v>3497</v>
      </c>
      <c r="G2284" s="300" t="str">
        <f t="shared" si="74"/>
        <v>BordeauxNRW</v>
      </c>
    </row>
    <row r="2285" spans="1:7" ht="12" customHeight="1">
      <c r="A2285" s="298">
        <v>36475</v>
      </c>
      <c r="B2285" s="299" t="s">
        <v>3496</v>
      </c>
      <c r="C2285" s="299">
        <v>90</v>
      </c>
      <c r="D2285" s="299">
        <f t="shared" si="73"/>
        <v>11</v>
      </c>
      <c r="E2285" s="299">
        <v>61</v>
      </c>
      <c r="F2285" s="430" t="s">
        <v>3497</v>
      </c>
      <c r="G2285" s="300" t="str">
        <f t="shared" si="74"/>
        <v>BordeauxNRW</v>
      </c>
    </row>
    <row r="2286" spans="1:7" ht="12" customHeight="1">
      <c r="A2286" s="298">
        <v>36485</v>
      </c>
      <c r="B2286" s="299" t="s">
        <v>3496</v>
      </c>
      <c r="C2286" s="299">
        <v>150</v>
      </c>
      <c r="D2286" s="299">
        <f t="shared" si="73"/>
        <v>11</v>
      </c>
      <c r="E2286" s="299">
        <v>59</v>
      </c>
      <c r="F2286" s="430" t="s">
        <v>3497</v>
      </c>
      <c r="G2286" s="300" t="str">
        <f t="shared" si="74"/>
        <v>BordeauxNRW</v>
      </c>
    </row>
    <row r="2287" spans="1:7" ht="12" customHeight="1">
      <c r="A2287" s="298">
        <v>36488</v>
      </c>
      <c r="B2287" s="299" t="s">
        <v>3496</v>
      </c>
      <c r="C2287" s="299">
        <v>30</v>
      </c>
      <c r="D2287" s="299">
        <f t="shared" si="73"/>
        <v>11</v>
      </c>
      <c r="E2287" s="299">
        <v>61</v>
      </c>
      <c r="F2287" s="430" t="s">
        <v>3497</v>
      </c>
      <c r="G2287" s="300" t="str">
        <f t="shared" si="74"/>
        <v>BordeauxNRW</v>
      </c>
    </row>
    <row r="2288" spans="1:7" ht="12" customHeight="1">
      <c r="A2288" s="298">
        <v>36506</v>
      </c>
      <c r="B2288" s="299" t="s">
        <v>3496</v>
      </c>
      <c r="C2288" s="299">
        <v>40</v>
      </c>
      <c r="D2288" s="299">
        <f t="shared" si="73"/>
        <v>12</v>
      </c>
      <c r="E2288" s="299">
        <v>57</v>
      </c>
      <c r="F2288" s="430" t="s">
        <v>3497</v>
      </c>
      <c r="G2288" s="300" t="str">
        <f t="shared" si="74"/>
        <v>BordeauxNRW</v>
      </c>
    </row>
    <row r="2289" spans="1:7" ht="12" customHeight="1">
      <c r="A2289" s="298">
        <v>36164</v>
      </c>
      <c r="B2289" s="299" t="s">
        <v>3496</v>
      </c>
      <c r="C2289" s="299">
        <v>80</v>
      </c>
      <c r="D2289" s="299">
        <f t="shared" si="73"/>
        <v>1</v>
      </c>
      <c r="E2289" s="299">
        <v>55</v>
      </c>
      <c r="F2289" s="430" t="s">
        <v>3499</v>
      </c>
      <c r="G2289" s="300" t="str">
        <f t="shared" si="74"/>
        <v>BordeauxPfalz</v>
      </c>
    </row>
    <row r="2290" spans="1:7" ht="12" customHeight="1">
      <c r="A2290" s="298">
        <v>36182</v>
      </c>
      <c r="B2290" s="299" t="s">
        <v>3496</v>
      </c>
      <c r="C2290" s="299">
        <v>120</v>
      </c>
      <c r="D2290" s="299">
        <f t="shared" si="73"/>
        <v>1</v>
      </c>
      <c r="E2290" s="299">
        <v>55</v>
      </c>
      <c r="F2290" s="430" t="s">
        <v>3499</v>
      </c>
      <c r="G2290" s="300" t="str">
        <f t="shared" si="74"/>
        <v>BordeauxPfalz</v>
      </c>
    </row>
    <row r="2291" spans="1:7" ht="12" customHeight="1">
      <c r="A2291" s="298">
        <v>36210</v>
      </c>
      <c r="B2291" s="299" t="s">
        <v>3496</v>
      </c>
      <c r="C2291" s="299">
        <v>110</v>
      </c>
      <c r="D2291" s="299">
        <f t="shared" si="73"/>
        <v>2</v>
      </c>
      <c r="E2291" s="299">
        <v>61</v>
      </c>
      <c r="F2291" s="430" t="s">
        <v>3499</v>
      </c>
      <c r="G2291" s="300" t="str">
        <f t="shared" si="74"/>
        <v>BordeauxPfalz</v>
      </c>
    </row>
    <row r="2292" spans="1:7" ht="12" customHeight="1">
      <c r="A2292" s="298">
        <v>36280</v>
      </c>
      <c r="B2292" s="299" t="s">
        <v>3496</v>
      </c>
      <c r="C2292" s="299">
        <v>180</v>
      </c>
      <c r="D2292" s="299">
        <f t="shared" si="73"/>
        <v>4</v>
      </c>
      <c r="E2292" s="299">
        <v>59</v>
      </c>
      <c r="F2292" s="430" t="s">
        <v>3499</v>
      </c>
      <c r="G2292" s="300" t="str">
        <f t="shared" si="74"/>
        <v>BordeauxPfalz</v>
      </c>
    </row>
    <row r="2293" spans="1:7" ht="12" customHeight="1">
      <c r="A2293" s="298">
        <v>36302</v>
      </c>
      <c r="B2293" s="299" t="s">
        <v>3496</v>
      </c>
      <c r="C2293" s="299">
        <v>150</v>
      </c>
      <c r="D2293" s="299">
        <f t="shared" si="73"/>
        <v>5</v>
      </c>
      <c r="E2293" s="299">
        <v>61</v>
      </c>
      <c r="F2293" s="430" t="s">
        <v>3499</v>
      </c>
      <c r="G2293" s="300" t="str">
        <f t="shared" si="74"/>
        <v>BordeauxPfalz</v>
      </c>
    </row>
    <row r="2294" spans="1:7" ht="12" customHeight="1">
      <c r="A2294" s="298">
        <v>36306</v>
      </c>
      <c r="B2294" s="299" t="s">
        <v>3496</v>
      </c>
      <c r="C2294" s="299">
        <v>40</v>
      </c>
      <c r="D2294" s="299">
        <f t="shared" si="73"/>
        <v>5</v>
      </c>
      <c r="E2294" s="299">
        <v>58</v>
      </c>
      <c r="F2294" s="430" t="s">
        <v>3499</v>
      </c>
      <c r="G2294" s="300" t="str">
        <f t="shared" si="74"/>
        <v>BordeauxPfalz</v>
      </c>
    </row>
    <row r="2295" spans="1:7" ht="12" customHeight="1">
      <c r="A2295" s="298">
        <v>36325</v>
      </c>
      <c r="B2295" s="299" t="s">
        <v>3496</v>
      </c>
      <c r="C2295" s="299">
        <v>40</v>
      </c>
      <c r="D2295" s="299">
        <f t="shared" si="73"/>
        <v>6</v>
      </c>
      <c r="E2295" s="299">
        <v>61</v>
      </c>
      <c r="F2295" s="430" t="s">
        <v>3499</v>
      </c>
      <c r="G2295" s="300" t="str">
        <f t="shared" si="74"/>
        <v>BordeauxPfalz</v>
      </c>
    </row>
    <row r="2296" spans="1:7" ht="12" customHeight="1">
      <c r="A2296" s="298">
        <v>36329</v>
      </c>
      <c r="B2296" s="299" t="s">
        <v>3496</v>
      </c>
      <c r="C2296" s="299">
        <v>100</v>
      </c>
      <c r="D2296" s="299">
        <f t="shared" si="73"/>
        <v>6</v>
      </c>
      <c r="E2296" s="299">
        <v>59</v>
      </c>
      <c r="F2296" s="430" t="s">
        <v>3499</v>
      </c>
      <c r="G2296" s="300" t="str">
        <f t="shared" si="74"/>
        <v>BordeauxPfalz</v>
      </c>
    </row>
    <row r="2297" spans="1:7" ht="12" customHeight="1">
      <c r="A2297" s="298">
        <v>36332</v>
      </c>
      <c r="B2297" s="299" t="s">
        <v>3496</v>
      </c>
      <c r="C2297" s="299">
        <v>240</v>
      </c>
      <c r="D2297" s="299">
        <f t="shared" si="73"/>
        <v>6</v>
      </c>
      <c r="E2297" s="299">
        <v>55</v>
      </c>
      <c r="F2297" s="430" t="s">
        <v>3499</v>
      </c>
      <c r="G2297" s="300" t="str">
        <f t="shared" si="74"/>
        <v>BordeauxPfalz</v>
      </c>
    </row>
    <row r="2298" spans="1:7" ht="12" customHeight="1">
      <c r="A2298" s="298">
        <v>36338</v>
      </c>
      <c r="B2298" s="299" t="s">
        <v>3496</v>
      </c>
      <c r="C2298" s="299">
        <v>210</v>
      </c>
      <c r="D2298" s="299">
        <f t="shared" si="73"/>
        <v>6</v>
      </c>
      <c r="E2298" s="299">
        <v>55</v>
      </c>
      <c r="F2298" s="430" t="s">
        <v>3499</v>
      </c>
      <c r="G2298" s="300" t="str">
        <f t="shared" si="74"/>
        <v>BordeauxPfalz</v>
      </c>
    </row>
    <row r="2299" spans="1:7" ht="12" customHeight="1">
      <c r="A2299" s="298">
        <v>36343</v>
      </c>
      <c r="B2299" s="299" t="s">
        <v>3496</v>
      </c>
      <c r="C2299" s="299">
        <v>210</v>
      </c>
      <c r="D2299" s="299">
        <f t="shared" si="73"/>
        <v>7</v>
      </c>
      <c r="E2299" s="299">
        <v>60</v>
      </c>
      <c r="F2299" s="430" t="s">
        <v>3499</v>
      </c>
      <c r="G2299" s="300" t="str">
        <f t="shared" si="74"/>
        <v>BordeauxPfalz</v>
      </c>
    </row>
    <row r="2300" spans="1:7" ht="12" customHeight="1">
      <c r="A2300" s="298">
        <v>36350</v>
      </c>
      <c r="B2300" s="299" t="s">
        <v>3496</v>
      </c>
      <c r="C2300" s="299">
        <v>180</v>
      </c>
      <c r="D2300" s="299">
        <f t="shared" si="73"/>
        <v>7</v>
      </c>
      <c r="E2300" s="299">
        <v>60</v>
      </c>
      <c r="F2300" s="430" t="s">
        <v>3499</v>
      </c>
      <c r="G2300" s="300" t="str">
        <f t="shared" si="74"/>
        <v>BordeauxPfalz</v>
      </c>
    </row>
    <row r="2301" spans="1:7" ht="12" customHeight="1">
      <c r="A2301" s="298">
        <v>36355</v>
      </c>
      <c r="B2301" s="299" t="s">
        <v>3496</v>
      </c>
      <c r="C2301" s="299">
        <v>210</v>
      </c>
      <c r="D2301" s="299">
        <f t="shared" si="73"/>
        <v>7</v>
      </c>
      <c r="E2301" s="299">
        <v>60</v>
      </c>
      <c r="F2301" s="430" t="s">
        <v>3499</v>
      </c>
      <c r="G2301" s="300" t="str">
        <f t="shared" si="74"/>
        <v>BordeauxPfalz</v>
      </c>
    </row>
    <row r="2302" spans="1:7" ht="12" customHeight="1">
      <c r="A2302" s="298">
        <v>36357</v>
      </c>
      <c r="B2302" s="299" t="s">
        <v>3496</v>
      </c>
      <c r="C2302" s="299">
        <v>10</v>
      </c>
      <c r="D2302" s="299">
        <f t="shared" si="73"/>
        <v>7</v>
      </c>
      <c r="E2302" s="299">
        <v>61</v>
      </c>
      <c r="F2302" s="430" t="s">
        <v>3499</v>
      </c>
      <c r="G2302" s="300" t="str">
        <f t="shared" si="74"/>
        <v>BordeauxPfalz</v>
      </c>
    </row>
    <row r="2303" spans="1:7" ht="12" customHeight="1">
      <c r="A2303" s="298">
        <v>36360</v>
      </c>
      <c r="B2303" s="299" t="s">
        <v>3496</v>
      </c>
      <c r="C2303" s="299">
        <v>60</v>
      </c>
      <c r="D2303" s="299">
        <f t="shared" si="73"/>
        <v>7</v>
      </c>
      <c r="E2303" s="299">
        <v>60</v>
      </c>
      <c r="F2303" s="430" t="s">
        <v>3499</v>
      </c>
      <c r="G2303" s="300" t="str">
        <f t="shared" si="74"/>
        <v>BordeauxPfalz</v>
      </c>
    </row>
    <row r="2304" spans="1:7" ht="12" customHeight="1">
      <c r="A2304" s="298">
        <v>36363</v>
      </c>
      <c r="B2304" s="299" t="s">
        <v>3496</v>
      </c>
      <c r="C2304" s="299">
        <v>90</v>
      </c>
      <c r="D2304" s="299">
        <f t="shared" si="73"/>
        <v>7</v>
      </c>
      <c r="E2304" s="299">
        <v>61</v>
      </c>
      <c r="F2304" s="430" t="s">
        <v>3499</v>
      </c>
      <c r="G2304" s="300" t="str">
        <f t="shared" si="74"/>
        <v>BordeauxPfalz</v>
      </c>
    </row>
    <row r="2305" spans="1:7" ht="12" customHeight="1">
      <c r="A2305" s="298">
        <v>36383</v>
      </c>
      <c r="B2305" s="299" t="s">
        <v>3496</v>
      </c>
      <c r="C2305" s="299">
        <v>110</v>
      </c>
      <c r="D2305" s="299">
        <f t="shared" si="73"/>
        <v>8</v>
      </c>
      <c r="E2305" s="299">
        <v>61</v>
      </c>
      <c r="F2305" s="430" t="s">
        <v>3499</v>
      </c>
      <c r="G2305" s="300" t="str">
        <f t="shared" si="74"/>
        <v>BordeauxPfalz</v>
      </c>
    </row>
    <row r="2306" spans="1:7" ht="12" customHeight="1">
      <c r="A2306" s="298">
        <v>36393</v>
      </c>
      <c r="B2306" s="299" t="s">
        <v>3496</v>
      </c>
      <c r="C2306" s="299">
        <v>50</v>
      </c>
      <c r="D2306" s="299">
        <f t="shared" si="73"/>
        <v>8</v>
      </c>
      <c r="E2306" s="299">
        <v>61</v>
      </c>
      <c r="F2306" s="430" t="s">
        <v>3499</v>
      </c>
      <c r="G2306" s="300" t="str">
        <f t="shared" si="74"/>
        <v>BordeauxPfalz</v>
      </c>
    </row>
    <row r="2307" spans="1:7" ht="12" customHeight="1">
      <c r="A2307" s="298">
        <v>36393</v>
      </c>
      <c r="B2307" s="299" t="s">
        <v>3496</v>
      </c>
      <c r="C2307" s="299">
        <v>120</v>
      </c>
      <c r="D2307" s="299">
        <f t="shared" si="73"/>
        <v>8</v>
      </c>
      <c r="E2307" s="299">
        <v>61</v>
      </c>
      <c r="F2307" s="430" t="s">
        <v>3499</v>
      </c>
      <c r="G2307" s="300" t="str">
        <f t="shared" si="74"/>
        <v>BordeauxPfalz</v>
      </c>
    </row>
    <row r="2308" spans="1:7" ht="12" customHeight="1">
      <c r="A2308" s="298">
        <v>36395</v>
      </c>
      <c r="B2308" s="299" t="s">
        <v>3496</v>
      </c>
      <c r="C2308" s="299">
        <v>50</v>
      </c>
      <c r="D2308" s="299">
        <f t="shared" si="73"/>
        <v>8</v>
      </c>
      <c r="E2308" s="299">
        <v>61</v>
      </c>
      <c r="F2308" s="430" t="s">
        <v>3499</v>
      </c>
      <c r="G2308" s="300" t="str">
        <f t="shared" si="74"/>
        <v>BordeauxPfalz</v>
      </c>
    </row>
    <row r="2309" spans="1:7" ht="12" customHeight="1">
      <c r="A2309" s="298">
        <v>36397</v>
      </c>
      <c r="B2309" s="299" t="s">
        <v>3496</v>
      </c>
      <c r="C2309" s="299">
        <v>10</v>
      </c>
      <c r="D2309" s="299">
        <f t="shared" si="73"/>
        <v>8</v>
      </c>
      <c r="E2309" s="299">
        <v>61</v>
      </c>
      <c r="F2309" s="430" t="s">
        <v>3499</v>
      </c>
      <c r="G2309" s="300" t="str">
        <f t="shared" si="74"/>
        <v>BordeauxPfalz</v>
      </c>
    </row>
    <row r="2310" spans="1:7" ht="12" customHeight="1">
      <c r="A2310" s="298">
        <v>36407</v>
      </c>
      <c r="B2310" s="299" t="s">
        <v>3496</v>
      </c>
      <c r="C2310" s="299">
        <v>70</v>
      </c>
      <c r="D2310" s="299">
        <f t="shared" ref="D2310:D2373" si="75">MONTH(A2310)</f>
        <v>9</v>
      </c>
      <c r="E2310" s="299">
        <v>57</v>
      </c>
      <c r="F2310" s="430" t="s">
        <v>3499</v>
      </c>
      <c r="G2310" s="300" t="str">
        <f t="shared" ref="G2310:G2373" si="76">B2310&amp;F2310</f>
        <v>BordeauxPfalz</v>
      </c>
    </row>
    <row r="2311" spans="1:7" ht="12" customHeight="1">
      <c r="A2311" s="298">
        <v>36438</v>
      </c>
      <c r="B2311" s="299" t="s">
        <v>3496</v>
      </c>
      <c r="C2311" s="299">
        <v>210</v>
      </c>
      <c r="D2311" s="299">
        <f t="shared" si="75"/>
        <v>10</v>
      </c>
      <c r="E2311" s="299">
        <v>58</v>
      </c>
      <c r="F2311" s="430" t="s">
        <v>3499</v>
      </c>
      <c r="G2311" s="300" t="str">
        <f t="shared" si="76"/>
        <v>BordeauxPfalz</v>
      </c>
    </row>
    <row r="2312" spans="1:7" ht="12" customHeight="1">
      <c r="A2312" s="298">
        <v>36448</v>
      </c>
      <c r="B2312" s="299" t="s">
        <v>3496</v>
      </c>
      <c r="C2312" s="299">
        <v>210</v>
      </c>
      <c r="D2312" s="299">
        <f t="shared" si="75"/>
        <v>10</v>
      </c>
      <c r="E2312" s="299">
        <v>60</v>
      </c>
      <c r="F2312" s="430" t="s">
        <v>3499</v>
      </c>
      <c r="G2312" s="300" t="str">
        <f t="shared" si="76"/>
        <v>BordeauxPfalz</v>
      </c>
    </row>
    <row r="2313" spans="1:7" ht="12" customHeight="1">
      <c r="A2313" s="298">
        <v>36465</v>
      </c>
      <c r="B2313" s="299" t="s">
        <v>3496</v>
      </c>
      <c r="C2313" s="299">
        <v>90</v>
      </c>
      <c r="D2313" s="299">
        <f t="shared" si="75"/>
        <v>11</v>
      </c>
      <c r="E2313" s="299">
        <v>61</v>
      </c>
      <c r="F2313" s="430" t="s">
        <v>3499</v>
      </c>
      <c r="G2313" s="300" t="str">
        <f t="shared" si="76"/>
        <v>BordeauxPfalz</v>
      </c>
    </row>
    <row r="2314" spans="1:7" ht="12" customHeight="1">
      <c r="A2314" s="298">
        <v>36467</v>
      </c>
      <c r="B2314" s="299" t="s">
        <v>3496</v>
      </c>
      <c r="C2314" s="299">
        <v>50</v>
      </c>
      <c r="D2314" s="299">
        <f t="shared" si="75"/>
        <v>11</v>
      </c>
      <c r="E2314" s="299">
        <v>61</v>
      </c>
      <c r="F2314" s="430" t="s">
        <v>3499</v>
      </c>
      <c r="G2314" s="300" t="str">
        <f t="shared" si="76"/>
        <v>BordeauxPfalz</v>
      </c>
    </row>
    <row r="2315" spans="1:7" ht="12" customHeight="1">
      <c r="A2315" s="298">
        <v>36487</v>
      </c>
      <c r="B2315" s="299" t="s">
        <v>3496</v>
      </c>
      <c r="C2315" s="299">
        <v>50</v>
      </c>
      <c r="D2315" s="299">
        <f t="shared" si="75"/>
        <v>11</v>
      </c>
      <c r="E2315" s="299">
        <v>59</v>
      </c>
      <c r="F2315" s="430" t="s">
        <v>3499</v>
      </c>
      <c r="G2315" s="300" t="str">
        <f t="shared" si="76"/>
        <v>BordeauxPfalz</v>
      </c>
    </row>
    <row r="2316" spans="1:7" ht="12" customHeight="1">
      <c r="A2316" s="298">
        <v>36488</v>
      </c>
      <c r="B2316" s="299" t="s">
        <v>3496</v>
      </c>
      <c r="C2316" s="299">
        <v>110</v>
      </c>
      <c r="D2316" s="299">
        <f t="shared" si="75"/>
        <v>11</v>
      </c>
      <c r="E2316" s="299">
        <v>55</v>
      </c>
      <c r="F2316" s="430" t="s">
        <v>3499</v>
      </c>
      <c r="G2316" s="300" t="str">
        <f t="shared" si="76"/>
        <v>BordeauxPfalz</v>
      </c>
    </row>
    <row r="2317" spans="1:7" ht="12" customHeight="1">
      <c r="A2317" s="298">
        <v>36505</v>
      </c>
      <c r="B2317" s="299" t="s">
        <v>3496</v>
      </c>
      <c r="C2317" s="299">
        <v>30</v>
      </c>
      <c r="D2317" s="299">
        <f t="shared" si="75"/>
        <v>12</v>
      </c>
      <c r="E2317" s="299">
        <v>59</v>
      </c>
      <c r="F2317" s="430" t="s">
        <v>3499</v>
      </c>
      <c r="G2317" s="300" t="str">
        <f t="shared" si="76"/>
        <v>BordeauxPfalz</v>
      </c>
    </row>
    <row r="2318" spans="1:7" ht="12" customHeight="1">
      <c r="A2318" s="298">
        <v>36216</v>
      </c>
      <c r="B2318" s="299" t="s">
        <v>3496</v>
      </c>
      <c r="C2318" s="299">
        <v>50</v>
      </c>
      <c r="D2318" s="299">
        <f t="shared" si="75"/>
        <v>2</v>
      </c>
      <c r="E2318" s="299">
        <v>59</v>
      </c>
      <c r="F2318" s="430" t="s">
        <v>3500</v>
      </c>
      <c r="G2318" s="300" t="str">
        <f t="shared" si="76"/>
        <v>BordeauxSaarland</v>
      </c>
    </row>
    <row r="2319" spans="1:7" ht="12" customHeight="1">
      <c r="A2319" s="298">
        <v>36221</v>
      </c>
      <c r="B2319" s="299" t="s">
        <v>3496</v>
      </c>
      <c r="C2319" s="299">
        <v>120</v>
      </c>
      <c r="D2319" s="299">
        <f t="shared" si="75"/>
        <v>3</v>
      </c>
      <c r="E2319" s="299">
        <v>58</v>
      </c>
      <c r="F2319" s="430" t="s">
        <v>3500</v>
      </c>
      <c r="G2319" s="300" t="str">
        <f t="shared" si="76"/>
        <v>BordeauxSaarland</v>
      </c>
    </row>
    <row r="2320" spans="1:7" ht="12" customHeight="1">
      <c r="A2320" s="298">
        <v>36296</v>
      </c>
      <c r="B2320" s="299" t="s">
        <v>3496</v>
      </c>
      <c r="C2320" s="299">
        <v>120</v>
      </c>
      <c r="D2320" s="299">
        <f t="shared" si="75"/>
        <v>5</v>
      </c>
      <c r="E2320" s="299">
        <v>55</v>
      </c>
      <c r="F2320" s="430" t="s">
        <v>3500</v>
      </c>
      <c r="G2320" s="300" t="str">
        <f t="shared" si="76"/>
        <v>BordeauxSaarland</v>
      </c>
    </row>
    <row r="2321" spans="1:7" ht="12" customHeight="1">
      <c r="A2321" s="298">
        <v>36296</v>
      </c>
      <c r="B2321" s="299" t="s">
        <v>3496</v>
      </c>
      <c r="C2321" s="299">
        <v>100</v>
      </c>
      <c r="D2321" s="299">
        <f t="shared" si="75"/>
        <v>5</v>
      </c>
      <c r="E2321" s="299">
        <v>56</v>
      </c>
      <c r="F2321" s="430" t="s">
        <v>3500</v>
      </c>
      <c r="G2321" s="300" t="str">
        <f t="shared" si="76"/>
        <v>BordeauxSaarland</v>
      </c>
    </row>
    <row r="2322" spans="1:7" ht="12" customHeight="1">
      <c r="A2322" s="298">
        <v>36307</v>
      </c>
      <c r="B2322" s="299" t="s">
        <v>3496</v>
      </c>
      <c r="C2322" s="299">
        <v>50</v>
      </c>
      <c r="D2322" s="299">
        <f t="shared" si="75"/>
        <v>5</v>
      </c>
      <c r="E2322" s="299">
        <v>60</v>
      </c>
      <c r="F2322" s="430" t="s">
        <v>3500</v>
      </c>
      <c r="G2322" s="300" t="str">
        <f t="shared" si="76"/>
        <v>BordeauxSaarland</v>
      </c>
    </row>
    <row r="2323" spans="1:7" ht="12" customHeight="1">
      <c r="A2323" s="298">
        <v>36339</v>
      </c>
      <c r="B2323" s="299" t="s">
        <v>3496</v>
      </c>
      <c r="C2323" s="299">
        <v>100</v>
      </c>
      <c r="D2323" s="299">
        <f t="shared" si="75"/>
        <v>6</v>
      </c>
      <c r="E2323" s="299">
        <v>64</v>
      </c>
      <c r="F2323" s="430" t="s">
        <v>3500</v>
      </c>
      <c r="G2323" s="300" t="str">
        <f t="shared" si="76"/>
        <v>BordeauxSaarland</v>
      </c>
    </row>
    <row r="2324" spans="1:7" ht="12" customHeight="1">
      <c r="A2324" s="298">
        <v>36346</v>
      </c>
      <c r="B2324" s="299" t="s">
        <v>3496</v>
      </c>
      <c r="C2324" s="299">
        <v>80</v>
      </c>
      <c r="D2324" s="299">
        <f t="shared" si="75"/>
        <v>7</v>
      </c>
      <c r="E2324" s="299">
        <v>56</v>
      </c>
      <c r="F2324" s="430" t="s">
        <v>3500</v>
      </c>
      <c r="G2324" s="300" t="str">
        <f t="shared" si="76"/>
        <v>BordeauxSaarland</v>
      </c>
    </row>
    <row r="2325" spans="1:7" ht="12" customHeight="1">
      <c r="A2325" s="298">
        <v>36354</v>
      </c>
      <c r="B2325" s="299" t="s">
        <v>3496</v>
      </c>
      <c r="C2325" s="299">
        <v>60</v>
      </c>
      <c r="D2325" s="299">
        <f t="shared" si="75"/>
        <v>7</v>
      </c>
      <c r="E2325" s="299">
        <v>55</v>
      </c>
      <c r="F2325" s="430" t="s">
        <v>3500</v>
      </c>
      <c r="G2325" s="300" t="str">
        <f t="shared" si="76"/>
        <v>BordeauxSaarland</v>
      </c>
    </row>
    <row r="2326" spans="1:7" ht="12" customHeight="1">
      <c r="A2326" s="298">
        <v>36355</v>
      </c>
      <c r="B2326" s="299" t="s">
        <v>3496</v>
      </c>
      <c r="C2326" s="299">
        <v>180</v>
      </c>
      <c r="D2326" s="299">
        <f t="shared" si="75"/>
        <v>7</v>
      </c>
      <c r="E2326" s="299">
        <v>64</v>
      </c>
      <c r="F2326" s="430" t="s">
        <v>3500</v>
      </c>
      <c r="G2326" s="300" t="str">
        <f t="shared" si="76"/>
        <v>BordeauxSaarland</v>
      </c>
    </row>
    <row r="2327" spans="1:7" ht="12" customHeight="1">
      <c r="A2327" s="298">
        <v>36356</v>
      </c>
      <c r="B2327" s="299" t="s">
        <v>3496</v>
      </c>
      <c r="C2327" s="299">
        <v>10</v>
      </c>
      <c r="D2327" s="299">
        <f t="shared" si="75"/>
        <v>7</v>
      </c>
      <c r="E2327" s="299">
        <v>64</v>
      </c>
      <c r="F2327" s="430" t="s">
        <v>3500</v>
      </c>
      <c r="G2327" s="300" t="str">
        <f t="shared" si="76"/>
        <v>BordeauxSaarland</v>
      </c>
    </row>
    <row r="2328" spans="1:7" ht="12" customHeight="1">
      <c r="A2328" s="298">
        <v>36369</v>
      </c>
      <c r="B2328" s="299" t="s">
        <v>3496</v>
      </c>
      <c r="C2328" s="299">
        <v>240</v>
      </c>
      <c r="D2328" s="299">
        <f t="shared" si="75"/>
        <v>7</v>
      </c>
      <c r="E2328" s="299">
        <v>59</v>
      </c>
      <c r="F2328" s="430" t="s">
        <v>3500</v>
      </c>
      <c r="G2328" s="300" t="str">
        <f t="shared" si="76"/>
        <v>BordeauxSaarland</v>
      </c>
    </row>
    <row r="2329" spans="1:7" ht="12" customHeight="1">
      <c r="A2329" s="298">
        <v>36381</v>
      </c>
      <c r="B2329" s="299" t="s">
        <v>3496</v>
      </c>
      <c r="C2329" s="299">
        <v>150</v>
      </c>
      <c r="D2329" s="299">
        <f t="shared" si="75"/>
        <v>8</v>
      </c>
      <c r="E2329" s="299">
        <v>59</v>
      </c>
      <c r="F2329" s="430" t="s">
        <v>3500</v>
      </c>
      <c r="G2329" s="300" t="str">
        <f t="shared" si="76"/>
        <v>BordeauxSaarland</v>
      </c>
    </row>
    <row r="2330" spans="1:7" ht="12" customHeight="1">
      <c r="A2330" s="298">
        <v>36386</v>
      </c>
      <c r="B2330" s="299" t="s">
        <v>3496</v>
      </c>
      <c r="C2330" s="299">
        <v>10</v>
      </c>
      <c r="D2330" s="299">
        <f t="shared" si="75"/>
        <v>8</v>
      </c>
      <c r="E2330" s="299">
        <v>60</v>
      </c>
      <c r="F2330" s="430" t="s">
        <v>3500</v>
      </c>
      <c r="G2330" s="300" t="str">
        <f t="shared" si="76"/>
        <v>BordeauxSaarland</v>
      </c>
    </row>
    <row r="2331" spans="1:7" ht="12" customHeight="1">
      <c r="A2331" s="298">
        <v>36389</v>
      </c>
      <c r="B2331" s="299" t="s">
        <v>3496</v>
      </c>
      <c r="C2331" s="299">
        <v>40</v>
      </c>
      <c r="D2331" s="299">
        <f t="shared" si="75"/>
        <v>8</v>
      </c>
      <c r="E2331" s="299">
        <v>59</v>
      </c>
      <c r="F2331" s="430" t="s">
        <v>3500</v>
      </c>
      <c r="G2331" s="300" t="str">
        <f t="shared" si="76"/>
        <v>BordeauxSaarland</v>
      </c>
    </row>
    <row r="2332" spans="1:7" ht="12" customHeight="1">
      <c r="A2332" s="298">
        <v>36396</v>
      </c>
      <c r="B2332" s="299" t="s">
        <v>3496</v>
      </c>
      <c r="C2332" s="299">
        <v>60</v>
      </c>
      <c r="D2332" s="299">
        <f t="shared" si="75"/>
        <v>8</v>
      </c>
      <c r="E2332" s="299">
        <v>64</v>
      </c>
      <c r="F2332" s="430" t="s">
        <v>3500</v>
      </c>
      <c r="G2332" s="300" t="str">
        <f t="shared" si="76"/>
        <v>BordeauxSaarland</v>
      </c>
    </row>
    <row r="2333" spans="1:7" ht="12" customHeight="1">
      <c r="A2333" s="298">
        <v>36397</v>
      </c>
      <c r="B2333" s="299" t="s">
        <v>3496</v>
      </c>
      <c r="C2333" s="299">
        <v>180</v>
      </c>
      <c r="D2333" s="299">
        <f t="shared" si="75"/>
        <v>8</v>
      </c>
      <c r="E2333" s="299">
        <v>60</v>
      </c>
      <c r="F2333" s="430" t="s">
        <v>3500</v>
      </c>
      <c r="G2333" s="300" t="str">
        <f t="shared" si="76"/>
        <v>BordeauxSaarland</v>
      </c>
    </row>
    <row r="2334" spans="1:7" ht="12" customHeight="1">
      <c r="A2334" s="298">
        <v>36418</v>
      </c>
      <c r="B2334" s="299" t="s">
        <v>3496</v>
      </c>
      <c r="C2334" s="299">
        <v>100</v>
      </c>
      <c r="D2334" s="299">
        <f t="shared" si="75"/>
        <v>9</v>
      </c>
      <c r="E2334" s="299">
        <v>59</v>
      </c>
      <c r="F2334" s="430" t="s">
        <v>3500</v>
      </c>
      <c r="G2334" s="300" t="str">
        <f t="shared" si="76"/>
        <v>BordeauxSaarland</v>
      </c>
    </row>
    <row r="2335" spans="1:7" ht="12" customHeight="1">
      <c r="A2335" s="298">
        <v>36460</v>
      </c>
      <c r="B2335" s="299" t="s">
        <v>3496</v>
      </c>
      <c r="C2335" s="299">
        <v>30</v>
      </c>
      <c r="D2335" s="299">
        <f t="shared" si="75"/>
        <v>10</v>
      </c>
      <c r="E2335" s="299">
        <v>59</v>
      </c>
      <c r="F2335" s="430" t="s">
        <v>3500</v>
      </c>
      <c r="G2335" s="300" t="str">
        <f t="shared" si="76"/>
        <v>BordeauxSaarland</v>
      </c>
    </row>
    <row r="2336" spans="1:7" ht="12" customHeight="1">
      <c r="A2336" s="298">
        <v>36461</v>
      </c>
      <c r="B2336" s="299" t="s">
        <v>3496</v>
      </c>
      <c r="C2336" s="299">
        <v>80</v>
      </c>
      <c r="D2336" s="299">
        <f t="shared" si="75"/>
        <v>10</v>
      </c>
      <c r="E2336" s="299">
        <v>59</v>
      </c>
      <c r="F2336" s="430" t="s">
        <v>3500</v>
      </c>
      <c r="G2336" s="300" t="str">
        <f t="shared" si="76"/>
        <v>BordeauxSaarland</v>
      </c>
    </row>
    <row r="2337" spans="1:7" ht="12" customHeight="1">
      <c r="A2337" s="298">
        <v>36469</v>
      </c>
      <c r="B2337" s="299" t="s">
        <v>3496</v>
      </c>
      <c r="C2337" s="299">
        <v>10</v>
      </c>
      <c r="D2337" s="299">
        <f t="shared" si="75"/>
        <v>11</v>
      </c>
      <c r="E2337" s="299">
        <v>56</v>
      </c>
      <c r="F2337" s="430" t="s">
        <v>3500</v>
      </c>
      <c r="G2337" s="300" t="str">
        <f t="shared" si="76"/>
        <v>BordeauxSaarland</v>
      </c>
    </row>
    <row r="2338" spans="1:7" ht="12" customHeight="1">
      <c r="A2338" s="298">
        <v>36486</v>
      </c>
      <c r="B2338" s="299" t="s">
        <v>3496</v>
      </c>
      <c r="C2338" s="299">
        <v>80</v>
      </c>
      <c r="D2338" s="299">
        <f t="shared" si="75"/>
        <v>11</v>
      </c>
      <c r="E2338" s="299">
        <v>56</v>
      </c>
      <c r="F2338" s="430" t="s">
        <v>3500</v>
      </c>
      <c r="G2338" s="300" t="str">
        <f t="shared" si="76"/>
        <v>BordeauxSaarland</v>
      </c>
    </row>
    <row r="2339" spans="1:7" ht="12" customHeight="1">
      <c r="A2339" s="298">
        <v>36511</v>
      </c>
      <c r="B2339" s="299" t="s">
        <v>3496</v>
      </c>
      <c r="C2339" s="299">
        <v>20</v>
      </c>
      <c r="D2339" s="299">
        <f t="shared" si="75"/>
        <v>12</v>
      </c>
      <c r="E2339" s="299">
        <v>59</v>
      </c>
      <c r="F2339" s="430" t="s">
        <v>3500</v>
      </c>
      <c r="G2339" s="300" t="str">
        <f t="shared" si="76"/>
        <v>BordeauxSaarland</v>
      </c>
    </row>
    <row r="2340" spans="1:7" ht="12" customHeight="1">
      <c r="A2340" s="298">
        <v>36322</v>
      </c>
      <c r="B2340" s="299" t="s">
        <v>3506</v>
      </c>
      <c r="C2340" s="299">
        <v>80</v>
      </c>
      <c r="D2340" s="299">
        <f t="shared" si="75"/>
        <v>6</v>
      </c>
      <c r="E2340" s="299">
        <v>58</v>
      </c>
      <c r="F2340" s="430" t="s">
        <v>3504</v>
      </c>
      <c r="G2340" s="300" t="str">
        <f t="shared" si="76"/>
        <v>ChardonnayBayern</v>
      </c>
    </row>
    <row r="2341" spans="1:7" ht="12" customHeight="1">
      <c r="A2341" s="298">
        <v>36357</v>
      </c>
      <c r="B2341" s="299" t="s">
        <v>3506</v>
      </c>
      <c r="C2341" s="299">
        <v>90</v>
      </c>
      <c r="D2341" s="299">
        <f t="shared" si="75"/>
        <v>7</v>
      </c>
      <c r="E2341" s="299">
        <v>58</v>
      </c>
      <c r="F2341" s="430" t="s">
        <v>3504</v>
      </c>
      <c r="G2341" s="300" t="str">
        <f t="shared" si="76"/>
        <v>ChardonnayBayern</v>
      </c>
    </row>
    <row r="2342" spans="1:7" ht="12" customHeight="1">
      <c r="A2342" s="298">
        <v>36367</v>
      </c>
      <c r="B2342" s="299" t="s">
        <v>3506</v>
      </c>
      <c r="C2342" s="299">
        <v>240</v>
      </c>
      <c r="D2342" s="299">
        <f t="shared" si="75"/>
        <v>7</v>
      </c>
      <c r="E2342" s="299">
        <v>58</v>
      </c>
      <c r="F2342" s="430" t="s">
        <v>3504</v>
      </c>
      <c r="G2342" s="300" t="str">
        <f t="shared" si="76"/>
        <v>ChardonnayBayern</v>
      </c>
    </row>
    <row r="2343" spans="1:7" ht="12" customHeight="1">
      <c r="A2343" s="298">
        <v>36373</v>
      </c>
      <c r="B2343" s="299" t="s">
        <v>3506</v>
      </c>
      <c r="C2343" s="299">
        <v>90</v>
      </c>
      <c r="D2343" s="299">
        <f t="shared" si="75"/>
        <v>8</v>
      </c>
      <c r="E2343" s="299">
        <v>55</v>
      </c>
      <c r="F2343" s="430" t="s">
        <v>3504</v>
      </c>
      <c r="G2343" s="300" t="str">
        <f t="shared" si="76"/>
        <v>ChardonnayBayern</v>
      </c>
    </row>
    <row r="2344" spans="1:7" ht="12" customHeight="1">
      <c r="A2344" s="298">
        <v>36379</v>
      </c>
      <c r="B2344" s="299" t="s">
        <v>3506</v>
      </c>
      <c r="C2344" s="299">
        <v>120</v>
      </c>
      <c r="D2344" s="299">
        <f t="shared" si="75"/>
        <v>8</v>
      </c>
      <c r="E2344" s="299">
        <v>56</v>
      </c>
      <c r="F2344" s="430" t="s">
        <v>3504</v>
      </c>
      <c r="G2344" s="300" t="str">
        <f t="shared" si="76"/>
        <v>ChardonnayBayern</v>
      </c>
    </row>
    <row r="2345" spans="1:7" ht="12" customHeight="1">
      <c r="A2345" s="298">
        <v>36389</v>
      </c>
      <c r="B2345" s="299" t="s">
        <v>3506</v>
      </c>
      <c r="C2345" s="299">
        <v>90</v>
      </c>
      <c r="D2345" s="299">
        <f t="shared" si="75"/>
        <v>8</v>
      </c>
      <c r="E2345" s="299">
        <v>56</v>
      </c>
      <c r="F2345" s="430" t="s">
        <v>3504</v>
      </c>
      <c r="G2345" s="300" t="str">
        <f t="shared" si="76"/>
        <v>ChardonnayBayern</v>
      </c>
    </row>
    <row r="2346" spans="1:7" ht="12" customHeight="1">
      <c r="A2346" s="298">
        <v>36407</v>
      </c>
      <c r="B2346" s="299" t="s">
        <v>3506</v>
      </c>
      <c r="C2346" s="299">
        <v>90</v>
      </c>
      <c r="D2346" s="299">
        <f t="shared" si="75"/>
        <v>9</v>
      </c>
      <c r="E2346" s="299">
        <v>58</v>
      </c>
      <c r="F2346" s="430" t="s">
        <v>3504</v>
      </c>
      <c r="G2346" s="300" t="str">
        <f t="shared" si="76"/>
        <v>ChardonnayBayern</v>
      </c>
    </row>
    <row r="2347" spans="1:7" ht="12" customHeight="1">
      <c r="A2347" s="298">
        <v>36469</v>
      </c>
      <c r="B2347" s="299" t="s">
        <v>3506</v>
      </c>
      <c r="C2347" s="299">
        <v>90</v>
      </c>
      <c r="D2347" s="299">
        <f t="shared" si="75"/>
        <v>11</v>
      </c>
      <c r="E2347" s="299">
        <v>61</v>
      </c>
      <c r="F2347" s="430" t="s">
        <v>3504</v>
      </c>
      <c r="G2347" s="300" t="str">
        <f t="shared" si="76"/>
        <v>ChardonnayBayern</v>
      </c>
    </row>
    <row r="2348" spans="1:7" ht="12" customHeight="1">
      <c r="A2348" s="298">
        <v>36176</v>
      </c>
      <c r="B2348" s="299" t="s">
        <v>3506</v>
      </c>
      <c r="C2348" s="299">
        <v>40</v>
      </c>
      <c r="D2348" s="299">
        <f t="shared" si="75"/>
        <v>1</v>
      </c>
      <c r="E2348" s="299">
        <v>56</v>
      </c>
      <c r="F2348" s="430" t="s">
        <v>3501</v>
      </c>
      <c r="G2348" s="300" t="str">
        <f t="shared" si="76"/>
        <v>ChardonnayBW</v>
      </c>
    </row>
    <row r="2349" spans="1:7" ht="12" customHeight="1">
      <c r="A2349" s="298">
        <v>36254</v>
      </c>
      <c r="B2349" s="299" t="s">
        <v>3506</v>
      </c>
      <c r="C2349" s="299">
        <v>210</v>
      </c>
      <c r="D2349" s="299">
        <f t="shared" si="75"/>
        <v>4</v>
      </c>
      <c r="E2349" s="299">
        <v>58</v>
      </c>
      <c r="F2349" s="430" t="s">
        <v>3501</v>
      </c>
      <c r="G2349" s="300" t="str">
        <f t="shared" si="76"/>
        <v>ChardonnayBW</v>
      </c>
    </row>
    <row r="2350" spans="1:7" ht="12" customHeight="1">
      <c r="A2350" s="298">
        <v>36280</v>
      </c>
      <c r="B2350" s="299" t="s">
        <v>3506</v>
      </c>
      <c r="C2350" s="299">
        <v>100</v>
      </c>
      <c r="D2350" s="299">
        <f t="shared" si="75"/>
        <v>4</v>
      </c>
      <c r="E2350" s="299">
        <v>59</v>
      </c>
      <c r="F2350" s="430" t="s">
        <v>3501</v>
      </c>
      <c r="G2350" s="300" t="str">
        <f t="shared" si="76"/>
        <v>ChardonnayBW</v>
      </c>
    </row>
    <row r="2351" spans="1:7" ht="12" customHeight="1">
      <c r="A2351" s="298">
        <v>36356</v>
      </c>
      <c r="B2351" s="299" t="s">
        <v>3506</v>
      </c>
      <c r="C2351" s="299">
        <v>180</v>
      </c>
      <c r="D2351" s="299">
        <f t="shared" si="75"/>
        <v>7</v>
      </c>
      <c r="E2351" s="299">
        <v>56</v>
      </c>
      <c r="F2351" s="430" t="s">
        <v>3501</v>
      </c>
      <c r="G2351" s="300" t="str">
        <f t="shared" si="76"/>
        <v>ChardonnayBW</v>
      </c>
    </row>
    <row r="2352" spans="1:7" ht="12" customHeight="1">
      <c r="A2352" s="298">
        <v>36222</v>
      </c>
      <c r="B2352" s="299" t="s">
        <v>3506</v>
      </c>
      <c r="C2352" s="299">
        <v>120</v>
      </c>
      <c r="D2352" s="299">
        <f t="shared" si="75"/>
        <v>3</v>
      </c>
      <c r="E2352" s="299">
        <v>56</v>
      </c>
      <c r="F2352" s="430" t="s">
        <v>3502</v>
      </c>
      <c r="G2352" s="300" t="str">
        <f t="shared" si="76"/>
        <v>ChardonnayHessen</v>
      </c>
    </row>
    <row r="2353" spans="1:7" ht="12" customHeight="1">
      <c r="A2353" s="298">
        <v>36248</v>
      </c>
      <c r="B2353" s="299" t="s">
        <v>3506</v>
      </c>
      <c r="C2353" s="299">
        <v>70</v>
      </c>
      <c r="D2353" s="299">
        <f t="shared" si="75"/>
        <v>3</v>
      </c>
      <c r="E2353" s="299">
        <v>56</v>
      </c>
      <c r="F2353" s="430" t="s">
        <v>3502</v>
      </c>
      <c r="G2353" s="300" t="str">
        <f t="shared" si="76"/>
        <v>ChardonnayHessen</v>
      </c>
    </row>
    <row r="2354" spans="1:7" ht="12" customHeight="1">
      <c r="A2354" s="298">
        <v>36344</v>
      </c>
      <c r="B2354" s="299" t="s">
        <v>3506</v>
      </c>
      <c r="C2354" s="299">
        <v>120</v>
      </c>
      <c r="D2354" s="299">
        <f t="shared" si="75"/>
        <v>7</v>
      </c>
      <c r="E2354" s="299">
        <v>55</v>
      </c>
      <c r="F2354" s="430" t="s">
        <v>3503</v>
      </c>
      <c r="G2354" s="300" t="str">
        <f t="shared" si="76"/>
        <v>ChardonnayHolstein</v>
      </c>
    </row>
    <row r="2355" spans="1:7" ht="12" customHeight="1">
      <c r="A2355" s="298">
        <v>36362</v>
      </c>
      <c r="B2355" s="299" t="s">
        <v>3506</v>
      </c>
      <c r="C2355" s="299">
        <v>110</v>
      </c>
      <c r="D2355" s="299">
        <f t="shared" si="75"/>
        <v>7</v>
      </c>
      <c r="E2355" s="299">
        <v>55</v>
      </c>
      <c r="F2355" s="430" t="s">
        <v>3503</v>
      </c>
      <c r="G2355" s="300" t="str">
        <f t="shared" si="76"/>
        <v>ChardonnayHolstein</v>
      </c>
    </row>
    <row r="2356" spans="1:7" ht="12" customHeight="1">
      <c r="A2356" s="298">
        <v>36413</v>
      </c>
      <c r="B2356" s="299" t="s">
        <v>3506</v>
      </c>
      <c r="C2356" s="299">
        <v>120</v>
      </c>
      <c r="D2356" s="299">
        <f t="shared" si="75"/>
        <v>9</v>
      </c>
      <c r="E2356" s="299">
        <v>55</v>
      </c>
      <c r="F2356" s="430" t="s">
        <v>3503</v>
      </c>
      <c r="G2356" s="300" t="str">
        <f t="shared" si="76"/>
        <v>ChardonnayHolstein</v>
      </c>
    </row>
    <row r="2357" spans="1:7" ht="12" customHeight="1">
      <c r="A2357" s="298">
        <v>36438</v>
      </c>
      <c r="B2357" s="299" t="s">
        <v>3506</v>
      </c>
      <c r="C2357" s="299">
        <v>150</v>
      </c>
      <c r="D2357" s="299">
        <f t="shared" si="75"/>
        <v>10</v>
      </c>
      <c r="E2357" s="299">
        <v>60</v>
      </c>
      <c r="F2357" s="430" t="s">
        <v>3503</v>
      </c>
      <c r="G2357" s="300" t="str">
        <f t="shared" si="76"/>
        <v>ChardonnayHolstein</v>
      </c>
    </row>
    <row r="2358" spans="1:7" ht="12" customHeight="1">
      <c r="A2358" s="298">
        <v>36457</v>
      </c>
      <c r="B2358" s="299" t="s">
        <v>3506</v>
      </c>
      <c r="C2358" s="299">
        <v>100</v>
      </c>
      <c r="D2358" s="299">
        <f t="shared" si="75"/>
        <v>10</v>
      </c>
      <c r="E2358" s="299">
        <v>58</v>
      </c>
      <c r="F2358" s="430" t="s">
        <v>3503</v>
      </c>
      <c r="G2358" s="300" t="str">
        <f t="shared" si="76"/>
        <v>ChardonnayHolstein</v>
      </c>
    </row>
    <row r="2359" spans="1:7" ht="12" customHeight="1">
      <c r="A2359" s="298">
        <v>36459</v>
      </c>
      <c r="B2359" s="299" t="s">
        <v>3506</v>
      </c>
      <c r="C2359" s="299">
        <v>10</v>
      </c>
      <c r="D2359" s="299">
        <f t="shared" si="75"/>
        <v>10</v>
      </c>
      <c r="E2359" s="299">
        <v>55</v>
      </c>
      <c r="F2359" s="430" t="s">
        <v>3503</v>
      </c>
      <c r="G2359" s="300" t="str">
        <f t="shared" si="76"/>
        <v>ChardonnayHolstein</v>
      </c>
    </row>
    <row r="2360" spans="1:7" ht="12" customHeight="1">
      <c r="A2360" s="298">
        <v>36463</v>
      </c>
      <c r="B2360" s="299" t="s">
        <v>3506</v>
      </c>
      <c r="C2360" s="299">
        <v>10</v>
      </c>
      <c r="D2360" s="299">
        <f t="shared" si="75"/>
        <v>10</v>
      </c>
      <c r="E2360" s="299">
        <v>58</v>
      </c>
      <c r="F2360" s="430" t="s">
        <v>3503</v>
      </c>
      <c r="G2360" s="300" t="str">
        <f t="shared" si="76"/>
        <v>ChardonnayHolstein</v>
      </c>
    </row>
    <row r="2361" spans="1:7" ht="12" customHeight="1">
      <c r="A2361" s="298">
        <v>36209</v>
      </c>
      <c r="B2361" s="299" t="s">
        <v>3506</v>
      </c>
      <c r="C2361" s="299">
        <v>80</v>
      </c>
      <c r="D2361" s="299">
        <f t="shared" si="75"/>
        <v>2</v>
      </c>
      <c r="E2361" s="299">
        <v>56</v>
      </c>
      <c r="F2361" s="430" t="s">
        <v>3497</v>
      </c>
      <c r="G2361" s="300" t="str">
        <f t="shared" si="76"/>
        <v>ChardonnayNRW</v>
      </c>
    </row>
    <row r="2362" spans="1:7" ht="12" customHeight="1">
      <c r="A2362" s="298">
        <v>36214</v>
      </c>
      <c r="B2362" s="299" t="s">
        <v>3506</v>
      </c>
      <c r="C2362" s="299">
        <v>60</v>
      </c>
      <c r="D2362" s="299">
        <f t="shared" si="75"/>
        <v>2</v>
      </c>
      <c r="E2362" s="299">
        <v>59</v>
      </c>
      <c r="F2362" s="430" t="s">
        <v>3497</v>
      </c>
      <c r="G2362" s="300" t="str">
        <f t="shared" si="76"/>
        <v>ChardonnayNRW</v>
      </c>
    </row>
    <row r="2363" spans="1:7" ht="12" customHeight="1">
      <c r="A2363" s="298">
        <v>36226</v>
      </c>
      <c r="B2363" s="299" t="s">
        <v>3506</v>
      </c>
      <c r="C2363" s="299">
        <v>10</v>
      </c>
      <c r="D2363" s="299">
        <f t="shared" si="75"/>
        <v>3</v>
      </c>
      <c r="E2363" s="299">
        <v>58</v>
      </c>
      <c r="F2363" s="430" t="s">
        <v>3497</v>
      </c>
      <c r="G2363" s="300" t="str">
        <f t="shared" si="76"/>
        <v>ChardonnayNRW</v>
      </c>
    </row>
    <row r="2364" spans="1:7" ht="12" customHeight="1">
      <c r="A2364" s="298">
        <v>36242</v>
      </c>
      <c r="B2364" s="299" t="s">
        <v>3506</v>
      </c>
      <c r="C2364" s="299">
        <v>90</v>
      </c>
      <c r="D2364" s="299">
        <f t="shared" si="75"/>
        <v>3</v>
      </c>
      <c r="E2364" s="299">
        <v>58</v>
      </c>
      <c r="F2364" s="430" t="s">
        <v>3497</v>
      </c>
      <c r="G2364" s="300" t="str">
        <f t="shared" si="76"/>
        <v>ChardonnayNRW</v>
      </c>
    </row>
    <row r="2365" spans="1:7" ht="12" customHeight="1">
      <c r="A2365" s="298">
        <v>36256</v>
      </c>
      <c r="B2365" s="299" t="s">
        <v>3506</v>
      </c>
      <c r="C2365" s="299">
        <v>150</v>
      </c>
      <c r="D2365" s="299">
        <f t="shared" si="75"/>
        <v>4</v>
      </c>
      <c r="E2365" s="299">
        <v>55</v>
      </c>
      <c r="F2365" s="430" t="s">
        <v>3497</v>
      </c>
      <c r="G2365" s="300" t="str">
        <f t="shared" si="76"/>
        <v>ChardonnayNRW</v>
      </c>
    </row>
    <row r="2366" spans="1:7" ht="12" customHeight="1">
      <c r="A2366" s="298">
        <v>36291</v>
      </c>
      <c r="B2366" s="299" t="s">
        <v>3506</v>
      </c>
      <c r="C2366" s="299">
        <v>60</v>
      </c>
      <c r="D2366" s="299">
        <f t="shared" si="75"/>
        <v>5</v>
      </c>
      <c r="E2366" s="299">
        <v>59</v>
      </c>
      <c r="F2366" s="430" t="s">
        <v>3497</v>
      </c>
      <c r="G2366" s="300" t="str">
        <f t="shared" si="76"/>
        <v>ChardonnayNRW</v>
      </c>
    </row>
    <row r="2367" spans="1:7" ht="12" customHeight="1">
      <c r="A2367" s="298">
        <v>36326</v>
      </c>
      <c r="B2367" s="299" t="s">
        <v>3506</v>
      </c>
      <c r="C2367" s="299">
        <v>30</v>
      </c>
      <c r="D2367" s="299">
        <f t="shared" si="75"/>
        <v>6</v>
      </c>
      <c r="E2367" s="299">
        <v>60</v>
      </c>
      <c r="F2367" s="430" t="s">
        <v>3497</v>
      </c>
      <c r="G2367" s="300" t="str">
        <f t="shared" si="76"/>
        <v>ChardonnayNRW</v>
      </c>
    </row>
    <row r="2368" spans="1:7" ht="12" customHeight="1">
      <c r="A2368" s="298">
        <v>36344</v>
      </c>
      <c r="B2368" s="299" t="s">
        <v>3506</v>
      </c>
      <c r="C2368" s="299">
        <v>50</v>
      </c>
      <c r="D2368" s="299">
        <f t="shared" si="75"/>
        <v>7</v>
      </c>
      <c r="E2368" s="299">
        <v>57</v>
      </c>
      <c r="F2368" s="430" t="s">
        <v>3497</v>
      </c>
      <c r="G2368" s="300" t="str">
        <f t="shared" si="76"/>
        <v>ChardonnayNRW</v>
      </c>
    </row>
    <row r="2369" spans="1:7" ht="12" customHeight="1">
      <c r="A2369" s="298">
        <v>36377</v>
      </c>
      <c r="B2369" s="299" t="s">
        <v>3506</v>
      </c>
      <c r="C2369" s="299">
        <v>180</v>
      </c>
      <c r="D2369" s="299">
        <f t="shared" si="75"/>
        <v>8</v>
      </c>
      <c r="E2369" s="299">
        <v>59</v>
      </c>
      <c r="F2369" s="430" t="s">
        <v>3497</v>
      </c>
      <c r="G2369" s="300" t="str">
        <f t="shared" si="76"/>
        <v>ChardonnayNRW</v>
      </c>
    </row>
    <row r="2370" spans="1:7" ht="12" customHeight="1">
      <c r="A2370" s="298">
        <v>36391</v>
      </c>
      <c r="B2370" s="299" t="s">
        <v>3506</v>
      </c>
      <c r="C2370" s="299">
        <v>20</v>
      </c>
      <c r="D2370" s="299">
        <f t="shared" si="75"/>
        <v>8</v>
      </c>
      <c r="E2370" s="299">
        <v>56</v>
      </c>
      <c r="F2370" s="430" t="s">
        <v>3497</v>
      </c>
      <c r="G2370" s="300" t="str">
        <f t="shared" si="76"/>
        <v>ChardonnayNRW</v>
      </c>
    </row>
    <row r="2371" spans="1:7" ht="12" customHeight="1">
      <c r="A2371" s="298">
        <v>36412</v>
      </c>
      <c r="B2371" s="299" t="s">
        <v>3506</v>
      </c>
      <c r="C2371" s="299">
        <v>40</v>
      </c>
      <c r="D2371" s="299">
        <f t="shared" si="75"/>
        <v>9</v>
      </c>
      <c r="E2371" s="299">
        <v>56</v>
      </c>
      <c r="F2371" s="430" t="s">
        <v>3497</v>
      </c>
      <c r="G2371" s="300" t="str">
        <f t="shared" si="76"/>
        <v>ChardonnayNRW</v>
      </c>
    </row>
    <row r="2372" spans="1:7" ht="12" customHeight="1">
      <c r="A2372" s="298">
        <v>36417</v>
      </c>
      <c r="B2372" s="299" t="s">
        <v>3506</v>
      </c>
      <c r="C2372" s="299">
        <v>90</v>
      </c>
      <c r="D2372" s="299">
        <f t="shared" si="75"/>
        <v>9</v>
      </c>
      <c r="E2372" s="299">
        <v>56</v>
      </c>
      <c r="F2372" s="430" t="s">
        <v>3497</v>
      </c>
      <c r="G2372" s="300" t="str">
        <f t="shared" si="76"/>
        <v>ChardonnayNRW</v>
      </c>
    </row>
    <row r="2373" spans="1:7" ht="12" customHeight="1">
      <c r="A2373" s="298">
        <v>36426</v>
      </c>
      <c r="B2373" s="299" t="s">
        <v>3506</v>
      </c>
      <c r="C2373" s="299">
        <v>180</v>
      </c>
      <c r="D2373" s="299">
        <f t="shared" si="75"/>
        <v>9</v>
      </c>
      <c r="E2373" s="299">
        <v>60</v>
      </c>
      <c r="F2373" s="430" t="s">
        <v>3497</v>
      </c>
      <c r="G2373" s="300" t="str">
        <f t="shared" si="76"/>
        <v>ChardonnayNRW</v>
      </c>
    </row>
    <row r="2374" spans="1:7" ht="12" customHeight="1">
      <c r="A2374" s="298">
        <v>36428</v>
      </c>
      <c r="B2374" s="299" t="s">
        <v>3506</v>
      </c>
      <c r="C2374" s="299">
        <v>150</v>
      </c>
      <c r="D2374" s="299">
        <f t="shared" ref="D2374:D2437" si="77">MONTH(A2374)</f>
        <v>9</v>
      </c>
      <c r="E2374" s="299">
        <v>55</v>
      </c>
      <c r="F2374" s="430" t="s">
        <v>3497</v>
      </c>
      <c r="G2374" s="300" t="str">
        <f t="shared" ref="G2374:G2437" si="78">B2374&amp;F2374</f>
        <v>ChardonnayNRW</v>
      </c>
    </row>
    <row r="2375" spans="1:7" ht="12" customHeight="1">
      <c r="A2375" s="298">
        <v>36429</v>
      </c>
      <c r="B2375" s="299" t="s">
        <v>3506</v>
      </c>
      <c r="C2375" s="299">
        <v>90</v>
      </c>
      <c r="D2375" s="299">
        <f t="shared" si="77"/>
        <v>9</v>
      </c>
      <c r="E2375" s="299">
        <v>56</v>
      </c>
      <c r="F2375" s="430" t="s">
        <v>3497</v>
      </c>
      <c r="G2375" s="300" t="str">
        <f t="shared" si="78"/>
        <v>ChardonnayNRW</v>
      </c>
    </row>
    <row r="2376" spans="1:7" ht="12" customHeight="1">
      <c r="A2376" s="298">
        <v>36431</v>
      </c>
      <c r="B2376" s="299" t="s">
        <v>3506</v>
      </c>
      <c r="C2376" s="299">
        <v>40</v>
      </c>
      <c r="D2376" s="299">
        <f t="shared" si="77"/>
        <v>9</v>
      </c>
      <c r="E2376" s="299">
        <v>56</v>
      </c>
      <c r="F2376" s="430" t="s">
        <v>3497</v>
      </c>
      <c r="G2376" s="300" t="str">
        <f t="shared" si="78"/>
        <v>ChardonnayNRW</v>
      </c>
    </row>
    <row r="2377" spans="1:7" ht="12" customHeight="1">
      <c r="A2377" s="298">
        <v>36480</v>
      </c>
      <c r="B2377" s="299" t="s">
        <v>3506</v>
      </c>
      <c r="C2377" s="299">
        <v>50</v>
      </c>
      <c r="D2377" s="299">
        <f t="shared" si="77"/>
        <v>11</v>
      </c>
      <c r="E2377" s="299">
        <v>55</v>
      </c>
      <c r="F2377" s="430" t="s">
        <v>3497</v>
      </c>
      <c r="G2377" s="300" t="str">
        <f t="shared" si="78"/>
        <v>ChardonnayNRW</v>
      </c>
    </row>
    <row r="2378" spans="1:7" ht="12" customHeight="1">
      <c r="A2378" s="298">
        <v>36483</v>
      </c>
      <c r="B2378" s="299" t="s">
        <v>3506</v>
      </c>
      <c r="C2378" s="299">
        <v>210</v>
      </c>
      <c r="D2378" s="299">
        <f t="shared" si="77"/>
        <v>11</v>
      </c>
      <c r="E2378" s="299">
        <v>56</v>
      </c>
      <c r="F2378" s="430" t="s">
        <v>3497</v>
      </c>
      <c r="G2378" s="300" t="str">
        <f t="shared" si="78"/>
        <v>ChardonnayNRW</v>
      </c>
    </row>
    <row r="2379" spans="1:7" ht="12" customHeight="1">
      <c r="A2379" s="298">
        <v>36489</v>
      </c>
      <c r="B2379" s="299" t="s">
        <v>3506</v>
      </c>
      <c r="C2379" s="299">
        <v>180</v>
      </c>
      <c r="D2379" s="299">
        <f t="shared" si="77"/>
        <v>11</v>
      </c>
      <c r="E2379" s="299">
        <v>56</v>
      </c>
      <c r="F2379" s="430" t="s">
        <v>3497</v>
      </c>
      <c r="G2379" s="300" t="str">
        <f t="shared" si="78"/>
        <v>ChardonnayNRW</v>
      </c>
    </row>
    <row r="2380" spans="1:7" ht="12" customHeight="1">
      <c r="A2380" s="298">
        <v>36201</v>
      </c>
      <c r="B2380" s="299" t="s">
        <v>3506</v>
      </c>
      <c r="C2380" s="299">
        <v>20</v>
      </c>
      <c r="D2380" s="299">
        <f t="shared" si="77"/>
        <v>2</v>
      </c>
      <c r="E2380" s="299">
        <v>58</v>
      </c>
      <c r="F2380" s="430" t="s">
        <v>3499</v>
      </c>
      <c r="G2380" s="300" t="str">
        <f t="shared" si="78"/>
        <v>ChardonnayPfalz</v>
      </c>
    </row>
    <row r="2381" spans="1:7" ht="12" customHeight="1">
      <c r="A2381" s="298">
        <v>36205</v>
      </c>
      <c r="B2381" s="299" t="s">
        <v>3506</v>
      </c>
      <c r="C2381" s="299">
        <v>120</v>
      </c>
      <c r="D2381" s="299">
        <f t="shared" si="77"/>
        <v>2</v>
      </c>
      <c r="E2381" s="299">
        <v>60</v>
      </c>
      <c r="F2381" s="430" t="s">
        <v>3499</v>
      </c>
      <c r="G2381" s="300" t="str">
        <f t="shared" si="78"/>
        <v>ChardonnayPfalz</v>
      </c>
    </row>
    <row r="2382" spans="1:7" ht="12" customHeight="1">
      <c r="A2382" s="298">
        <v>36207</v>
      </c>
      <c r="B2382" s="299" t="s">
        <v>3506</v>
      </c>
      <c r="C2382" s="299">
        <v>10</v>
      </c>
      <c r="D2382" s="299">
        <f t="shared" si="77"/>
        <v>2</v>
      </c>
      <c r="E2382" s="299">
        <v>58</v>
      </c>
      <c r="F2382" s="430" t="s">
        <v>3499</v>
      </c>
      <c r="G2382" s="300" t="str">
        <f t="shared" si="78"/>
        <v>ChardonnayPfalz</v>
      </c>
    </row>
    <row r="2383" spans="1:7" ht="12" customHeight="1">
      <c r="A2383" s="298">
        <v>36209</v>
      </c>
      <c r="B2383" s="299" t="s">
        <v>3506</v>
      </c>
      <c r="C2383" s="299">
        <v>90</v>
      </c>
      <c r="D2383" s="299">
        <f t="shared" si="77"/>
        <v>2</v>
      </c>
      <c r="E2383" s="299">
        <v>60</v>
      </c>
      <c r="F2383" s="430" t="s">
        <v>3499</v>
      </c>
      <c r="G2383" s="300" t="str">
        <f t="shared" si="78"/>
        <v>ChardonnayPfalz</v>
      </c>
    </row>
    <row r="2384" spans="1:7" ht="12" customHeight="1">
      <c r="A2384" s="298">
        <v>36212</v>
      </c>
      <c r="B2384" s="299" t="s">
        <v>3506</v>
      </c>
      <c r="C2384" s="299">
        <v>50</v>
      </c>
      <c r="D2384" s="299">
        <f t="shared" si="77"/>
        <v>2</v>
      </c>
      <c r="E2384" s="299">
        <v>59</v>
      </c>
      <c r="F2384" s="430" t="s">
        <v>3499</v>
      </c>
      <c r="G2384" s="300" t="str">
        <f t="shared" si="78"/>
        <v>ChardonnayPfalz</v>
      </c>
    </row>
    <row r="2385" spans="1:7" ht="12" customHeight="1">
      <c r="A2385" s="298">
        <v>36213</v>
      </c>
      <c r="B2385" s="299" t="s">
        <v>3506</v>
      </c>
      <c r="C2385" s="299">
        <v>30</v>
      </c>
      <c r="D2385" s="299">
        <f t="shared" si="77"/>
        <v>2</v>
      </c>
      <c r="E2385" s="299">
        <v>55</v>
      </c>
      <c r="F2385" s="430" t="s">
        <v>3499</v>
      </c>
      <c r="G2385" s="300" t="str">
        <f t="shared" si="78"/>
        <v>ChardonnayPfalz</v>
      </c>
    </row>
    <row r="2386" spans="1:7" ht="12" customHeight="1">
      <c r="A2386" s="298">
        <v>36216</v>
      </c>
      <c r="B2386" s="299" t="s">
        <v>3506</v>
      </c>
      <c r="C2386" s="299">
        <v>90</v>
      </c>
      <c r="D2386" s="299">
        <f t="shared" si="77"/>
        <v>2</v>
      </c>
      <c r="E2386" s="299">
        <v>60</v>
      </c>
      <c r="F2386" s="430" t="s">
        <v>3499</v>
      </c>
      <c r="G2386" s="300" t="str">
        <f t="shared" si="78"/>
        <v>ChardonnayPfalz</v>
      </c>
    </row>
    <row r="2387" spans="1:7" ht="12" customHeight="1">
      <c r="A2387" s="298">
        <v>36217</v>
      </c>
      <c r="B2387" s="299" t="s">
        <v>3506</v>
      </c>
      <c r="C2387" s="299">
        <v>210</v>
      </c>
      <c r="D2387" s="299">
        <f t="shared" si="77"/>
        <v>2</v>
      </c>
      <c r="E2387" s="299">
        <v>59</v>
      </c>
      <c r="F2387" s="430" t="s">
        <v>3499</v>
      </c>
      <c r="G2387" s="300" t="str">
        <f t="shared" si="78"/>
        <v>ChardonnayPfalz</v>
      </c>
    </row>
    <row r="2388" spans="1:7" ht="12" customHeight="1">
      <c r="A2388" s="298">
        <v>36222</v>
      </c>
      <c r="B2388" s="299" t="s">
        <v>3506</v>
      </c>
      <c r="C2388" s="299">
        <v>210</v>
      </c>
      <c r="D2388" s="299">
        <f t="shared" si="77"/>
        <v>3</v>
      </c>
      <c r="E2388" s="299">
        <v>59</v>
      </c>
      <c r="F2388" s="430" t="s">
        <v>3499</v>
      </c>
      <c r="G2388" s="300" t="str">
        <f t="shared" si="78"/>
        <v>ChardonnayPfalz</v>
      </c>
    </row>
    <row r="2389" spans="1:7" ht="12" customHeight="1">
      <c r="A2389" s="298">
        <v>36231</v>
      </c>
      <c r="B2389" s="299" t="s">
        <v>3506</v>
      </c>
      <c r="C2389" s="299">
        <v>110</v>
      </c>
      <c r="D2389" s="299">
        <f t="shared" si="77"/>
        <v>3</v>
      </c>
      <c r="E2389" s="299">
        <v>58</v>
      </c>
      <c r="F2389" s="430" t="s">
        <v>3499</v>
      </c>
      <c r="G2389" s="300" t="str">
        <f t="shared" si="78"/>
        <v>ChardonnayPfalz</v>
      </c>
    </row>
    <row r="2390" spans="1:7" ht="12" customHeight="1">
      <c r="A2390" s="298">
        <v>36242</v>
      </c>
      <c r="B2390" s="299" t="s">
        <v>3506</v>
      </c>
      <c r="C2390" s="299">
        <v>100</v>
      </c>
      <c r="D2390" s="299">
        <f t="shared" si="77"/>
        <v>3</v>
      </c>
      <c r="E2390" s="299">
        <v>59</v>
      </c>
      <c r="F2390" s="430" t="s">
        <v>3499</v>
      </c>
      <c r="G2390" s="300" t="str">
        <f t="shared" si="78"/>
        <v>ChardonnayPfalz</v>
      </c>
    </row>
    <row r="2391" spans="1:7" ht="12" customHeight="1">
      <c r="A2391" s="298">
        <v>36245</v>
      </c>
      <c r="B2391" s="299" t="s">
        <v>3506</v>
      </c>
      <c r="C2391" s="299">
        <v>40</v>
      </c>
      <c r="D2391" s="299">
        <f t="shared" si="77"/>
        <v>3</v>
      </c>
      <c r="E2391" s="299">
        <v>55</v>
      </c>
      <c r="F2391" s="430" t="s">
        <v>3499</v>
      </c>
      <c r="G2391" s="300" t="str">
        <f t="shared" si="78"/>
        <v>ChardonnayPfalz</v>
      </c>
    </row>
    <row r="2392" spans="1:7" ht="12" customHeight="1">
      <c r="A2392" s="298">
        <v>36246</v>
      </c>
      <c r="B2392" s="299" t="s">
        <v>3506</v>
      </c>
      <c r="C2392" s="299">
        <v>90</v>
      </c>
      <c r="D2392" s="299">
        <f t="shared" si="77"/>
        <v>3</v>
      </c>
      <c r="E2392" s="299">
        <v>59</v>
      </c>
      <c r="F2392" s="430" t="s">
        <v>3499</v>
      </c>
      <c r="G2392" s="300" t="str">
        <f t="shared" si="78"/>
        <v>ChardonnayPfalz</v>
      </c>
    </row>
    <row r="2393" spans="1:7" ht="12" customHeight="1">
      <c r="A2393" s="298">
        <v>36281</v>
      </c>
      <c r="B2393" s="299" t="s">
        <v>3506</v>
      </c>
      <c r="C2393" s="299">
        <v>210</v>
      </c>
      <c r="D2393" s="299">
        <f t="shared" si="77"/>
        <v>5</v>
      </c>
      <c r="E2393" s="299">
        <v>57</v>
      </c>
      <c r="F2393" s="430" t="s">
        <v>3499</v>
      </c>
      <c r="G2393" s="300" t="str">
        <f t="shared" si="78"/>
        <v>ChardonnayPfalz</v>
      </c>
    </row>
    <row r="2394" spans="1:7" ht="12" customHeight="1">
      <c r="A2394" s="298">
        <v>36282</v>
      </c>
      <c r="B2394" s="299" t="s">
        <v>3506</v>
      </c>
      <c r="C2394" s="299">
        <v>50</v>
      </c>
      <c r="D2394" s="299">
        <f t="shared" si="77"/>
        <v>5</v>
      </c>
      <c r="E2394" s="299">
        <v>57</v>
      </c>
      <c r="F2394" s="430" t="s">
        <v>3499</v>
      </c>
      <c r="G2394" s="300" t="str">
        <f t="shared" si="78"/>
        <v>ChardonnayPfalz</v>
      </c>
    </row>
    <row r="2395" spans="1:7" ht="12" customHeight="1">
      <c r="A2395" s="298">
        <v>36282</v>
      </c>
      <c r="B2395" s="299" t="s">
        <v>3506</v>
      </c>
      <c r="C2395" s="299">
        <v>210</v>
      </c>
      <c r="D2395" s="299">
        <f t="shared" si="77"/>
        <v>5</v>
      </c>
      <c r="E2395" s="299">
        <v>59</v>
      </c>
      <c r="F2395" s="430" t="s">
        <v>3499</v>
      </c>
      <c r="G2395" s="300" t="str">
        <f t="shared" si="78"/>
        <v>ChardonnayPfalz</v>
      </c>
    </row>
    <row r="2396" spans="1:7" ht="12" customHeight="1">
      <c r="A2396" s="298">
        <v>36292</v>
      </c>
      <c r="B2396" s="299" t="s">
        <v>3506</v>
      </c>
      <c r="C2396" s="299">
        <v>60</v>
      </c>
      <c r="D2396" s="299">
        <f t="shared" si="77"/>
        <v>5</v>
      </c>
      <c r="E2396" s="299">
        <v>57</v>
      </c>
      <c r="F2396" s="430" t="s">
        <v>3499</v>
      </c>
      <c r="G2396" s="300" t="str">
        <f t="shared" si="78"/>
        <v>ChardonnayPfalz</v>
      </c>
    </row>
    <row r="2397" spans="1:7" ht="12" customHeight="1">
      <c r="A2397" s="298">
        <v>36293</v>
      </c>
      <c r="B2397" s="299" t="s">
        <v>3506</v>
      </c>
      <c r="C2397" s="299">
        <v>30</v>
      </c>
      <c r="D2397" s="299">
        <f t="shared" si="77"/>
        <v>5</v>
      </c>
      <c r="E2397" s="299">
        <v>57</v>
      </c>
      <c r="F2397" s="430" t="s">
        <v>3499</v>
      </c>
      <c r="G2397" s="300" t="str">
        <f t="shared" si="78"/>
        <v>ChardonnayPfalz</v>
      </c>
    </row>
    <row r="2398" spans="1:7" ht="12" customHeight="1">
      <c r="A2398" s="298">
        <v>36295</v>
      </c>
      <c r="B2398" s="299" t="s">
        <v>3506</v>
      </c>
      <c r="C2398" s="299">
        <v>50</v>
      </c>
      <c r="D2398" s="299">
        <f t="shared" si="77"/>
        <v>5</v>
      </c>
      <c r="E2398" s="299">
        <v>56</v>
      </c>
      <c r="F2398" s="430" t="s">
        <v>3499</v>
      </c>
      <c r="G2398" s="300" t="str">
        <f t="shared" si="78"/>
        <v>ChardonnayPfalz</v>
      </c>
    </row>
    <row r="2399" spans="1:7" ht="12" customHeight="1">
      <c r="A2399" s="298">
        <v>36300</v>
      </c>
      <c r="B2399" s="299" t="s">
        <v>3506</v>
      </c>
      <c r="C2399" s="299">
        <v>210</v>
      </c>
      <c r="D2399" s="299">
        <f t="shared" si="77"/>
        <v>5</v>
      </c>
      <c r="E2399" s="299">
        <v>57</v>
      </c>
      <c r="F2399" s="430" t="s">
        <v>3499</v>
      </c>
      <c r="G2399" s="300" t="str">
        <f t="shared" si="78"/>
        <v>ChardonnayPfalz</v>
      </c>
    </row>
    <row r="2400" spans="1:7" ht="12" customHeight="1">
      <c r="A2400" s="298">
        <v>36307</v>
      </c>
      <c r="B2400" s="299" t="s">
        <v>3506</v>
      </c>
      <c r="C2400" s="299">
        <v>110</v>
      </c>
      <c r="D2400" s="299">
        <f t="shared" si="77"/>
        <v>5</v>
      </c>
      <c r="E2400" s="299">
        <v>57</v>
      </c>
      <c r="F2400" s="430" t="s">
        <v>3499</v>
      </c>
      <c r="G2400" s="300" t="str">
        <f t="shared" si="78"/>
        <v>ChardonnayPfalz</v>
      </c>
    </row>
    <row r="2401" spans="1:7" ht="12" customHeight="1">
      <c r="A2401" s="298">
        <v>36315</v>
      </c>
      <c r="B2401" s="299" t="s">
        <v>3506</v>
      </c>
      <c r="C2401" s="299">
        <v>90</v>
      </c>
      <c r="D2401" s="299">
        <f t="shared" si="77"/>
        <v>6</v>
      </c>
      <c r="E2401" s="299">
        <v>55</v>
      </c>
      <c r="F2401" s="430" t="s">
        <v>3499</v>
      </c>
      <c r="G2401" s="300" t="str">
        <f t="shared" si="78"/>
        <v>ChardonnayPfalz</v>
      </c>
    </row>
    <row r="2402" spans="1:7" ht="12" customHeight="1">
      <c r="A2402" s="298">
        <v>36323</v>
      </c>
      <c r="B2402" s="299" t="s">
        <v>3506</v>
      </c>
      <c r="C2402" s="299">
        <v>10</v>
      </c>
      <c r="D2402" s="299">
        <f t="shared" si="77"/>
        <v>6</v>
      </c>
      <c r="E2402" s="299">
        <v>55</v>
      </c>
      <c r="F2402" s="430" t="s">
        <v>3499</v>
      </c>
      <c r="G2402" s="300" t="str">
        <f t="shared" si="78"/>
        <v>ChardonnayPfalz</v>
      </c>
    </row>
    <row r="2403" spans="1:7" ht="12" customHeight="1">
      <c r="A2403" s="298">
        <v>36332</v>
      </c>
      <c r="B2403" s="299" t="s">
        <v>3506</v>
      </c>
      <c r="C2403" s="299">
        <v>80</v>
      </c>
      <c r="D2403" s="299">
        <f t="shared" si="77"/>
        <v>6</v>
      </c>
      <c r="E2403" s="299">
        <v>56</v>
      </c>
      <c r="F2403" s="430" t="s">
        <v>3499</v>
      </c>
      <c r="G2403" s="300" t="str">
        <f t="shared" si="78"/>
        <v>ChardonnayPfalz</v>
      </c>
    </row>
    <row r="2404" spans="1:7" ht="12" customHeight="1">
      <c r="A2404" s="298">
        <v>36346</v>
      </c>
      <c r="B2404" s="299" t="s">
        <v>3506</v>
      </c>
      <c r="C2404" s="299">
        <v>10</v>
      </c>
      <c r="D2404" s="299">
        <f t="shared" si="77"/>
        <v>7</v>
      </c>
      <c r="E2404" s="299">
        <v>56</v>
      </c>
      <c r="F2404" s="430" t="s">
        <v>3499</v>
      </c>
      <c r="G2404" s="300" t="str">
        <f t="shared" si="78"/>
        <v>ChardonnayPfalz</v>
      </c>
    </row>
    <row r="2405" spans="1:7" ht="12" customHeight="1">
      <c r="A2405" s="298">
        <v>36349</v>
      </c>
      <c r="B2405" s="299" t="s">
        <v>3506</v>
      </c>
      <c r="C2405" s="299">
        <v>20</v>
      </c>
      <c r="D2405" s="299">
        <f t="shared" si="77"/>
        <v>7</v>
      </c>
      <c r="E2405" s="299">
        <v>59</v>
      </c>
      <c r="F2405" s="430" t="s">
        <v>3499</v>
      </c>
      <c r="G2405" s="300" t="str">
        <f t="shared" si="78"/>
        <v>ChardonnayPfalz</v>
      </c>
    </row>
    <row r="2406" spans="1:7" ht="12" customHeight="1">
      <c r="A2406" s="298">
        <v>36351</v>
      </c>
      <c r="B2406" s="299" t="s">
        <v>3506</v>
      </c>
      <c r="C2406" s="299">
        <v>180</v>
      </c>
      <c r="D2406" s="299">
        <f t="shared" si="77"/>
        <v>7</v>
      </c>
      <c r="E2406" s="299">
        <v>58</v>
      </c>
      <c r="F2406" s="430" t="s">
        <v>3499</v>
      </c>
      <c r="G2406" s="300" t="str">
        <f t="shared" si="78"/>
        <v>ChardonnayPfalz</v>
      </c>
    </row>
    <row r="2407" spans="1:7" ht="12" customHeight="1">
      <c r="A2407" s="298">
        <v>36352</v>
      </c>
      <c r="B2407" s="299" t="s">
        <v>3506</v>
      </c>
      <c r="C2407" s="299">
        <v>30</v>
      </c>
      <c r="D2407" s="299">
        <f t="shared" si="77"/>
        <v>7</v>
      </c>
      <c r="E2407" s="299">
        <v>61</v>
      </c>
      <c r="F2407" s="430" t="s">
        <v>3499</v>
      </c>
      <c r="G2407" s="300" t="str">
        <f t="shared" si="78"/>
        <v>ChardonnayPfalz</v>
      </c>
    </row>
    <row r="2408" spans="1:7" ht="12" customHeight="1">
      <c r="A2408" s="298">
        <v>36353</v>
      </c>
      <c r="B2408" s="299" t="s">
        <v>3506</v>
      </c>
      <c r="C2408" s="299">
        <v>100</v>
      </c>
      <c r="D2408" s="299">
        <f t="shared" si="77"/>
        <v>7</v>
      </c>
      <c r="E2408" s="299">
        <v>59</v>
      </c>
      <c r="F2408" s="430" t="s">
        <v>3499</v>
      </c>
      <c r="G2408" s="300" t="str">
        <f t="shared" si="78"/>
        <v>ChardonnayPfalz</v>
      </c>
    </row>
    <row r="2409" spans="1:7" ht="12" customHeight="1">
      <c r="A2409" s="298">
        <v>36353</v>
      </c>
      <c r="B2409" s="299" t="s">
        <v>3506</v>
      </c>
      <c r="C2409" s="299">
        <v>210</v>
      </c>
      <c r="D2409" s="299">
        <f t="shared" si="77"/>
        <v>7</v>
      </c>
      <c r="E2409" s="299">
        <v>58</v>
      </c>
      <c r="F2409" s="430" t="s">
        <v>3499</v>
      </c>
      <c r="G2409" s="300" t="str">
        <f t="shared" si="78"/>
        <v>ChardonnayPfalz</v>
      </c>
    </row>
    <row r="2410" spans="1:7" ht="12" customHeight="1">
      <c r="A2410" s="298">
        <v>36356</v>
      </c>
      <c r="B2410" s="299" t="s">
        <v>3506</v>
      </c>
      <c r="C2410" s="299">
        <v>10</v>
      </c>
      <c r="D2410" s="299">
        <f t="shared" si="77"/>
        <v>7</v>
      </c>
      <c r="E2410" s="299">
        <v>61</v>
      </c>
      <c r="F2410" s="430" t="s">
        <v>3499</v>
      </c>
      <c r="G2410" s="300" t="str">
        <f t="shared" si="78"/>
        <v>ChardonnayPfalz</v>
      </c>
    </row>
    <row r="2411" spans="1:7" ht="12" customHeight="1">
      <c r="A2411" s="298">
        <v>36359</v>
      </c>
      <c r="B2411" s="299" t="s">
        <v>3506</v>
      </c>
      <c r="C2411" s="299">
        <v>120</v>
      </c>
      <c r="D2411" s="299">
        <f t="shared" si="77"/>
        <v>7</v>
      </c>
      <c r="E2411" s="299">
        <v>61</v>
      </c>
      <c r="F2411" s="430" t="s">
        <v>3499</v>
      </c>
      <c r="G2411" s="300" t="str">
        <f t="shared" si="78"/>
        <v>ChardonnayPfalz</v>
      </c>
    </row>
    <row r="2412" spans="1:7" ht="12" customHeight="1">
      <c r="A2412" s="298">
        <v>36364</v>
      </c>
      <c r="B2412" s="299" t="s">
        <v>3506</v>
      </c>
      <c r="C2412" s="299">
        <v>100</v>
      </c>
      <c r="D2412" s="299">
        <f t="shared" si="77"/>
        <v>7</v>
      </c>
      <c r="E2412" s="299">
        <v>59</v>
      </c>
      <c r="F2412" s="430" t="s">
        <v>3499</v>
      </c>
      <c r="G2412" s="300" t="str">
        <f t="shared" si="78"/>
        <v>ChardonnayPfalz</v>
      </c>
    </row>
    <row r="2413" spans="1:7" ht="12" customHeight="1">
      <c r="A2413" s="298">
        <v>36364</v>
      </c>
      <c r="B2413" s="299" t="s">
        <v>3506</v>
      </c>
      <c r="C2413" s="299">
        <v>20</v>
      </c>
      <c r="D2413" s="299">
        <f t="shared" si="77"/>
        <v>7</v>
      </c>
      <c r="E2413" s="299">
        <v>58</v>
      </c>
      <c r="F2413" s="430" t="s">
        <v>3499</v>
      </c>
      <c r="G2413" s="300" t="str">
        <f t="shared" si="78"/>
        <v>ChardonnayPfalz</v>
      </c>
    </row>
    <row r="2414" spans="1:7" ht="12" customHeight="1">
      <c r="A2414" s="298">
        <v>36365</v>
      </c>
      <c r="B2414" s="299" t="s">
        <v>3506</v>
      </c>
      <c r="C2414" s="299">
        <v>60</v>
      </c>
      <c r="D2414" s="299">
        <f t="shared" si="77"/>
        <v>7</v>
      </c>
      <c r="E2414" s="299">
        <v>58</v>
      </c>
      <c r="F2414" s="430" t="s">
        <v>3499</v>
      </c>
      <c r="G2414" s="300" t="str">
        <f t="shared" si="78"/>
        <v>ChardonnayPfalz</v>
      </c>
    </row>
    <row r="2415" spans="1:7" ht="12" customHeight="1">
      <c r="A2415" s="298">
        <v>36366</v>
      </c>
      <c r="B2415" s="299" t="s">
        <v>3506</v>
      </c>
      <c r="C2415" s="299">
        <v>80</v>
      </c>
      <c r="D2415" s="299">
        <f t="shared" si="77"/>
        <v>7</v>
      </c>
      <c r="E2415" s="299">
        <v>59</v>
      </c>
      <c r="F2415" s="430" t="s">
        <v>3499</v>
      </c>
      <c r="G2415" s="300" t="str">
        <f t="shared" si="78"/>
        <v>ChardonnayPfalz</v>
      </c>
    </row>
    <row r="2416" spans="1:7" ht="12" customHeight="1">
      <c r="A2416" s="298">
        <v>36368</v>
      </c>
      <c r="B2416" s="299" t="s">
        <v>3506</v>
      </c>
      <c r="C2416" s="299">
        <v>210</v>
      </c>
      <c r="D2416" s="299">
        <f t="shared" si="77"/>
        <v>7</v>
      </c>
      <c r="E2416" s="299">
        <v>59</v>
      </c>
      <c r="F2416" s="430" t="s">
        <v>3499</v>
      </c>
      <c r="G2416" s="300" t="str">
        <f t="shared" si="78"/>
        <v>ChardonnayPfalz</v>
      </c>
    </row>
    <row r="2417" spans="1:7" ht="12" customHeight="1">
      <c r="A2417" s="298">
        <v>36387</v>
      </c>
      <c r="B2417" s="299" t="s">
        <v>3506</v>
      </c>
      <c r="C2417" s="299">
        <v>240</v>
      </c>
      <c r="D2417" s="299">
        <f t="shared" si="77"/>
        <v>8</v>
      </c>
      <c r="E2417" s="299">
        <v>55</v>
      </c>
      <c r="F2417" s="430" t="s">
        <v>3499</v>
      </c>
      <c r="G2417" s="300" t="str">
        <f t="shared" si="78"/>
        <v>ChardonnayPfalz</v>
      </c>
    </row>
    <row r="2418" spans="1:7" ht="12" customHeight="1">
      <c r="A2418" s="298">
        <v>36389</v>
      </c>
      <c r="B2418" s="299" t="s">
        <v>3506</v>
      </c>
      <c r="C2418" s="299">
        <v>110</v>
      </c>
      <c r="D2418" s="299">
        <f t="shared" si="77"/>
        <v>8</v>
      </c>
      <c r="E2418" s="299">
        <v>57</v>
      </c>
      <c r="F2418" s="430" t="s">
        <v>3499</v>
      </c>
      <c r="G2418" s="300" t="str">
        <f t="shared" si="78"/>
        <v>ChardonnayPfalz</v>
      </c>
    </row>
    <row r="2419" spans="1:7" ht="12" customHeight="1">
      <c r="A2419" s="298">
        <v>36406</v>
      </c>
      <c r="B2419" s="299" t="s">
        <v>3506</v>
      </c>
      <c r="C2419" s="299">
        <v>80</v>
      </c>
      <c r="D2419" s="299">
        <f t="shared" si="77"/>
        <v>9</v>
      </c>
      <c r="E2419" s="299">
        <v>56</v>
      </c>
      <c r="F2419" s="430" t="s">
        <v>3499</v>
      </c>
      <c r="G2419" s="300" t="str">
        <f t="shared" si="78"/>
        <v>ChardonnayPfalz</v>
      </c>
    </row>
    <row r="2420" spans="1:7" ht="12" customHeight="1">
      <c r="A2420" s="298">
        <v>36411</v>
      </c>
      <c r="B2420" s="299" t="s">
        <v>3506</v>
      </c>
      <c r="C2420" s="299">
        <v>110</v>
      </c>
      <c r="D2420" s="299">
        <f t="shared" si="77"/>
        <v>9</v>
      </c>
      <c r="E2420" s="299">
        <v>61</v>
      </c>
      <c r="F2420" s="430" t="s">
        <v>3499</v>
      </c>
      <c r="G2420" s="300" t="str">
        <f t="shared" si="78"/>
        <v>ChardonnayPfalz</v>
      </c>
    </row>
    <row r="2421" spans="1:7" ht="12" customHeight="1">
      <c r="A2421" s="298">
        <v>36436</v>
      </c>
      <c r="B2421" s="299" t="s">
        <v>3506</v>
      </c>
      <c r="C2421" s="299">
        <v>10</v>
      </c>
      <c r="D2421" s="299">
        <f t="shared" si="77"/>
        <v>10</v>
      </c>
      <c r="E2421" s="299">
        <v>59</v>
      </c>
      <c r="F2421" s="430" t="s">
        <v>3499</v>
      </c>
      <c r="G2421" s="300" t="str">
        <f t="shared" si="78"/>
        <v>ChardonnayPfalz</v>
      </c>
    </row>
    <row r="2422" spans="1:7" ht="12" customHeight="1">
      <c r="A2422" s="298">
        <v>36451</v>
      </c>
      <c r="B2422" s="299" t="s">
        <v>3506</v>
      </c>
      <c r="C2422" s="299">
        <v>120</v>
      </c>
      <c r="D2422" s="299">
        <f t="shared" si="77"/>
        <v>10</v>
      </c>
      <c r="E2422" s="299">
        <v>55</v>
      </c>
      <c r="F2422" s="430" t="s">
        <v>3499</v>
      </c>
      <c r="G2422" s="300" t="str">
        <f t="shared" si="78"/>
        <v>ChardonnayPfalz</v>
      </c>
    </row>
    <row r="2423" spans="1:7" ht="12" customHeight="1">
      <c r="A2423" s="298">
        <v>36467</v>
      </c>
      <c r="B2423" s="299" t="s">
        <v>3506</v>
      </c>
      <c r="C2423" s="299">
        <v>150</v>
      </c>
      <c r="D2423" s="299">
        <f t="shared" si="77"/>
        <v>11</v>
      </c>
      <c r="E2423" s="299">
        <v>57</v>
      </c>
      <c r="F2423" s="430" t="s">
        <v>3499</v>
      </c>
      <c r="G2423" s="300" t="str">
        <f t="shared" si="78"/>
        <v>ChardonnayPfalz</v>
      </c>
    </row>
    <row r="2424" spans="1:7" ht="12" customHeight="1">
      <c r="A2424" s="298">
        <v>36469</v>
      </c>
      <c r="B2424" s="299" t="s">
        <v>3506</v>
      </c>
      <c r="C2424" s="299">
        <v>120</v>
      </c>
      <c r="D2424" s="299">
        <f t="shared" si="77"/>
        <v>11</v>
      </c>
      <c r="E2424" s="299">
        <v>57</v>
      </c>
      <c r="F2424" s="430" t="s">
        <v>3499</v>
      </c>
      <c r="G2424" s="300" t="str">
        <f t="shared" si="78"/>
        <v>ChardonnayPfalz</v>
      </c>
    </row>
    <row r="2425" spans="1:7" ht="12" customHeight="1">
      <c r="A2425" s="298">
        <v>36469</v>
      </c>
      <c r="B2425" s="299" t="s">
        <v>3506</v>
      </c>
      <c r="C2425" s="299">
        <v>50</v>
      </c>
      <c r="D2425" s="299">
        <f t="shared" si="77"/>
        <v>11</v>
      </c>
      <c r="E2425" s="299">
        <v>58</v>
      </c>
      <c r="F2425" s="430" t="s">
        <v>3499</v>
      </c>
      <c r="G2425" s="300" t="str">
        <f t="shared" si="78"/>
        <v>ChardonnayPfalz</v>
      </c>
    </row>
    <row r="2426" spans="1:7" ht="12" customHeight="1">
      <c r="A2426" s="298">
        <v>36471</v>
      </c>
      <c r="B2426" s="299" t="s">
        <v>3506</v>
      </c>
      <c r="C2426" s="299">
        <v>120</v>
      </c>
      <c r="D2426" s="299">
        <f t="shared" si="77"/>
        <v>11</v>
      </c>
      <c r="E2426" s="299">
        <v>55</v>
      </c>
      <c r="F2426" s="430" t="s">
        <v>3499</v>
      </c>
      <c r="G2426" s="300" t="str">
        <f t="shared" si="78"/>
        <v>ChardonnayPfalz</v>
      </c>
    </row>
    <row r="2427" spans="1:7" ht="12" customHeight="1">
      <c r="A2427" s="298">
        <v>36473</v>
      </c>
      <c r="B2427" s="299" t="s">
        <v>3506</v>
      </c>
      <c r="C2427" s="299">
        <v>20</v>
      </c>
      <c r="D2427" s="299">
        <f t="shared" si="77"/>
        <v>11</v>
      </c>
      <c r="E2427" s="299">
        <v>58</v>
      </c>
      <c r="F2427" s="430" t="s">
        <v>3499</v>
      </c>
      <c r="G2427" s="300" t="str">
        <f t="shared" si="78"/>
        <v>ChardonnayPfalz</v>
      </c>
    </row>
    <row r="2428" spans="1:7" ht="12" customHeight="1">
      <c r="A2428" s="298">
        <v>36473</v>
      </c>
      <c r="B2428" s="299" t="s">
        <v>3506</v>
      </c>
      <c r="C2428" s="299">
        <v>80</v>
      </c>
      <c r="D2428" s="299">
        <f t="shared" si="77"/>
        <v>11</v>
      </c>
      <c r="E2428" s="299">
        <v>58</v>
      </c>
      <c r="F2428" s="430" t="s">
        <v>3499</v>
      </c>
      <c r="G2428" s="300" t="str">
        <f t="shared" si="78"/>
        <v>ChardonnayPfalz</v>
      </c>
    </row>
    <row r="2429" spans="1:7" ht="12" customHeight="1">
      <c r="A2429" s="298">
        <v>36476</v>
      </c>
      <c r="B2429" s="299" t="s">
        <v>3506</v>
      </c>
      <c r="C2429" s="299">
        <v>20</v>
      </c>
      <c r="D2429" s="299">
        <f t="shared" si="77"/>
        <v>11</v>
      </c>
      <c r="E2429" s="299">
        <v>55</v>
      </c>
      <c r="F2429" s="430" t="s">
        <v>3499</v>
      </c>
      <c r="G2429" s="300" t="str">
        <f t="shared" si="78"/>
        <v>ChardonnayPfalz</v>
      </c>
    </row>
    <row r="2430" spans="1:7" ht="12" customHeight="1">
      <c r="A2430" s="298">
        <v>36476</v>
      </c>
      <c r="B2430" s="299" t="s">
        <v>3506</v>
      </c>
      <c r="C2430" s="299">
        <v>110</v>
      </c>
      <c r="D2430" s="299">
        <f t="shared" si="77"/>
        <v>11</v>
      </c>
      <c r="E2430" s="299">
        <v>57</v>
      </c>
      <c r="F2430" s="430" t="s">
        <v>3499</v>
      </c>
      <c r="G2430" s="300" t="str">
        <f t="shared" si="78"/>
        <v>ChardonnayPfalz</v>
      </c>
    </row>
    <row r="2431" spans="1:7" ht="12" customHeight="1">
      <c r="A2431" s="298">
        <v>36479</v>
      </c>
      <c r="B2431" s="299" t="s">
        <v>3506</v>
      </c>
      <c r="C2431" s="299">
        <v>80</v>
      </c>
      <c r="D2431" s="299">
        <f t="shared" si="77"/>
        <v>11</v>
      </c>
      <c r="E2431" s="299">
        <v>61</v>
      </c>
      <c r="F2431" s="430" t="s">
        <v>3499</v>
      </c>
      <c r="G2431" s="300" t="str">
        <f t="shared" si="78"/>
        <v>ChardonnayPfalz</v>
      </c>
    </row>
    <row r="2432" spans="1:7" ht="12" customHeight="1">
      <c r="A2432" s="298">
        <v>36487</v>
      </c>
      <c r="B2432" s="299" t="s">
        <v>3506</v>
      </c>
      <c r="C2432" s="299">
        <v>30</v>
      </c>
      <c r="D2432" s="299">
        <f t="shared" si="77"/>
        <v>11</v>
      </c>
      <c r="E2432" s="299">
        <v>55</v>
      </c>
      <c r="F2432" s="430" t="s">
        <v>3499</v>
      </c>
      <c r="G2432" s="300" t="str">
        <f t="shared" si="78"/>
        <v>ChardonnayPfalz</v>
      </c>
    </row>
    <row r="2433" spans="1:7" ht="12" customHeight="1">
      <c r="A2433" s="298">
        <v>36488</v>
      </c>
      <c r="B2433" s="299" t="s">
        <v>3506</v>
      </c>
      <c r="C2433" s="299">
        <v>120</v>
      </c>
      <c r="D2433" s="299">
        <f t="shared" si="77"/>
        <v>11</v>
      </c>
      <c r="E2433" s="299">
        <v>61</v>
      </c>
      <c r="F2433" s="430" t="s">
        <v>3499</v>
      </c>
      <c r="G2433" s="300" t="str">
        <f t="shared" si="78"/>
        <v>ChardonnayPfalz</v>
      </c>
    </row>
    <row r="2434" spans="1:7" ht="12" customHeight="1">
      <c r="A2434" s="298">
        <v>36491</v>
      </c>
      <c r="B2434" s="299" t="s">
        <v>3506</v>
      </c>
      <c r="C2434" s="299">
        <v>30</v>
      </c>
      <c r="D2434" s="299">
        <f t="shared" si="77"/>
        <v>11</v>
      </c>
      <c r="E2434" s="299">
        <v>57</v>
      </c>
      <c r="F2434" s="430" t="s">
        <v>3499</v>
      </c>
      <c r="G2434" s="300" t="str">
        <f t="shared" si="78"/>
        <v>ChardonnayPfalz</v>
      </c>
    </row>
    <row r="2435" spans="1:7" ht="12" customHeight="1">
      <c r="A2435" s="298">
        <v>36493</v>
      </c>
      <c r="B2435" s="299" t="s">
        <v>3506</v>
      </c>
      <c r="C2435" s="299">
        <v>90</v>
      </c>
      <c r="D2435" s="299">
        <f t="shared" si="77"/>
        <v>11</v>
      </c>
      <c r="E2435" s="299">
        <v>57</v>
      </c>
      <c r="F2435" s="430" t="s">
        <v>3499</v>
      </c>
      <c r="G2435" s="300" t="str">
        <f t="shared" si="78"/>
        <v>ChardonnayPfalz</v>
      </c>
    </row>
    <row r="2436" spans="1:7" ht="12" customHeight="1">
      <c r="A2436" s="298">
        <v>36509</v>
      </c>
      <c r="B2436" s="299" t="s">
        <v>3506</v>
      </c>
      <c r="C2436" s="299">
        <v>180</v>
      </c>
      <c r="D2436" s="299">
        <f t="shared" si="77"/>
        <v>12</v>
      </c>
      <c r="E2436" s="299">
        <v>58</v>
      </c>
      <c r="F2436" s="430" t="s">
        <v>3499</v>
      </c>
      <c r="G2436" s="300" t="str">
        <f t="shared" si="78"/>
        <v>ChardonnayPfalz</v>
      </c>
    </row>
    <row r="2437" spans="1:7" ht="12" customHeight="1">
      <c r="A2437" s="298">
        <v>36521</v>
      </c>
      <c r="B2437" s="299" t="s">
        <v>3506</v>
      </c>
      <c r="C2437" s="299">
        <v>90</v>
      </c>
      <c r="D2437" s="299">
        <f t="shared" si="77"/>
        <v>12</v>
      </c>
      <c r="E2437" s="299">
        <v>61</v>
      </c>
      <c r="F2437" s="430" t="s">
        <v>3499</v>
      </c>
      <c r="G2437" s="300" t="str">
        <f t="shared" si="78"/>
        <v>ChardonnayPfalz</v>
      </c>
    </row>
    <row r="2438" spans="1:7" ht="12" customHeight="1">
      <c r="A2438" s="298">
        <v>36523</v>
      </c>
      <c r="B2438" s="299" t="s">
        <v>3506</v>
      </c>
      <c r="C2438" s="299">
        <v>150</v>
      </c>
      <c r="D2438" s="299">
        <f t="shared" ref="D2438:D2501" si="79">MONTH(A2438)</f>
        <v>12</v>
      </c>
      <c r="E2438" s="299">
        <v>55</v>
      </c>
      <c r="F2438" s="430" t="s">
        <v>3499</v>
      </c>
      <c r="G2438" s="300" t="str">
        <f t="shared" ref="G2438:G2501" si="80">B2438&amp;F2438</f>
        <v>ChardonnayPfalz</v>
      </c>
    </row>
    <row r="2439" spans="1:7" ht="12" customHeight="1">
      <c r="A2439" s="298">
        <v>36185</v>
      </c>
      <c r="B2439" s="299" t="s">
        <v>3506</v>
      </c>
      <c r="C2439" s="299">
        <v>50</v>
      </c>
      <c r="D2439" s="299">
        <f t="shared" si="79"/>
        <v>1</v>
      </c>
      <c r="E2439" s="299">
        <v>60</v>
      </c>
      <c r="F2439" s="430" t="s">
        <v>3500</v>
      </c>
      <c r="G2439" s="300" t="str">
        <f t="shared" si="80"/>
        <v>ChardonnaySaarland</v>
      </c>
    </row>
    <row r="2440" spans="1:7" ht="12" customHeight="1">
      <c r="A2440" s="298">
        <v>36190</v>
      </c>
      <c r="B2440" s="299" t="s">
        <v>3506</v>
      </c>
      <c r="C2440" s="299">
        <v>50</v>
      </c>
      <c r="D2440" s="299">
        <f t="shared" si="79"/>
        <v>1</v>
      </c>
      <c r="E2440" s="299">
        <v>59</v>
      </c>
      <c r="F2440" s="430" t="s">
        <v>3500</v>
      </c>
      <c r="G2440" s="300" t="str">
        <f t="shared" si="80"/>
        <v>ChardonnaySaarland</v>
      </c>
    </row>
    <row r="2441" spans="1:7" ht="12" customHeight="1">
      <c r="A2441" s="298">
        <v>36198</v>
      </c>
      <c r="B2441" s="299" t="s">
        <v>3506</v>
      </c>
      <c r="C2441" s="299">
        <v>60</v>
      </c>
      <c r="D2441" s="299">
        <f t="shared" si="79"/>
        <v>2</v>
      </c>
      <c r="E2441" s="299">
        <v>64</v>
      </c>
      <c r="F2441" s="430" t="s">
        <v>3500</v>
      </c>
      <c r="G2441" s="300" t="str">
        <f t="shared" si="80"/>
        <v>ChardonnaySaarland</v>
      </c>
    </row>
    <row r="2442" spans="1:7" ht="12" customHeight="1">
      <c r="A2442" s="298">
        <v>36201</v>
      </c>
      <c r="B2442" s="299" t="s">
        <v>3506</v>
      </c>
      <c r="C2442" s="299">
        <v>80</v>
      </c>
      <c r="D2442" s="299">
        <f t="shared" si="79"/>
        <v>2</v>
      </c>
      <c r="E2442" s="299">
        <v>56</v>
      </c>
      <c r="F2442" s="430" t="s">
        <v>3500</v>
      </c>
      <c r="G2442" s="300" t="str">
        <f t="shared" si="80"/>
        <v>ChardonnaySaarland</v>
      </c>
    </row>
    <row r="2443" spans="1:7" ht="12" customHeight="1">
      <c r="A2443" s="298">
        <v>36202</v>
      </c>
      <c r="B2443" s="299" t="s">
        <v>3506</v>
      </c>
      <c r="C2443" s="299">
        <v>20</v>
      </c>
      <c r="D2443" s="299">
        <f t="shared" si="79"/>
        <v>2</v>
      </c>
      <c r="E2443" s="299">
        <v>56</v>
      </c>
      <c r="F2443" s="430" t="s">
        <v>3500</v>
      </c>
      <c r="G2443" s="300" t="str">
        <f t="shared" si="80"/>
        <v>ChardonnaySaarland</v>
      </c>
    </row>
    <row r="2444" spans="1:7" ht="12" customHeight="1">
      <c r="A2444" s="298">
        <v>36212</v>
      </c>
      <c r="B2444" s="299" t="s">
        <v>3506</v>
      </c>
      <c r="C2444" s="299">
        <v>90</v>
      </c>
      <c r="D2444" s="299">
        <f t="shared" si="79"/>
        <v>2</v>
      </c>
      <c r="E2444" s="299">
        <v>56</v>
      </c>
      <c r="F2444" s="430" t="s">
        <v>3500</v>
      </c>
      <c r="G2444" s="300" t="str">
        <f t="shared" si="80"/>
        <v>ChardonnaySaarland</v>
      </c>
    </row>
    <row r="2445" spans="1:7" ht="12" customHeight="1">
      <c r="A2445" s="298">
        <v>36213</v>
      </c>
      <c r="B2445" s="299" t="s">
        <v>3506</v>
      </c>
      <c r="C2445" s="299">
        <v>10</v>
      </c>
      <c r="D2445" s="299">
        <f t="shared" si="79"/>
        <v>2</v>
      </c>
      <c r="E2445" s="299">
        <v>56</v>
      </c>
      <c r="F2445" s="430" t="s">
        <v>3500</v>
      </c>
      <c r="G2445" s="300" t="str">
        <f t="shared" si="80"/>
        <v>ChardonnaySaarland</v>
      </c>
    </row>
    <row r="2446" spans="1:7" ht="12" customHeight="1">
      <c r="A2446" s="298">
        <v>36214</v>
      </c>
      <c r="B2446" s="299" t="s">
        <v>3506</v>
      </c>
      <c r="C2446" s="299">
        <v>150</v>
      </c>
      <c r="D2446" s="299">
        <f t="shared" si="79"/>
        <v>2</v>
      </c>
      <c r="E2446" s="299">
        <v>59</v>
      </c>
      <c r="F2446" s="430" t="s">
        <v>3500</v>
      </c>
      <c r="G2446" s="300" t="str">
        <f t="shared" si="80"/>
        <v>ChardonnaySaarland</v>
      </c>
    </row>
    <row r="2447" spans="1:7" ht="12" customHeight="1">
      <c r="A2447" s="298">
        <v>36227</v>
      </c>
      <c r="B2447" s="299" t="s">
        <v>3506</v>
      </c>
      <c r="C2447" s="299">
        <v>180</v>
      </c>
      <c r="D2447" s="299">
        <f t="shared" si="79"/>
        <v>3</v>
      </c>
      <c r="E2447" s="299">
        <v>60</v>
      </c>
      <c r="F2447" s="430" t="s">
        <v>3500</v>
      </c>
      <c r="G2447" s="300" t="str">
        <f t="shared" si="80"/>
        <v>ChardonnaySaarland</v>
      </c>
    </row>
    <row r="2448" spans="1:7" ht="12" customHeight="1">
      <c r="A2448" s="298">
        <v>36271</v>
      </c>
      <c r="B2448" s="299" t="s">
        <v>3506</v>
      </c>
      <c r="C2448" s="299">
        <v>10</v>
      </c>
      <c r="D2448" s="299">
        <f t="shared" si="79"/>
        <v>4</v>
      </c>
      <c r="E2448" s="299">
        <v>56</v>
      </c>
      <c r="F2448" s="430" t="s">
        <v>3500</v>
      </c>
      <c r="G2448" s="300" t="str">
        <f t="shared" si="80"/>
        <v>ChardonnaySaarland</v>
      </c>
    </row>
    <row r="2449" spans="1:7" ht="12" customHeight="1">
      <c r="A2449" s="298">
        <v>36273</v>
      </c>
      <c r="B2449" s="299" t="s">
        <v>3506</v>
      </c>
      <c r="C2449" s="299">
        <v>80</v>
      </c>
      <c r="D2449" s="299">
        <f t="shared" si="79"/>
        <v>4</v>
      </c>
      <c r="E2449" s="299">
        <v>64</v>
      </c>
      <c r="F2449" s="430" t="s">
        <v>3500</v>
      </c>
      <c r="G2449" s="300" t="str">
        <f t="shared" si="80"/>
        <v>ChardonnaySaarland</v>
      </c>
    </row>
    <row r="2450" spans="1:7" ht="12" customHeight="1">
      <c r="A2450" s="298">
        <v>36288</v>
      </c>
      <c r="B2450" s="299" t="s">
        <v>3506</v>
      </c>
      <c r="C2450" s="299">
        <v>120</v>
      </c>
      <c r="D2450" s="299">
        <f t="shared" si="79"/>
        <v>5</v>
      </c>
      <c r="E2450" s="299">
        <v>58</v>
      </c>
      <c r="F2450" s="430" t="s">
        <v>3500</v>
      </c>
      <c r="G2450" s="300" t="str">
        <f t="shared" si="80"/>
        <v>ChardonnaySaarland</v>
      </c>
    </row>
    <row r="2451" spans="1:7" ht="12" customHeight="1">
      <c r="A2451" s="298">
        <v>36289</v>
      </c>
      <c r="B2451" s="299" t="s">
        <v>3506</v>
      </c>
      <c r="C2451" s="299">
        <v>60</v>
      </c>
      <c r="D2451" s="299">
        <f t="shared" si="79"/>
        <v>5</v>
      </c>
      <c r="E2451" s="299">
        <v>56</v>
      </c>
      <c r="F2451" s="430" t="s">
        <v>3500</v>
      </c>
      <c r="G2451" s="300" t="str">
        <f t="shared" si="80"/>
        <v>ChardonnaySaarland</v>
      </c>
    </row>
    <row r="2452" spans="1:7" ht="12" customHeight="1">
      <c r="A2452" s="298">
        <v>36303</v>
      </c>
      <c r="B2452" s="299" t="s">
        <v>3506</v>
      </c>
      <c r="C2452" s="299">
        <v>50</v>
      </c>
      <c r="D2452" s="299">
        <f t="shared" si="79"/>
        <v>5</v>
      </c>
      <c r="E2452" s="299">
        <v>56</v>
      </c>
      <c r="F2452" s="430" t="s">
        <v>3500</v>
      </c>
      <c r="G2452" s="300" t="str">
        <f t="shared" si="80"/>
        <v>ChardonnaySaarland</v>
      </c>
    </row>
    <row r="2453" spans="1:7" ht="12" customHeight="1">
      <c r="A2453" s="298">
        <v>36307</v>
      </c>
      <c r="B2453" s="299" t="s">
        <v>3506</v>
      </c>
      <c r="C2453" s="299">
        <v>150</v>
      </c>
      <c r="D2453" s="299">
        <f t="shared" si="79"/>
        <v>5</v>
      </c>
      <c r="E2453" s="299">
        <v>56</v>
      </c>
      <c r="F2453" s="430" t="s">
        <v>3500</v>
      </c>
      <c r="G2453" s="300" t="str">
        <f t="shared" si="80"/>
        <v>ChardonnaySaarland</v>
      </c>
    </row>
    <row r="2454" spans="1:7" ht="12" customHeight="1">
      <c r="A2454" s="298">
        <v>36308</v>
      </c>
      <c r="B2454" s="299" t="s">
        <v>3506</v>
      </c>
      <c r="C2454" s="299">
        <v>180</v>
      </c>
      <c r="D2454" s="299">
        <f t="shared" si="79"/>
        <v>5</v>
      </c>
      <c r="E2454" s="299">
        <v>56</v>
      </c>
      <c r="F2454" s="430" t="s">
        <v>3500</v>
      </c>
      <c r="G2454" s="300" t="str">
        <f t="shared" si="80"/>
        <v>ChardonnaySaarland</v>
      </c>
    </row>
    <row r="2455" spans="1:7" ht="12" customHeight="1">
      <c r="A2455" s="298">
        <v>36317</v>
      </c>
      <c r="B2455" s="299" t="s">
        <v>3506</v>
      </c>
      <c r="C2455" s="299">
        <v>70</v>
      </c>
      <c r="D2455" s="299">
        <f t="shared" si="79"/>
        <v>6</v>
      </c>
      <c r="E2455" s="299">
        <v>58</v>
      </c>
      <c r="F2455" s="430" t="s">
        <v>3500</v>
      </c>
      <c r="G2455" s="300" t="str">
        <f t="shared" si="80"/>
        <v>ChardonnaySaarland</v>
      </c>
    </row>
    <row r="2456" spans="1:7" ht="12" customHeight="1">
      <c r="A2456" s="298">
        <v>36318</v>
      </c>
      <c r="B2456" s="299" t="s">
        <v>3506</v>
      </c>
      <c r="C2456" s="299">
        <v>10</v>
      </c>
      <c r="D2456" s="299">
        <f t="shared" si="79"/>
        <v>6</v>
      </c>
      <c r="E2456" s="299">
        <v>59</v>
      </c>
      <c r="F2456" s="430" t="s">
        <v>3500</v>
      </c>
      <c r="G2456" s="300" t="str">
        <f t="shared" si="80"/>
        <v>ChardonnaySaarland</v>
      </c>
    </row>
    <row r="2457" spans="1:7" ht="12" customHeight="1">
      <c r="A2457" s="298">
        <v>36319</v>
      </c>
      <c r="B2457" s="299" t="s">
        <v>3506</v>
      </c>
      <c r="C2457" s="299">
        <v>150</v>
      </c>
      <c r="D2457" s="299">
        <f t="shared" si="79"/>
        <v>6</v>
      </c>
      <c r="E2457" s="299">
        <v>58</v>
      </c>
      <c r="F2457" s="430" t="s">
        <v>3500</v>
      </c>
      <c r="G2457" s="300" t="str">
        <f t="shared" si="80"/>
        <v>ChardonnaySaarland</v>
      </c>
    </row>
    <row r="2458" spans="1:7" ht="12" customHeight="1">
      <c r="A2458" s="298">
        <v>36324</v>
      </c>
      <c r="B2458" s="299" t="s">
        <v>3506</v>
      </c>
      <c r="C2458" s="299">
        <v>50</v>
      </c>
      <c r="D2458" s="299">
        <f t="shared" si="79"/>
        <v>6</v>
      </c>
      <c r="E2458" s="299">
        <v>59</v>
      </c>
      <c r="F2458" s="430" t="s">
        <v>3500</v>
      </c>
      <c r="G2458" s="300" t="str">
        <f t="shared" si="80"/>
        <v>ChardonnaySaarland</v>
      </c>
    </row>
    <row r="2459" spans="1:7" ht="12" customHeight="1">
      <c r="A2459" s="298">
        <v>36325</v>
      </c>
      <c r="B2459" s="299" t="s">
        <v>3506</v>
      </c>
      <c r="C2459" s="299">
        <v>180</v>
      </c>
      <c r="D2459" s="299">
        <f t="shared" si="79"/>
        <v>6</v>
      </c>
      <c r="E2459" s="299">
        <v>58</v>
      </c>
      <c r="F2459" s="430" t="s">
        <v>3500</v>
      </c>
      <c r="G2459" s="300" t="str">
        <f t="shared" si="80"/>
        <v>ChardonnaySaarland</v>
      </c>
    </row>
    <row r="2460" spans="1:7" ht="12" customHeight="1">
      <c r="A2460" s="298">
        <v>36336</v>
      </c>
      <c r="B2460" s="299" t="s">
        <v>3506</v>
      </c>
      <c r="C2460" s="299">
        <v>120</v>
      </c>
      <c r="D2460" s="299">
        <f t="shared" si="79"/>
        <v>6</v>
      </c>
      <c r="E2460" s="299">
        <v>59</v>
      </c>
      <c r="F2460" s="430" t="s">
        <v>3500</v>
      </c>
      <c r="G2460" s="300" t="str">
        <f t="shared" si="80"/>
        <v>ChardonnaySaarland</v>
      </c>
    </row>
    <row r="2461" spans="1:7" ht="12" customHeight="1">
      <c r="A2461" s="298">
        <v>36339</v>
      </c>
      <c r="B2461" s="299" t="s">
        <v>3506</v>
      </c>
      <c r="C2461" s="299">
        <v>20</v>
      </c>
      <c r="D2461" s="299">
        <f t="shared" si="79"/>
        <v>6</v>
      </c>
      <c r="E2461" s="299">
        <v>58</v>
      </c>
      <c r="F2461" s="430" t="s">
        <v>3500</v>
      </c>
      <c r="G2461" s="300" t="str">
        <f t="shared" si="80"/>
        <v>ChardonnaySaarland</v>
      </c>
    </row>
    <row r="2462" spans="1:7" ht="12" customHeight="1">
      <c r="A2462" s="298">
        <v>36343</v>
      </c>
      <c r="B2462" s="299" t="s">
        <v>3506</v>
      </c>
      <c r="C2462" s="299">
        <v>180</v>
      </c>
      <c r="D2462" s="299">
        <f t="shared" si="79"/>
        <v>7</v>
      </c>
      <c r="E2462" s="299">
        <v>56</v>
      </c>
      <c r="F2462" s="430" t="s">
        <v>3500</v>
      </c>
      <c r="G2462" s="300" t="str">
        <f t="shared" si="80"/>
        <v>ChardonnaySaarland</v>
      </c>
    </row>
    <row r="2463" spans="1:7" ht="12" customHeight="1">
      <c r="A2463" s="298">
        <v>36344</v>
      </c>
      <c r="B2463" s="299" t="s">
        <v>3506</v>
      </c>
      <c r="C2463" s="299">
        <v>60</v>
      </c>
      <c r="D2463" s="299">
        <f t="shared" si="79"/>
        <v>7</v>
      </c>
      <c r="E2463" s="299">
        <v>56</v>
      </c>
      <c r="F2463" s="430" t="s">
        <v>3500</v>
      </c>
      <c r="G2463" s="300" t="str">
        <f t="shared" si="80"/>
        <v>ChardonnaySaarland</v>
      </c>
    </row>
    <row r="2464" spans="1:7" ht="12" customHeight="1">
      <c r="A2464" s="298">
        <v>36346</v>
      </c>
      <c r="B2464" s="299" t="s">
        <v>3506</v>
      </c>
      <c r="C2464" s="299">
        <v>180</v>
      </c>
      <c r="D2464" s="299">
        <f t="shared" si="79"/>
        <v>7</v>
      </c>
      <c r="E2464" s="299">
        <v>64</v>
      </c>
      <c r="F2464" s="430" t="s">
        <v>3500</v>
      </c>
      <c r="G2464" s="300" t="str">
        <f t="shared" si="80"/>
        <v>ChardonnaySaarland</v>
      </c>
    </row>
    <row r="2465" spans="1:7" ht="12" customHeight="1">
      <c r="A2465" s="298">
        <v>36347</v>
      </c>
      <c r="B2465" s="299" t="s">
        <v>3506</v>
      </c>
      <c r="C2465" s="299">
        <v>120</v>
      </c>
      <c r="D2465" s="299">
        <f t="shared" si="79"/>
        <v>7</v>
      </c>
      <c r="E2465" s="299">
        <v>60</v>
      </c>
      <c r="F2465" s="430" t="s">
        <v>3500</v>
      </c>
      <c r="G2465" s="300" t="str">
        <f t="shared" si="80"/>
        <v>ChardonnaySaarland</v>
      </c>
    </row>
    <row r="2466" spans="1:7" ht="12" customHeight="1">
      <c r="A2466" s="298">
        <v>36350</v>
      </c>
      <c r="B2466" s="299" t="s">
        <v>3506</v>
      </c>
      <c r="C2466" s="299">
        <v>210</v>
      </c>
      <c r="D2466" s="299">
        <f t="shared" si="79"/>
        <v>7</v>
      </c>
      <c r="E2466" s="299">
        <v>58</v>
      </c>
      <c r="F2466" s="430" t="s">
        <v>3500</v>
      </c>
      <c r="G2466" s="300" t="str">
        <f t="shared" si="80"/>
        <v>ChardonnaySaarland</v>
      </c>
    </row>
    <row r="2467" spans="1:7" ht="12" customHeight="1">
      <c r="A2467" s="298">
        <v>36352</v>
      </c>
      <c r="B2467" s="299" t="s">
        <v>3506</v>
      </c>
      <c r="C2467" s="299">
        <v>150</v>
      </c>
      <c r="D2467" s="299">
        <f t="shared" si="79"/>
        <v>7</v>
      </c>
      <c r="E2467" s="299">
        <v>64</v>
      </c>
      <c r="F2467" s="430" t="s">
        <v>3500</v>
      </c>
      <c r="G2467" s="300" t="str">
        <f t="shared" si="80"/>
        <v>ChardonnaySaarland</v>
      </c>
    </row>
    <row r="2468" spans="1:7" ht="12" customHeight="1">
      <c r="A2468" s="298">
        <v>36353</v>
      </c>
      <c r="B2468" s="299" t="s">
        <v>3506</v>
      </c>
      <c r="C2468" s="299">
        <v>180</v>
      </c>
      <c r="D2468" s="299">
        <f t="shared" si="79"/>
        <v>7</v>
      </c>
      <c r="E2468" s="299">
        <v>64</v>
      </c>
      <c r="F2468" s="430" t="s">
        <v>3500</v>
      </c>
      <c r="G2468" s="300" t="str">
        <f t="shared" si="80"/>
        <v>ChardonnaySaarland</v>
      </c>
    </row>
    <row r="2469" spans="1:7" ht="12" customHeight="1">
      <c r="A2469" s="298">
        <v>36356</v>
      </c>
      <c r="B2469" s="299" t="s">
        <v>3506</v>
      </c>
      <c r="C2469" s="299">
        <v>10</v>
      </c>
      <c r="D2469" s="299">
        <f t="shared" si="79"/>
        <v>7</v>
      </c>
      <c r="E2469" s="299">
        <v>58</v>
      </c>
      <c r="F2469" s="430" t="s">
        <v>3500</v>
      </c>
      <c r="G2469" s="300" t="str">
        <f t="shared" si="80"/>
        <v>ChardonnaySaarland</v>
      </c>
    </row>
    <row r="2470" spans="1:7" ht="12" customHeight="1">
      <c r="A2470" s="298">
        <v>36370</v>
      </c>
      <c r="B2470" s="299" t="s">
        <v>3506</v>
      </c>
      <c r="C2470" s="299">
        <v>10</v>
      </c>
      <c r="D2470" s="299">
        <f t="shared" si="79"/>
        <v>7</v>
      </c>
      <c r="E2470" s="299">
        <v>56</v>
      </c>
      <c r="F2470" s="430" t="s">
        <v>3500</v>
      </c>
      <c r="G2470" s="300" t="str">
        <f t="shared" si="80"/>
        <v>ChardonnaySaarland</v>
      </c>
    </row>
    <row r="2471" spans="1:7" ht="12" customHeight="1">
      <c r="A2471" s="298">
        <v>36371</v>
      </c>
      <c r="B2471" s="299" t="s">
        <v>3506</v>
      </c>
      <c r="C2471" s="299">
        <v>10</v>
      </c>
      <c r="D2471" s="299">
        <f t="shared" si="79"/>
        <v>7</v>
      </c>
      <c r="E2471" s="299">
        <v>64</v>
      </c>
      <c r="F2471" s="430" t="s">
        <v>3500</v>
      </c>
      <c r="G2471" s="300" t="str">
        <f t="shared" si="80"/>
        <v>ChardonnaySaarland</v>
      </c>
    </row>
    <row r="2472" spans="1:7" ht="12" customHeight="1">
      <c r="A2472" s="298">
        <v>36371</v>
      </c>
      <c r="B2472" s="299" t="s">
        <v>3506</v>
      </c>
      <c r="C2472" s="299">
        <v>90</v>
      </c>
      <c r="D2472" s="299">
        <f t="shared" si="79"/>
        <v>7</v>
      </c>
      <c r="E2472" s="299">
        <v>64</v>
      </c>
      <c r="F2472" s="430" t="s">
        <v>3500</v>
      </c>
      <c r="G2472" s="300" t="str">
        <f t="shared" si="80"/>
        <v>ChardonnaySaarland</v>
      </c>
    </row>
    <row r="2473" spans="1:7" ht="12" customHeight="1">
      <c r="A2473" s="298">
        <v>36375</v>
      </c>
      <c r="B2473" s="299" t="s">
        <v>3506</v>
      </c>
      <c r="C2473" s="299">
        <v>60</v>
      </c>
      <c r="D2473" s="299">
        <f t="shared" si="79"/>
        <v>8</v>
      </c>
      <c r="E2473" s="299">
        <v>56</v>
      </c>
      <c r="F2473" s="430" t="s">
        <v>3500</v>
      </c>
      <c r="G2473" s="300" t="str">
        <f t="shared" si="80"/>
        <v>ChardonnaySaarland</v>
      </c>
    </row>
    <row r="2474" spans="1:7" ht="12" customHeight="1">
      <c r="A2474" s="298">
        <v>36375</v>
      </c>
      <c r="B2474" s="299" t="s">
        <v>3506</v>
      </c>
      <c r="C2474" s="299">
        <v>60</v>
      </c>
      <c r="D2474" s="299">
        <f t="shared" si="79"/>
        <v>8</v>
      </c>
      <c r="E2474" s="299">
        <v>56</v>
      </c>
      <c r="F2474" s="430" t="s">
        <v>3500</v>
      </c>
      <c r="G2474" s="300" t="str">
        <f t="shared" si="80"/>
        <v>ChardonnaySaarland</v>
      </c>
    </row>
    <row r="2475" spans="1:7" ht="12" customHeight="1">
      <c r="A2475" s="298">
        <v>36379</v>
      </c>
      <c r="B2475" s="299" t="s">
        <v>3506</v>
      </c>
      <c r="C2475" s="299">
        <v>90</v>
      </c>
      <c r="D2475" s="299">
        <f t="shared" si="79"/>
        <v>8</v>
      </c>
      <c r="E2475" s="299">
        <v>59</v>
      </c>
      <c r="F2475" s="430" t="s">
        <v>3500</v>
      </c>
      <c r="G2475" s="300" t="str">
        <f t="shared" si="80"/>
        <v>ChardonnaySaarland</v>
      </c>
    </row>
    <row r="2476" spans="1:7" ht="12" customHeight="1">
      <c r="A2476" s="298">
        <v>36385</v>
      </c>
      <c r="B2476" s="299" t="s">
        <v>3506</v>
      </c>
      <c r="C2476" s="299">
        <v>30</v>
      </c>
      <c r="D2476" s="299">
        <f t="shared" si="79"/>
        <v>8</v>
      </c>
      <c r="E2476" s="299">
        <v>64</v>
      </c>
      <c r="F2476" s="430" t="s">
        <v>3500</v>
      </c>
      <c r="G2476" s="300" t="str">
        <f t="shared" si="80"/>
        <v>ChardonnaySaarland</v>
      </c>
    </row>
    <row r="2477" spans="1:7" ht="12" customHeight="1">
      <c r="A2477" s="298">
        <v>36387</v>
      </c>
      <c r="B2477" s="299" t="s">
        <v>3506</v>
      </c>
      <c r="C2477" s="299">
        <v>120</v>
      </c>
      <c r="D2477" s="299">
        <f t="shared" si="79"/>
        <v>8</v>
      </c>
      <c r="E2477" s="299">
        <v>56</v>
      </c>
      <c r="F2477" s="430" t="s">
        <v>3500</v>
      </c>
      <c r="G2477" s="300" t="str">
        <f t="shared" si="80"/>
        <v>ChardonnaySaarland</v>
      </c>
    </row>
    <row r="2478" spans="1:7" ht="12" customHeight="1">
      <c r="A2478" s="298">
        <v>36387</v>
      </c>
      <c r="B2478" s="299" t="s">
        <v>3506</v>
      </c>
      <c r="C2478" s="299">
        <v>120</v>
      </c>
      <c r="D2478" s="299">
        <f t="shared" si="79"/>
        <v>8</v>
      </c>
      <c r="E2478" s="299">
        <v>56</v>
      </c>
      <c r="F2478" s="430" t="s">
        <v>3500</v>
      </c>
      <c r="G2478" s="300" t="str">
        <f t="shared" si="80"/>
        <v>ChardonnaySaarland</v>
      </c>
    </row>
    <row r="2479" spans="1:7" ht="12" customHeight="1">
      <c r="A2479" s="298">
        <v>36391</v>
      </c>
      <c r="B2479" s="299" t="s">
        <v>3506</v>
      </c>
      <c r="C2479" s="299">
        <v>240</v>
      </c>
      <c r="D2479" s="299">
        <f t="shared" si="79"/>
        <v>8</v>
      </c>
      <c r="E2479" s="299">
        <v>56</v>
      </c>
      <c r="F2479" s="430" t="s">
        <v>3500</v>
      </c>
      <c r="G2479" s="300" t="str">
        <f t="shared" si="80"/>
        <v>ChardonnaySaarland</v>
      </c>
    </row>
    <row r="2480" spans="1:7" ht="12" customHeight="1">
      <c r="A2480" s="298">
        <v>36391</v>
      </c>
      <c r="B2480" s="299" t="s">
        <v>3506</v>
      </c>
      <c r="C2480" s="299">
        <v>80</v>
      </c>
      <c r="D2480" s="299">
        <f t="shared" si="79"/>
        <v>8</v>
      </c>
      <c r="E2480" s="299">
        <v>59</v>
      </c>
      <c r="F2480" s="430" t="s">
        <v>3500</v>
      </c>
      <c r="G2480" s="300" t="str">
        <f t="shared" si="80"/>
        <v>ChardonnaySaarland</v>
      </c>
    </row>
    <row r="2481" spans="1:7" ht="12" customHeight="1">
      <c r="A2481" s="298">
        <v>36397</v>
      </c>
      <c r="B2481" s="299" t="s">
        <v>3506</v>
      </c>
      <c r="C2481" s="299">
        <v>210</v>
      </c>
      <c r="D2481" s="299">
        <f t="shared" si="79"/>
        <v>8</v>
      </c>
      <c r="E2481" s="299">
        <v>56</v>
      </c>
      <c r="F2481" s="430" t="s">
        <v>3500</v>
      </c>
      <c r="G2481" s="300" t="str">
        <f t="shared" si="80"/>
        <v>ChardonnaySaarland</v>
      </c>
    </row>
    <row r="2482" spans="1:7" ht="12" customHeight="1">
      <c r="A2482" s="298">
        <v>36397</v>
      </c>
      <c r="B2482" s="299" t="s">
        <v>3506</v>
      </c>
      <c r="C2482" s="299">
        <v>30</v>
      </c>
      <c r="D2482" s="299">
        <f t="shared" si="79"/>
        <v>8</v>
      </c>
      <c r="E2482" s="299">
        <v>56</v>
      </c>
      <c r="F2482" s="430" t="s">
        <v>3500</v>
      </c>
      <c r="G2482" s="300" t="str">
        <f t="shared" si="80"/>
        <v>ChardonnaySaarland</v>
      </c>
    </row>
    <row r="2483" spans="1:7" ht="12" customHeight="1">
      <c r="A2483" s="298">
        <v>36398</v>
      </c>
      <c r="B2483" s="299" t="s">
        <v>3506</v>
      </c>
      <c r="C2483" s="299">
        <v>210</v>
      </c>
      <c r="D2483" s="299">
        <f t="shared" si="79"/>
        <v>8</v>
      </c>
      <c r="E2483" s="299">
        <v>56</v>
      </c>
      <c r="F2483" s="430" t="s">
        <v>3500</v>
      </c>
      <c r="G2483" s="300" t="str">
        <f t="shared" si="80"/>
        <v>ChardonnaySaarland</v>
      </c>
    </row>
    <row r="2484" spans="1:7" ht="12" customHeight="1">
      <c r="A2484" s="298">
        <v>36400</v>
      </c>
      <c r="B2484" s="299" t="s">
        <v>3506</v>
      </c>
      <c r="C2484" s="299">
        <v>100</v>
      </c>
      <c r="D2484" s="299">
        <f t="shared" si="79"/>
        <v>8</v>
      </c>
      <c r="E2484" s="299">
        <v>59</v>
      </c>
      <c r="F2484" s="430" t="s">
        <v>3500</v>
      </c>
      <c r="G2484" s="300" t="str">
        <f t="shared" si="80"/>
        <v>ChardonnaySaarland</v>
      </c>
    </row>
    <row r="2485" spans="1:7" ht="12" customHeight="1">
      <c r="A2485" s="298">
        <v>36411</v>
      </c>
      <c r="B2485" s="299" t="s">
        <v>3506</v>
      </c>
      <c r="C2485" s="299">
        <v>180</v>
      </c>
      <c r="D2485" s="299">
        <f t="shared" si="79"/>
        <v>9</v>
      </c>
      <c r="E2485" s="299">
        <v>59</v>
      </c>
      <c r="F2485" s="430" t="s">
        <v>3500</v>
      </c>
      <c r="G2485" s="300" t="str">
        <f t="shared" si="80"/>
        <v>ChardonnaySaarland</v>
      </c>
    </row>
    <row r="2486" spans="1:7" ht="12" customHeight="1">
      <c r="A2486" s="298">
        <v>36421</v>
      </c>
      <c r="B2486" s="299" t="s">
        <v>3506</v>
      </c>
      <c r="C2486" s="299">
        <v>30</v>
      </c>
      <c r="D2486" s="299">
        <f t="shared" si="79"/>
        <v>9</v>
      </c>
      <c r="E2486" s="299">
        <v>60</v>
      </c>
      <c r="F2486" s="430" t="s">
        <v>3500</v>
      </c>
      <c r="G2486" s="300" t="str">
        <f t="shared" si="80"/>
        <v>ChardonnaySaarland</v>
      </c>
    </row>
    <row r="2487" spans="1:7" ht="12" customHeight="1">
      <c r="A2487" s="298">
        <v>36429</v>
      </c>
      <c r="B2487" s="299" t="s">
        <v>3506</v>
      </c>
      <c r="C2487" s="299">
        <v>50</v>
      </c>
      <c r="D2487" s="299">
        <f t="shared" si="79"/>
        <v>9</v>
      </c>
      <c r="E2487" s="299">
        <v>60</v>
      </c>
      <c r="F2487" s="430" t="s">
        <v>3500</v>
      </c>
      <c r="G2487" s="300" t="str">
        <f t="shared" si="80"/>
        <v>ChardonnaySaarland</v>
      </c>
    </row>
    <row r="2488" spans="1:7" ht="12" customHeight="1">
      <c r="A2488" s="298">
        <v>36444</v>
      </c>
      <c r="B2488" s="299" t="s">
        <v>3506</v>
      </c>
      <c r="C2488" s="299">
        <v>90</v>
      </c>
      <c r="D2488" s="299">
        <f t="shared" si="79"/>
        <v>10</v>
      </c>
      <c r="E2488" s="299">
        <v>58</v>
      </c>
      <c r="F2488" s="430" t="s">
        <v>3500</v>
      </c>
      <c r="G2488" s="300" t="str">
        <f t="shared" si="80"/>
        <v>ChardonnaySaarland</v>
      </c>
    </row>
    <row r="2489" spans="1:7" ht="12" customHeight="1">
      <c r="A2489" s="298">
        <v>36449</v>
      </c>
      <c r="B2489" s="299" t="s">
        <v>3506</v>
      </c>
      <c r="C2489" s="299">
        <v>180</v>
      </c>
      <c r="D2489" s="299">
        <f t="shared" si="79"/>
        <v>10</v>
      </c>
      <c r="E2489" s="299">
        <v>55</v>
      </c>
      <c r="F2489" s="430" t="s">
        <v>3500</v>
      </c>
      <c r="G2489" s="300" t="str">
        <f t="shared" si="80"/>
        <v>ChardonnaySaarland</v>
      </c>
    </row>
    <row r="2490" spans="1:7" ht="12" customHeight="1">
      <c r="A2490" s="298">
        <v>36466</v>
      </c>
      <c r="B2490" s="299" t="s">
        <v>3506</v>
      </c>
      <c r="C2490" s="299">
        <v>90</v>
      </c>
      <c r="D2490" s="299">
        <f t="shared" si="79"/>
        <v>11</v>
      </c>
      <c r="E2490" s="299">
        <v>59</v>
      </c>
      <c r="F2490" s="430" t="s">
        <v>3500</v>
      </c>
      <c r="G2490" s="300" t="str">
        <f t="shared" si="80"/>
        <v>ChardonnaySaarland</v>
      </c>
    </row>
    <row r="2491" spans="1:7" ht="12" customHeight="1">
      <c r="A2491" s="298">
        <v>36467</v>
      </c>
      <c r="B2491" s="299" t="s">
        <v>3506</v>
      </c>
      <c r="C2491" s="299">
        <v>30</v>
      </c>
      <c r="D2491" s="299">
        <f t="shared" si="79"/>
        <v>11</v>
      </c>
      <c r="E2491" s="299">
        <v>60</v>
      </c>
      <c r="F2491" s="430" t="s">
        <v>3500</v>
      </c>
      <c r="G2491" s="300" t="str">
        <f t="shared" si="80"/>
        <v>ChardonnaySaarland</v>
      </c>
    </row>
    <row r="2492" spans="1:7" ht="12" customHeight="1">
      <c r="A2492" s="298">
        <v>36479</v>
      </c>
      <c r="B2492" s="299" t="s">
        <v>3506</v>
      </c>
      <c r="C2492" s="299">
        <v>90</v>
      </c>
      <c r="D2492" s="299">
        <f t="shared" si="79"/>
        <v>11</v>
      </c>
      <c r="E2492" s="299">
        <v>60</v>
      </c>
      <c r="F2492" s="430" t="s">
        <v>3500</v>
      </c>
      <c r="G2492" s="300" t="str">
        <f t="shared" si="80"/>
        <v>ChardonnaySaarland</v>
      </c>
    </row>
    <row r="2493" spans="1:7" ht="12" customHeight="1">
      <c r="A2493" s="298">
        <v>36484</v>
      </c>
      <c r="B2493" s="299" t="s">
        <v>3506</v>
      </c>
      <c r="C2493" s="299">
        <v>50</v>
      </c>
      <c r="D2493" s="299">
        <f t="shared" si="79"/>
        <v>11</v>
      </c>
      <c r="E2493" s="299">
        <v>60</v>
      </c>
      <c r="F2493" s="430" t="s">
        <v>3500</v>
      </c>
      <c r="G2493" s="300" t="str">
        <f t="shared" si="80"/>
        <v>ChardonnaySaarland</v>
      </c>
    </row>
    <row r="2494" spans="1:7" ht="12" customHeight="1">
      <c r="A2494" s="298">
        <v>36493</v>
      </c>
      <c r="B2494" s="299" t="s">
        <v>3506</v>
      </c>
      <c r="C2494" s="299">
        <v>210</v>
      </c>
      <c r="D2494" s="299">
        <f t="shared" si="79"/>
        <v>11</v>
      </c>
      <c r="E2494" s="299">
        <v>60</v>
      </c>
      <c r="F2494" s="430" t="s">
        <v>3500</v>
      </c>
      <c r="G2494" s="300" t="str">
        <f t="shared" si="80"/>
        <v>ChardonnaySaarland</v>
      </c>
    </row>
    <row r="2495" spans="1:7" ht="12" customHeight="1">
      <c r="A2495" s="298">
        <v>36495</v>
      </c>
      <c r="B2495" s="299" t="s">
        <v>3506</v>
      </c>
      <c r="C2495" s="299">
        <v>30</v>
      </c>
      <c r="D2495" s="299">
        <f t="shared" si="79"/>
        <v>12</v>
      </c>
      <c r="E2495" s="299">
        <v>59</v>
      </c>
      <c r="F2495" s="430" t="s">
        <v>3500</v>
      </c>
      <c r="G2495" s="300" t="str">
        <f t="shared" si="80"/>
        <v>ChardonnaySaarland</v>
      </c>
    </row>
    <row r="2496" spans="1:7" ht="12" customHeight="1">
      <c r="A2496" s="298">
        <v>36498</v>
      </c>
      <c r="B2496" s="299" t="s">
        <v>3506</v>
      </c>
      <c r="C2496" s="299">
        <v>120</v>
      </c>
      <c r="D2496" s="299">
        <f t="shared" si="79"/>
        <v>12</v>
      </c>
      <c r="E2496" s="299">
        <v>59</v>
      </c>
      <c r="F2496" s="430" t="s">
        <v>3500</v>
      </c>
      <c r="G2496" s="300" t="str">
        <f t="shared" si="80"/>
        <v>ChardonnaySaarland</v>
      </c>
    </row>
    <row r="2497" spans="1:7" ht="12" customHeight="1">
      <c r="A2497" s="298">
        <v>36500</v>
      </c>
      <c r="B2497" s="299" t="s">
        <v>3506</v>
      </c>
      <c r="C2497" s="299">
        <v>150</v>
      </c>
      <c r="D2497" s="299">
        <f t="shared" si="79"/>
        <v>12</v>
      </c>
      <c r="E2497" s="299">
        <v>55</v>
      </c>
      <c r="F2497" s="430" t="s">
        <v>3500</v>
      </c>
      <c r="G2497" s="300" t="str">
        <f t="shared" si="80"/>
        <v>ChardonnaySaarland</v>
      </c>
    </row>
    <row r="2498" spans="1:7" ht="12" customHeight="1">
      <c r="A2498" s="298">
        <v>36503</v>
      </c>
      <c r="B2498" s="299" t="s">
        <v>3506</v>
      </c>
      <c r="C2498" s="299">
        <v>30</v>
      </c>
      <c r="D2498" s="299">
        <f t="shared" si="79"/>
        <v>12</v>
      </c>
      <c r="E2498" s="299">
        <v>55</v>
      </c>
      <c r="F2498" s="430" t="s">
        <v>3500</v>
      </c>
      <c r="G2498" s="300" t="str">
        <f t="shared" si="80"/>
        <v>ChardonnaySaarland</v>
      </c>
    </row>
    <row r="2499" spans="1:7" ht="12" customHeight="1">
      <c r="A2499" s="298">
        <v>36507</v>
      </c>
      <c r="B2499" s="299" t="s">
        <v>3506</v>
      </c>
      <c r="C2499" s="299">
        <v>110</v>
      </c>
      <c r="D2499" s="299">
        <f t="shared" si="79"/>
        <v>12</v>
      </c>
      <c r="E2499" s="299">
        <v>59</v>
      </c>
      <c r="F2499" s="430" t="s">
        <v>3500</v>
      </c>
      <c r="G2499" s="300" t="str">
        <f t="shared" si="80"/>
        <v>ChardonnaySaarland</v>
      </c>
    </row>
    <row r="2500" spans="1:7" ht="12" customHeight="1">
      <c r="A2500" s="298">
        <v>36510</v>
      </c>
      <c r="B2500" s="299" t="s">
        <v>3506</v>
      </c>
      <c r="C2500" s="299">
        <v>110</v>
      </c>
      <c r="D2500" s="299">
        <f t="shared" si="79"/>
        <v>12</v>
      </c>
      <c r="E2500" s="299">
        <v>59</v>
      </c>
      <c r="F2500" s="430" t="s">
        <v>3500</v>
      </c>
      <c r="G2500" s="300" t="str">
        <f t="shared" si="80"/>
        <v>ChardonnaySaarland</v>
      </c>
    </row>
    <row r="2501" spans="1:7" ht="12" customHeight="1">
      <c r="A2501" s="298">
        <v>36510</v>
      </c>
      <c r="B2501" s="299" t="s">
        <v>3506</v>
      </c>
      <c r="C2501" s="299">
        <v>120</v>
      </c>
      <c r="D2501" s="299">
        <f t="shared" si="79"/>
        <v>12</v>
      </c>
      <c r="E2501" s="299">
        <v>59</v>
      </c>
      <c r="F2501" s="430" t="s">
        <v>3500</v>
      </c>
      <c r="G2501" s="300" t="str">
        <f t="shared" si="80"/>
        <v>ChardonnaySaarland</v>
      </c>
    </row>
    <row r="2502" spans="1:7" ht="12" customHeight="1">
      <c r="A2502" s="298">
        <v>36282</v>
      </c>
      <c r="B2502" s="299" t="s">
        <v>3507</v>
      </c>
      <c r="C2502" s="299">
        <v>50</v>
      </c>
      <c r="D2502" s="299">
        <f t="shared" ref="D2502:D2565" si="81">MONTH(A2502)</f>
        <v>5</v>
      </c>
      <c r="E2502" s="299">
        <v>60</v>
      </c>
      <c r="F2502" s="430" t="s">
        <v>3504</v>
      </c>
      <c r="G2502" s="300" t="str">
        <f t="shared" ref="G2502:G2565" si="82">B2502&amp;F2502</f>
        <v>ChiantiBayern</v>
      </c>
    </row>
    <row r="2503" spans="1:7" ht="12" customHeight="1">
      <c r="A2503" s="298">
        <v>36297</v>
      </c>
      <c r="B2503" s="299" t="s">
        <v>3507</v>
      </c>
      <c r="C2503" s="299">
        <v>10</v>
      </c>
      <c r="D2503" s="299">
        <f t="shared" si="81"/>
        <v>5</v>
      </c>
      <c r="E2503" s="299">
        <v>60</v>
      </c>
      <c r="F2503" s="430" t="s">
        <v>3504</v>
      </c>
      <c r="G2503" s="300" t="str">
        <f t="shared" si="82"/>
        <v>ChiantiBayern</v>
      </c>
    </row>
    <row r="2504" spans="1:7" ht="12" customHeight="1">
      <c r="A2504" s="298">
        <v>36303</v>
      </c>
      <c r="B2504" s="299" t="s">
        <v>3507</v>
      </c>
      <c r="C2504" s="299">
        <v>50</v>
      </c>
      <c r="D2504" s="299">
        <f t="shared" si="81"/>
        <v>5</v>
      </c>
      <c r="E2504" s="299">
        <v>60</v>
      </c>
      <c r="F2504" s="430" t="s">
        <v>3504</v>
      </c>
      <c r="G2504" s="300" t="str">
        <f t="shared" si="82"/>
        <v>ChiantiBayern</v>
      </c>
    </row>
    <row r="2505" spans="1:7" ht="12" customHeight="1">
      <c r="A2505" s="298">
        <v>36304</v>
      </c>
      <c r="B2505" s="299" t="s">
        <v>3507</v>
      </c>
      <c r="C2505" s="299">
        <v>210</v>
      </c>
      <c r="D2505" s="299">
        <f t="shared" si="81"/>
        <v>5</v>
      </c>
      <c r="E2505" s="299">
        <v>60</v>
      </c>
      <c r="F2505" s="430" t="s">
        <v>3504</v>
      </c>
      <c r="G2505" s="300" t="str">
        <f t="shared" si="82"/>
        <v>ChiantiBayern</v>
      </c>
    </row>
    <row r="2506" spans="1:7" ht="12" customHeight="1">
      <c r="A2506" s="298">
        <v>36306</v>
      </c>
      <c r="B2506" s="299" t="s">
        <v>3507</v>
      </c>
      <c r="C2506" s="299">
        <v>40</v>
      </c>
      <c r="D2506" s="299">
        <f t="shared" si="81"/>
        <v>5</v>
      </c>
      <c r="E2506" s="299">
        <v>58</v>
      </c>
      <c r="F2506" s="430" t="s">
        <v>3504</v>
      </c>
      <c r="G2506" s="300" t="str">
        <f t="shared" si="82"/>
        <v>ChiantiBayern</v>
      </c>
    </row>
    <row r="2507" spans="1:7" ht="12" customHeight="1">
      <c r="A2507" s="298">
        <v>36308</v>
      </c>
      <c r="B2507" s="299" t="s">
        <v>3507</v>
      </c>
      <c r="C2507" s="299">
        <v>40</v>
      </c>
      <c r="D2507" s="299">
        <f t="shared" si="81"/>
        <v>5</v>
      </c>
      <c r="E2507" s="299">
        <v>58</v>
      </c>
      <c r="F2507" s="430" t="s">
        <v>3504</v>
      </c>
      <c r="G2507" s="300" t="str">
        <f t="shared" si="82"/>
        <v>ChiantiBayern</v>
      </c>
    </row>
    <row r="2508" spans="1:7" ht="12" customHeight="1">
      <c r="A2508" s="298">
        <v>36318</v>
      </c>
      <c r="B2508" s="299" t="s">
        <v>3507</v>
      </c>
      <c r="C2508" s="299">
        <v>150</v>
      </c>
      <c r="D2508" s="299">
        <f t="shared" si="81"/>
        <v>6</v>
      </c>
      <c r="E2508" s="299">
        <v>60</v>
      </c>
      <c r="F2508" s="430" t="s">
        <v>3504</v>
      </c>
      <c r="G2508" s="300" t="str">
        <f t="shared" si="82"/>
        <v>ChiantiBayern</v>
      </c>
    </row>
    <row r="2509" spans="1:7" ht="12" customHeight="1">
      <c r="A2509" s="298">
        <v>36319</v>
      </c>
      <c r="B2509" s="299" t="s">
        <v>3507</v>
      </c>
      <c r="C2509" s="299">
        <v>150</v>
      </c>
      <c r="D2509" s="299">
        <f t="shared" si="81"/>
        <v>6</v>
      </c>
      <c r="E2509" s="299">
        <v>60</v>
      </c>
      <c r="F2509" s="430" t="s">
        <v>3504</v>
      </c>
      <c r="G2509" s="300" t="str">
        <f t="shared" si="82"/>
        <v>ChiantiBayern</v>
      </c>
    </row>
    <row r="2510" spans="1:7" ht="12" customHeight="1">
      <c r="A2510" s="298">
        <v>36321</v>
      </c>
      <c r="B2510" s="299" t="s">
        <v>3507</v>
      </c>
      <c r="C2510" s="299">
        <v>120</v>
      </c>
      <c r="D2510" s="299">
        <f t="shared" si="81"/>
        <v>6</v>
      </c>
      <c r="E2510" s="299">
        <v>56</v>
      </c>
      <c r="F2510" s="430" t="s">
        <v>3504</v>
      </c>
      <c r="G2510" s="300" t="str">
        <f t="shared" si="82"/>
        <v>ChiantiBayern</v>
      </c>
    </row>
    <row r="2511" spans="1:7" ht="12" customHeight="1">
      <c r="A2511" s="298">
        <v>36322</v>
      </c>
      <c r="B2511" s="299" t="s">
        <v>3507</v>
      </c>
      <c r="C2511" s="299">
        <v>10</v>
      </c>
      <c r="D2511" s="299">
        <f t="shared" si="81"/>
        <v>6</v>
      </c>
      <c r="E2511" s="299">
        <v>56</v>
      </c>
      <c r="F2511" s="430" t="s">
        <v>3504</v>
      </c>
      <c r="G2511" s="300" t="str">
        <f t="shared" si="82"/>
        <v>ChiantiBayern</v>
      </c>
    </row>
    <row r="2512" spans="1:7" ht="12" customHeight="1">
      <c r="A2512" s="298">
        <v>36327</v>
      </c>
      <c r="B2512" s="299" t="s">
        <v>3507</v>
      </c>
      <c r="C2512" s="299">
        <v>80</v>
      </c>
      <c r="D2512" s="299">
        <f t="shared" si="81"/>
        <v>6</v>
      </c>
      <c r="E2512" s="299">
        <v>56</v>
      </c>
      <c r="F2512" s="430" t="s">
        <v>3504</v>
      </c>
      <c r="G2512" s="300" t="str">
        <f t="shared" si="82"/>
        <v>ChiantiBayern</v>
      </c>
    </row>
    <row r="2513" spans="1:7" ht="12" customHeight="1">
      <c r="A2513" s="298">
        <v>36329</v>
      </c>
      <c r="B2513" s="299" t="s">
        <v>3507</v>
      </c>
      <c r="C2513" s="299">
        <v>30</v>
      </c>
      <c r="D2513" s="299">
        <f t="shared" si="81"/>
        <v>6</v>
      </c>
      <c r="E2513" s="299">
        <v>60</v>
      </c>
      <c r="F2513" s="430" t="s">
        <v>3504</v>
      </c>
      <c r="G2513" s="300" t="str">
        <f t="shared" si="82"/>
        <v>ChiantiBayern</v>
      </c>
    </row>
    <row r="2514" spans="1:7" ht="12" customHeight="1">
      <c r="A2514" s="298">
        <v>36330</v>
      </c>
      <c r="B2514" s="299" t="s">
        <v>3507</v>
      </c>
      <c r="C2514" s="299">
        <v>90</v>
      </c>
      <c r="D2514" s="299">
        <f t="shared" si="81"/>
        <v>6</v>
      </c>
      <c r="E2514" s="299">
        <v>60</v>
      </c>
      <c r="F2514" s="430" t="s">
        <v>3504</v>
      </c>
      <c r="G2514" s="300" t="str">
        <f t="shared" si="82"/>
        <v>ChiantiBayern</v>
      </c>
    </row>
    <row r="2515" spans="1:7" ht="12" customHeight="1">
      <c r="A2515" s="298">
        <v>36351</v>
      </c>
      <c r="B2515" s="299" t="s">
        <v>3507</v>
      </c>
      <c r="C2515" s="299">
        <v>80</v>
      </c>
      <c r="D2515" s="299">
        <f t="shared" si="81"/>
        <v>7</v>
      </c>
      <c r="E2515" s="299">
        <v>61</v>
      </c>
      <c r="F2515" s="430" t="s">
        <v>3504</v>
      </c>
      <c r="G2515" s="300" t="str">
        <f t="shared" si="82"/>
        <v>ChiantiBayern</v>
      </c>
    </row>
    <row r="2516" spans="1:7" ht="12" customHeight="1">
      <c r="A2516" s="298">
        <v>36359</v>
      </c>
      <c r="B2516" s="299" t="s">
        <v>3507</v>
      </c>
      <c r="C2516" s="299">
        <v>100</v>
      </c>
      <c r="D2516" s="299">
        <f t="shared" si="81"/>
        <v>7</v>
      </c>
      <c r="E2516" s="299">
        <v>61</v>
      </c>
      <c r="F2516" s="430" t="s">
        <v>3504</v>
      </c>
      <c r="G2516" s="300" t="str">
        <f t="shared" si="82"/>
        <v>ChiantiBayern</v>
      </c>
    </row>
    <row r="2517" spans="1:7" ht="12" customHeight="1">
      <c r="A2517" s="298">
        <v>36366</v>
      </c>
      <c r="B2517" s="299" t="s">
        <v>3507</v>
      </c>
      <c r="C2517" s="299">
        <v>60</v>
      </c>
      <c r="D2517" s="299">
        <f t="shared" si="81"/>
        <v>7</v>
      </c>
      <c r="E2517" s="299">
        <v>58</v>
      </c>
      <c r="F2517" s="430" t="s">
        <v>3504</v>
      </c>
      <c r="G2517" s="300" t="str">
        <f t="shared" si="82"/>
        <v>ChiantiBayern</v>
      </c>
    </row>
    <row r="2518" spans="1:7" ht="12" customHeight="1">
      <c r="A2518" s="298">
        <v>36391</v>
      </c>
      <c r="B2518" s="299" t="s">
        <v>3507</v>
      </c>
      <c r="C2518" s="299">
        <v>30</v>
      </c>
      <c r="D2518" s="299">
        <f t="shared" si="81"/>
        <v>8</v>
      </c>
      <c r="E2518" s="299">
        <v>55</v>
      </c>
      <c r="F2518" s="430" t="s">
        <v>3504</v>
      </c>
      <c r="G2518" s="300" t="str">
        <f t="shared" si="82"/>
        <v>ChiantiBayern</v>
      </c>
    </row>
    <row r="2519" spans="1:7" ht="12" customHeight="1">
      <c r="A2519" s="298">
        <v>36405</v>
      </c>
      <c r="B2519" s="299" t="s">
        <v>3507</v>
      </c>
      <c r="C2519" s="299">
        <v>210</v>
      </c>
      <c r="D2519" s="299">
        <f t="shared" si="81"/>
        <v>9</v>
      </c>
      <c r="E2519" s="299">
        <v>60</v>
      </c>
      <c r="F2519" s="430" t="s">
        <v>3504</v>
      </c>
      <c r="G2519" s="300" t="str">
        <f t="shared" si="82"/>
        <v>ChiantiBayern</v>
      </c>
    </row>
    <row r="2520" spans="1:7" ht="12" customHeight="1">
      <c r="A2520" s="298">
        <v>36406</v>
      </c>
      <c r="B2520" s="299" t="s">
        <v>3507</v>
      </c>
      <c r="C2520" s="299">
        <v>50</v>
      </c>
      <c r="D2520" s="299">
        <f t="shared" si="81"/>
        <v>9</v>
      </c>
      <c r="E2520" s="299">
        <v>56</v>
      </c>
      <c r="F2520" s="430" t="s">
        <v>3504</v>
      </c>
      <c r="G2520" s="300" t="str">
        <f t="shared" si="82"/>
        <v>ChiantiBayern</v>
      </c>
    </row>
    <row r="2521" spans="1:7" ht="12" customHeight="1">
      <c r="A2521" s="298">
        <v>36421</v>
      </c>
      <c r="B2521" s="299" t="s">
        <v>3507</v>
      </c>
      <c r="C2521" s="299">
        <v>80</v>
      </c>
      <c r="D2521" s="299">
        <f t="shared" si="81"/>
        <v>9</v>
      </c>
      <c r="E2521" s="299">
        <v>56</v>
      </c>
      <c r="F2521" s="430" t="s">
        <v>3504</v>
      </c>
      <c r="G2521" s="300" t="str">
        <f t="shared" si="82"/>
        <v>ChiantiBayern</v>
      </c>
    </row>
    <row r="2522" spans="1:7" ht="12" customHeight="1">
      <c r="A2522" s="298">
        <v>36423</v>
      </c>
      <c r="B2522" s="299" t="s">
        <v>3507</v>
      </c>
      <c r="C2522" s="299">
        <v>210</v>
      </c>
      <c r="D2522" s="299">
        <f t="shared" si="81"/>
        <v>9</v>
      </c>
      <c r="E2522" s="299">
        <v>55</v>
      </c>
      <c r="F2522" s="430" t="s">
        <v>3504</v>
      </c>
      <c r="G2522" s="300" t="str">
        <f t="shared" si="82"/>
        <v>ChiantiBayern</v>
      </c>
    </row>
    <row r="2523" spans="1:7" ht="12" customHeight="1">
      <c r="A2523" s="298">
        <v>36425</v>
      </c>
      <c r="B2523" s="299" t="s">
        <v>3507</v>
      </c>
      <c r="C2523" s="299">
        <v>70</v>
      </c>
      <c r="D2523" s="299">
        <f t="shared" si="81"/>
        <v>9</v>
      </c>
      <c r="E2523" s="299">
        <v>60</v>
      </c>
      <c r="F2523" s="430" t="s">
        <v>3504</v>
      </c>
      <c r="G2523" s="300" t="str">
        <f t="shared" si="82"/>
        <v>ChiantiBayern</v>
      </c>
    </row>
    <row r="2524" spans="1:7" ht="12" customHeight="1">
      <c r="A2524" s="298">
        <v>36431</v>
      </c>
      <c r="B2524" s="299" t="s">
        <v>3507</v>
      </c>
      <c r="C2524" s="299">
        <v>50</v>
      </c>
      <c r="D2524" s="299">
        <f t="shared" si="81"/>
        <v>9</v>
      </c>
      <c r="E2524" s="299">
        <v>55</v>
      </c>
      <c r="F2524" s="430" t="s">
        <v>3504</v>
      </c>
      <c r="G2524" s="300" t="str">
        <f t="shared" si="82"/>
        <v>ChiantiBayern</v>
      </c>
    </row>
    <row r="2525" spans="1:7" ht="12" customHeight="1">
      <c r="A2525" s="298">
        <v>36438</v>
      </c>
      <c r="B2525" s="299" t="s">
        <v>3507</v>
      </c>
      <c r="C2525" s="299">
        <v>120</v>
      </c>
      <c r="D2525" s="299">
        <f t="shared" si="81"/>
        <v>10</v>
      </c>
      <c r="E2525" s="299">
        <v>55</v>
      </c>
      <c r="F2525" s="430" t="s">
        <v>3504</v>
      </c>
      <c r="G2525" s="300" t="str">
        <f t="shared" si="82"/>
        <v>ChiantiBayern</v>
      </c>
    </row>
    <row r="2526" spans="1:7" ht="12" customHeight="1">
      <c r="A2526" s="298">
        <v>36453</v>
      </c>
      <c r="B2526" s="299" t="s">
        <v>3507</v>
      </c>
      <c r="C2526" s="299">
        <v>40</v>
      </c>
      <c r="D2526" s="299">
        <f t="shared" si="81"/>
        <v>10</v>
      </c>
      <c r="E2526" s="299">
        <v>58</v>
      </c>
      <c r="F2526" s="430" t="s">
        <v>3504</v>
      </c>
      <c r="G2526" s="300" t="str">
        <f t="shared" si="82"/>
        <v>ChiantiBayern</v>
      </c>
    </row>
    <row r="2527" spans="1:7" ht="12" customHeight="1">
      <c r="A2527" s="298">
        <v>36516</v>
      </c>
      <c r="B2527" s="299" t="s">
        <v>3507</v>
      </c>
      <c r="C2527" s="299">
        <v>60</v>
      </c>
      <c r="D2527" s="299">
        <f t="shared" si="81"/>
        <v>12</v>
      </c>
      <c r="E2527" s="299">
        <v>55</v>
      </c>
      <c r="F2527" s="430" t="s">
        <v>3504</v>
      </c>
      <c r="G2527" s="300" t="str">
        <f t="shared" si="82"/>
        <v>ChiantiBayern</v>
      </c>
    </row>
    <row r="2528" spans="1:7" ht="12" customHeight="1">
      <c r="A2528" s="298">
        <v>36523</v>
      </c>
      <c r="B2528" s="299" t="s">
        <v>3507</v>
      </c>
      <c r="C2528" s="299">
        <v>210</v>
      </c>
      <c r="D2528" s="299">
        <f t="shared" si="81"/>
        <v>12</v>
      </c>
      <c r="E2528" s="299">
        <v>58</v>
      </c>
      <c r="F2528" s="430" t="s">
        <v>3504</v>
      </c>
      <c r="G2528" s="300" t="str">
        <f t="shared" si="82"/>
        <v>ChiantiBayern</v>
      </c>
    </row>
    <row r="2529" spans="1:7" ht="12" customHeight="1">
      <c r="A2529" s="298">
        <v>36240</v>
      </c>
      <c r="B2529" s="299" t="s">
        <v>3507</v>
      </c>
      <c r="C2529" s="299">
        <v>10</v>
      </c>
      <c r="D2529" s="299">
        <f t="shared" si="81"/>
        <v>3</v>
      </c>
      <c r="E2529" s="299">
        <v>56</v>
      </c>
      <c r="F2529" s="430" t="s">
        <v>3501</v>
      </c>
      <c r="G2529" s="300" t="str">
        <f t="shared" si="82"/>
        <v>ChiantiBW</v>
      </c>
    </row>
    <row r="2530" spans="1:7" ht="12" customHeight="1">
      <c r="A2530" s="298">
        <v>36254</v>
      </c>
      <c r="B2530" s="299" t="s">
        <v>3507</v>
      </c>
      <c r="C2530" s="299">
        <v>100</v>
      </c>
      <c r="D2530" s="299">
        <f t="shared" si="81"/>
        <v>4</v>
      </c>
      <c r="E2530" s="299">
        <v>59</v>
      </c>
      <c r="F2530" s="430" t="s">
        <v>3501</v>
      </c>
      <c r="G2530" s="300" t="str">
        <f t="shared" si="82"/>
        <v>ChiantiBW</v>
      </c>
    </row>
    <row r="2531" spans="1:7" ht="12" customHeight="1">
      <c r="A2531" s="298">
        <v>36270</v>
      </c>
      <c r="B2531" s="299" t="s">
        <v>3507</v>
      </c>
      <c r="C2531" s="299">
        <v>180</v>
      </c>
      <c r="D2531" s="299">
        <f t="shared" si="81"/>
        <v>4</v>
      </c>
      <c r="E2531" s="299">
        <v>58</v>
      </c>
      <c r="F2531" s="430" t="s">
        <v>3501</v>
      </c>
      <c r="G2531" s="300" t="str">
        <f t="shared" si="82"/>
        <v>ChiantiBW</v>
      </c>
    </row>
    <row r="2532" spans="1:7" ht="12" customHeight="1">
      <c r="A2532" s="298">
        <v>36310</v>
      </c>
      <c r="B2532" s="299" t="s">
        <v>3507</v>
      </c>
      <c r="C2532" s="299">
        <v>40</v>
      </c>
      <c r="D2532" s="299">
        <f t="shared" si="81"/>
        <v>5</v>
      </c>
      <c r="E2532" s="299">
        <v>56</v>
      </c>
      <c r="F2532" s="430" t="s">
        <v>3501</v>
      </c>
      <c r="G2532" s="300" t="str">
        <f t="shared" si="82"/>
        <v>ChiantiBW</v>
      </c>
    </row>
    <row r="2533" spans="1:7" ht="12" customHeight="1">
      <c r="A2533" s="298">
        <v>36316</v>
      </c>
      <c r="B2533" s="299" t="s">
        <v>3507</v>
      </c>
      <c r="C2533" s="299">
        <v>40</v>
      </c>
      <c r="D2533" s="299">
        <f t="shared" si="81"/>
        <v>6</v>
      </c>
      <c r="E2533" s="299">
        <v>59</v>
      </c>
      <c r="F2533" s="430" t="s">
        <v>3501</v>
      </c>
      <c r="G2533" s="300" t="str">
        <f t="shared" si="82"/>
        <v>ChiantiBW</v>
      </c>
    </row>
    <row r="2534" spans="1:7" ht="12" customHeight="1">
      <c r="A2534" s="298">
        <v>36320</v>
      </c>
      <c r="B2534" s="299" t="s">
        <v>3507</v>
      </c>
      <c r="C2534" s="299">
        <v>110</v>
      </c>
      <c r="D2534" s="299">
        <f t="shared" si="81"/>
        <v>6</v>
      </c>
      <c r="E2534" s="299">
        <v>59</v>
      </c>
      <c r="F2534" s="430" t="s">
        <v>3501</v>
      </c>
      <c r="G2534" s="300" t="str">
        <f t="shared" si="82"/>
        <v>ChiantiBW</v>
      </c>
    </row>
    <row r="2535" spans="1:7" ht="12" customHeight="1">
      <c r="A2535" s="298">
        <v>36323</v>
      </c>
      <c r="B2535" s="299" t="s">
        <v>3507</v>
      </c>
      <c r="C2535" s="299">
        <v>10</v>
      </c>
      <c r="D2535" s="299">
        <f t="shared" si="81"/>
        <v>6</v>
      </c>
      <c r="E2535" s="299">
        <v>59</v>
      </c>
      <c r="F2535" s="430" t="s">
        <v>3501</v>
      </c>
      <c r="G2535" s="300" t="str">
        <f t="shared" si="82"/>
        <v>ChiantiBW</v>
      </c>
    </row>
    <row r="2536" spans="1:7" ht="12" customHeight="1">
      <c r="A2536" s="298">
        <v>36331</v>
      </c>
      <c r="B2536" s="299" t="s">
        <v>3507</v>
      </c>
      <c r="C2536" s="299">
        <v>180</v>
      </c>
      <c r="D2536" s="299">
        <f t="shared" si="81"/>
        <v>6</v>
      </c>
      <c r="E2536" s="299">
        <v>59</v>
      </c>
      <c r="F2536" s="430" t="s">
        <v>3501</v>
      </c>
      <c r="G2536" s="300" t="str">
        <f t="shared" si="82"/>
        <v>ChiantiBW</v>
      </c>
    </row>
    <row r="2537" spans="1:7" ht="12" customHeight="1">
      <c r="A2537" s="298">
        <v>36381</v>
      </c>
      <c r="B2537" s="299" t="s">
        <v>3507</v>
      </c>
      <c r="C2537" s="299">
        <v>40</v>
      </c>
      <c r="D2537" s="299">
        <f t="shared" si="81"/>
        <v>8</v>
      </c>
      <c r="E2537" s="299">
        <v>58</v>
      </c>
      <c r="F2537" s="430" t="s">
        <v>3501</v>
      </c>
      <c r="G2537" s="300" t="str">
        <f t="shared" si="82"/>
        <v>ChiantiBW</v>
      </c>
    </row>
    <row r="2538" spans="1:7" ht="12" customHeight="1">
      <c r="A2538" s="298">
        <v>36385</v>
      </c>
      <c r="B2538" s="299" t="s">
        <v>3507</v>
      </c>
      <c r="C2538" s="299">
        <v>50</v>
      </c>
      <c r="D2538" s="299">
        <f t="shared" si="81"/>
        <v>8</v>
      </c>
      <c r="E2538" s="299">
        <v>58</v>
      </c>
      <c r="F2538" s="430" t="s">
        <v>3501</v>
      </c>
      <c r="G2538" s="300" t="str">
        <f t="shared" si="82"/>
        <v>ChiantiBW</v>
      </c>
    </row>
    <row r="2539" spans="1:7" ht="12" customHeight="1">
      <c r="A2539" s="298">
        <v>36399</v>
      </c>
      <c r="B2539" s="299" t="s">
        <v>3507</v>
      </c>
      <c r="C2539" s="299">
        <v>40</v>
      </c>
      <c r="D2539" s="299">
        <f t="shared" si="81"/>
        <v>8</v>
      </c>
      <c r="E2539" s="299">
        <v>58</v>
      </c>
      <c r="F2539" s="430" t="s">
        <v>3501</v>
      </c>
      <c r="G2539" s="300" t="str">
        <f t="shared" si="82"/>
        <v>ChiantiBW</v>
      </c>
    </row>
    <row r="2540" spans="1:7" ht="12" customHeight="1">
      <c r="A2540" s="298">
        <v>36411</v>
      </c>
      <c r="B2540" s="299" t="s">
        <v>3507</v>
      </c>
      <c r="C2540" s="299">
        <v>120</v>
      </c>
      <c r="D2540" s="299">
        <f t="shared" si="81"/>
        <v>9</v>
      </c>
      <c r="E2540" s="299">
        <v>56</v>
      </c>
      <c r="F2540" s="430" t="s">
        <v>3501</v>
      </c>
      <c r="G2540" s="300" t="str">
        <f t="shared" si="82"/>
        <v>ChiantiBW</v>
      </c>
    </row>
    <row r="2541" spans="1:7" ht="12" customHeight="1">
      <c r="A2541" s="298">
        <v>36412</v>
      </c>
      <c r="B2541" s="299" t="s">
        <v>3507</v>
      </c>
      <c r="C2541" s="299">
        <v>150</v>
      </c>
      <c r="D2541" s="299">
        <f t="shared" si="81"/>
        <v>9</v>
      </c>
      <c r="E2541" s="299">
        <v>56</v>
      </c>
      <c r="F2541" s="430" t="s">
        <v>3501</v>
      </c>
      <c r="G2541" s="300" t="str">
        <f t="shared" si="82"/>
        <v>ChiantiBW</v>
      </c>
    </row>
    <row r="2542" spans="1:7" ht="12" customHeight="1">
      <c r="A2542" s="298">
        <v>36423</v>
      </c>
      <c r="B2542" s="299" t="s">
        <v>3507</v>
      </c>
      <c r="C2542" s="299">
        <v>70</v>
      </c>
      <c r="D2542" s="299">
        <f t="shared" si="81"/>
        <v>9</v>
      </c>
      <c r="E2542" s="299">
        <v>56</v>
      </c>
      <c r="F2542" s="430" t="s">
        <v>3501</v>
      </c>
      <c r="G2542" s="300" t="str">
        <f t="shared" si="82"/>
        <v>ChiantiBW</v>
      </c>
    </row>
    <row r="2543" spans="1:7" ht="12" customHeight="1">
      <c r="A2543" s="298">
        <v>36428</v>
      </c>
      <c r="B2543" s="299" t="s">
        <v>3507</v>
      </c>
      <c r="C2543" s="299">
        <v>180</v>
      </c>
      <c r="D2543" s="299">
        <f t="shared" si="81"/>
        <v>9</v>
      </c>
      <c r="E2543" s="299">
        <v>56</v>
      </c>
      <c r="F2543" s="430" t="s">
        <v>3501</v>
      </c>
      <c r="G2543" s="300" t="str">
        <f t="shared" si="82"/>
        <v>ChiantiBW</v>
      </c>
    </row>
    <row r="2544" spans="1:7" ht="12" customHeight="1">
      <c r="A2544" s="298">
        <v>36505</v>
      </c>
      <c r="B2544" s="299" t="s">
        <v>3507</v>
      </c>
      <c r="C2544" s="299">
        <v>40</v>
      </c>
      <c r="D2544" s="299">
        <f t="shared" si="81"/>
        <v>12</v>
      </c>
      <c r="E2544" s="299">
        <v>59</v>
      </c>
      <c r="F2544" s="430" t="s">
        <v>3501</v>
      </c>
      <c r="G2544" s="300" t="str">
        <f t="shared" si="82"/>
        <v>ChiantiBW</v>
      </c>
    </row>
    <row r="2545" spans="1:7" ht="12" customHeight="1">
      <c r="A2545" s="298">
        <v>36507</v>
      </c>
      <c r="B2545" s="299" t="s">
        <v>3507</v>
      </c>
      <c r="C2545" s="299">
        <v>80</v>
      </c>
      <c r="D2545" s="299">
        <f t="shared" si="81"/>
        <v>12</v>
      </c>
      <c r="E2545" s="299">
        <v>59</v>
      </c>
      <c r="F2545" s="430" t="s">
        <v>3501</v>
      </c>
      <c r="G2545" s="300" t="str">
        <f t="shared" si="82"/>
        <v>ChiantiBW</v>
      </c>
    </row>
    <row r="2546" spans="1:7" ht="12" customHeight="1">
      <c r="A2546" s="298">
        <v>36516</v>
      </c>
      <c r="B2546" s="299" t="s">
        <v>3507</v>
      </c>
      <c r="C2546" s="299">
        <v>180</v>
      </c>
      <c r="D2546" s="299">
        <f t="shared" si="81"/>
        <v>12</v>
      </c>
      <c r="E2546" s="299">
        <v>59</v>
      </c>
      <c r="F2546" s="430" t="s">
        <v>3501</v>
      </c>
      <c r="G2546" s="300" t="str">
        <f t="shared" si="82"/>
        <v>ChiantiBW</v>
      </c>
    </row>
    <row r="2547" spans="1:7" ht="12" customHeight="1">
      <c r="A2547" s="298">
        <v>36517</v>
      </c>
      <c r="B2547" s="299" t="s">
        <v>3507</v>
      </c>
      <c r="C2547" s="299">
        <v>100</v>
      </c>
      <c r="D2547" s="299">
        <f t="shared" si="81"/>
        <v>12</v>
      </c>
      <c r="E2547" s="299">
        <v>58</v>
      </c>
      <c r="F2547" s="430" t="s">
        <v>3501</v>
      </c>
      <c r="G2547" s="300" t="str">
        <f t="shared" si="82"/>
        <v>ChiantiBW</v>
      </c>
    </row>
    <row r="2548" spans="1:7" ht="12" customHeight="1">
      <c r="A2548" s="298">
        <v>36522</v>
      </c>
      <c r="B2548" s="299" t="s">
        <v>3507</v>
      </c>
      <c r="C2548" s="299">
        <v>110</v>
      </c>
      <c r="D2548" s="299">
        <f t="shared" si="81"/>
        <v>12</v>
      </c>
      <c r="E2548" s="299">
        <v>58</v>
      </c>
      <c r="F2548" s="430" t="s">
        <v>3501</v>
      </c>
      <c r="G2548" s="300" t="str">
        <f t="shared" si="82"/>
        <v>ChiantiBW</v>
      </c>
    </row>
    <row r="2549" spans="1:7" ht="12" customHeight="1">
      <c r="A2549" s="298">
        <v>36288</v>
      </c>
      <c r="B2549" s="299" t="s">
        <v>3507</v>
      </c>
      <c r="C2549" s="299">
        <v>90</v>
      </c>
      <c r="D2549" s="299">
        <f t="shared" si="81"/>
        <v>5</v>
      </c>
      <c r="E2549" s="299">
        <v>56</v>
      </c>
      <c r="F2549" s="430" t="s">
        <v>3502</v>
      </c>
      <c r="G2549" s="300" t="str">
        <f t="shared" si="82"/>
        <v>ChiantiHessen</v>
      </c>
    </row>
    <row r="2550" spans="1:7" ht="12" customHeight="1">
      <c r="A2550" s="298">
        <v>36260</v>
      </c>
      <c r="B2550" s="299" t="s">
        <v>3507</v>
      </c>
      <c r="C2550" s="299">
        <v>120</v>
      </c>
      <c r="D2550" s="299">
        <f t="shared" si="81"/>
        <v>4</v>
      </c>
      <c r="E2550" s="299">
        <v>55</v>
      </c>
      <c r="F2550" s="430" t="s">
        <v>3503</v>
      </c>
      <c r="G2550" s="300" t="str">
        <f t="shared" si="82"/>
        <v>ChiantiHolstein</v>
      </c>
    </row>
    <row r="2551" spans="1:7" ht="12" customHeight="1">
      <c r="A2551" s="298">
        <v>36499</v>
      </c>
      <c r="B2551" s="299" t="s">
        <v>3507</v>
      </c>
      <c r="C2551" s="299">
        <v>90</v>
      </c>
      <c r="D2551" s="299">
        <f t="shared" si="81"/>
        <v>12</v>
      </c>
      <c r="E2551" s="299">
        <v>55</v>
      </c>
      <c r="F2551" s="430" t="s">
        <v>3503</v>
      </c>
      <c r="G2551" s="300" t="str">
        <f t="shared" si="82"/>
        <v>ChiantiHolstein</v>
      </c>
    </row>
    <row r="2552" spans="1:7" ht="12" customHeight="1">
      <c r="A2552" s="298">
        <v>36228</v>
      </c>
      <c r="B2552" s="299" t="s">
        <v>3507</v>
      </c>
      <c r="C2552" s="299">
        <v>60</v>
      </c>
      <c r="D2552" s="299">
        <f t="shared" si="81"/>
        <v>3</v>
      </c>
      <c r="E2552" s="299">
        <v>59</v>
      </c>
      <c r="F2552" s="430" t="s">
        <v>3497</v>
      </c>
      <c r="G2552" s="300" t="str">
        <f t="shared" si="82"/>
        <v>ChiantiNRW</v>
      </c>
    </row>
    <row r="2553" spans="1:7" ht="12" customHeight="1">
      <c r="A2553" s="298">
        <v>36346</v>
      </c>
      <c r="B2553" s="299" t="s">
        <v>3507</v>
      </c>
      <c r="C2553" s="299">
        <v>100</v>
      </c>
      <c r="D2553" s="299">
        <f t="shared" si="81"/>
        <v>7</v>
      </c>
      <c r="E2553" s="299">
        <v>56</v>
      </c>
      <c r="F2553" s="430" t="s">
        <v>3497</v>
      </c>
      <c r="G2553" s="300" t="str">
        <f t="shared" si="82"/>
        <v>ChiantiNRW</v>
      </c>
    </row>
    <row r="2554" spans="1:7" ht="12" customHeight="1">
      <c r="A2554" s="298">
        <v>36358</v>
      </c>
      <c r="B2554" s="299" t="s">
        <v>3507</v>
      </c>
      <c r="C2554" s="299">
        <v>90</v>
      </c>
      <c r="D2554" s="299">
        <f t="shared" si="81"/>
        <v>7</v>
      </c>
      <c r="E2554" s="299">
        <v>57</v>
      </c>
      <c r="F2554" s="430" t="s">
        <v>3497</v>
      </c>
      <c r="G2554" s="300" t="str">
        <f t="shared" si="82"/>
        <v>ChiantiNRW</v>
      </c>
    </row>
    <row r="2555" spans="1:7" ht="12" customHeight="1">
      <c r="A2555" s="298">
        <v>36367</v>
      </c>
      <c r="B2555" s="299" t="s">
        <v>3507</v>
      </c>
      <c r="C2555" s="299">
        <v>150</v>
      </c>
      <c r="D2555" s="299">
        <f t="shared" si="81"/>
        <v>7</v>
      </c>
      <c r="E2555" s="299">
        <v>58</v>
      </c>
      <c r="F2555" s="430" t="s">
        <v>3497</v>
      </c>
      <c r="G2555" s="300" t="str">
        <f t="shared" si="82"/>
        <v>ChiantiNRW</v>
      </c>
    </row>
    <row r="2556" spans="1:7" ht="12" customHeight="1">
      <c r="A2556" s="298">
        <v>36369</v>
      </c>
      <c r="B2556" s="299" t="s">
        <v>3507</v>
      </c>
      <c r="C2556" s="299">
        <v>80</v>
      </c>
      <c r="D2556" s="299">
        <f t="shared" si="81"/>
        <v>7</v>
      </c>
      <c r="E2556" s="299">
        <v>56</v>
      </c>
      <c r="F2556" s="430" t="s">
        <v>3497</v>
      </c>
      <c r="G2556" s="300" t="str">
        <f t="shared" si="82"/>
        <v>ChiantiNRW</v>
      </c>
    </row>
    <row r="2557" spans="1:7" ht="12" customHeight="1">
      <c r="A2557" s="298">
        <v>36422</v>
      </c>
      <c r="B2557" s="299" t="s">
        <v>3507</v>
      </c>
      <c r="C2557" s="299">
        <v>30</v>
      </c>
      <c r="D2557" s="299">
        <f t="shared" si="81"/>
        <v>9</v>
      </c>
      <c r="E2557" s="299">
        <v>61</v>
      </c>
      <c r="F2557" s="430" t="s">
        <v>3497</v>
      </c>
      <c r="G2557" s="300" t="str">
        <f t="shared" si="82"/>
        <v>ChiantiNRW</v>
      </c>
    </row>
    <row r="2558" spans="1:7" ht="12" customHeight="1">
      <c r="A2558" s="298">
        <v>36483</v>
      </c>
      <c r="B2558" s="299" t="s">
        <v>3507</v>
      </c>
      <c r="C2558" s="299">
        <v>50</v>
      </c>
      <c r="D2558" s="299">
        <f t="shared" si="81"/>
        <v>11</v>
      </c>
      <c r="E2558" s="299">
        <v>58</v>
      </c>
      <c r="F2558" s="430" t="s">
        <v>3497</v>
      </c>
      <c r="G2558" s="300" t="str">
        <f t="shared" si="82"/>
        <v>ChiantiNRW</v>
      </c>
    </row>
    <row r="2559" spans="1:7" ht="12" customHeight="1">
      <c r="A2559" s="298">
        <v>36195</v>
      </c>
      <c r="B2559" s="299" t="s">
        <v>3507</v>
      </c>
      <c r="C2559" s="299">
        <v>150</v>
      </c>
      <c r="D2559" s="299">
        <f t="shared" si="81"/>
        <v>2</v>
      </c>
      <c r="E2559" s="299">
        <v>56</v>
      </c>
      <c r="F2559" s="430" t="s">
        <v>3499</v>
      </c>
      <c r="G2559" s="300" t="str">
        <f t="shared" si="82"/>
        <v>ChiantiPfalz</v>
      </c>
    </row>
    <row r="2560" spans="1:7" ht="12" customHeight="1">
      <c r="A2560" s="298">
        <v>36206</v>
      </c>
      <c r="B2560" s="299" t="s">
        <v>3507</v>
      </c>
      <c r="C2560" s="299">
        <v>110</v>
      </c>
      <c r="D2560" s="299">
        <f t="shared" si="81"/>
        <v>2</v>
      </c>
      <c r="E2560" s="299">
        <v>56</v>
      </c>
      <c r="F2560" s="430" t="s">
        <v>3499</v>
      </c>
      <c r="G2560" s="300" t="str">
        <f t="shared" si="82"/>
        <v>ChiantiPfalz</v>
      </c>
    </row>
    <row r="2561" spans="1:7" ht="12" customHeight="1">
      <c r="A2561" s="298">
        <v>36382</v>
      </c>
      <c r="B2561" s="299" t="s">
        <v>3507</v>
      </c>
      <c r="C2561" s="299">
        <v>80</v>
      </c>
      <c r="D2561" s="299">
        <f t="shared" si="81"/>
        <v>8</v>
      </c>
      <c r="E2561" s="299">
        <v>55</v>
      </c>
      <c r="F2561" s="430" t="s">
        <v>3499</v>
      </c>
      <c r="G2561" s="300" t="str">
        <f t="shared" si="82"/>
        <v>ChiantiPfalz</v>
      </c>
    </row>
    <row r="2562" spans="1:7" ht="12" customHeight="1">
      <c r="A2562" s="298">
        <v>36435</v>
      </c>
      <c r="B2562" s="299" t="s">
        <v>3507</v>
      </c>
      <c r="C2562" s="299">
        <v>210</v>
      </c>
      <c r="D2562" s="299">
        <f t="shared" si="81"/>
        <v>10</v>
      </c>
      <c r="E2562" s="299">
        <v>58</v>
      </c>
      <c r="F2562" s="430" t="s">
        <v>3499</v>
      </c>
      <c r="G2562" s="300" t="str">
        <f t="shared" si="82"/>
        <v>ChiantiPfalz</v>
      </c>
    </row>
    <row r="2563" spans="1:7" ht="12" customHeight="1">
      <c r="A2563" s="298">
        <v>36336</v>
      </c>
      <c r="B2563" s="299" t="s">
        <v>3508</v>
      </c>
      <c r="C2563" s="299">
        <v>240</v>
      </c>
      <c r="D2563" s="299">
        <f t="shared" si="81"/>
        <v>6</v>
      </c>
      <c r="E2563" s="299">
        <v>60</v>
      </c>
      <c r="F2563" s="430" t="s">
        <v>3504</v>
      </c>
      <c r="G2563" s="300" t="str">
        <f t="shared" si="82"/>
        <v>ChirazBayern</v>
      </c>
    </row>
    <row r="2564" spans="1:7" ht="12" customHeight="1">
      <c r="A2564" s="298">
        <v>36402</v>
      </c>
      <c r="B2564" s="299" t="s">
        <v>3508</v>
      </c>
      <c r="C2564" s="299">
        <v>110</v>
      </c>
      <c r="D2564" s="299">
        <f t="shared" si="81"/>
        <v>8</v>
      </c>
      <c r="E2564" s="299">
        <v>60</v>
      </c>
      <c r="F2564" s="430" t="s">
        <v>3504</v>
      </c>
      <c r="G2564" s="300" t="str">
        <f t="shared" si="82"/>
        <v>ChirazBayern</v>
      </c>
    </row>
    <row r="2565" spans="1:7" ht="12" customHeight="1">
      <c r="A2565" s="298">
        <v>36257</v>
      </c>
      <c r="B2565" s="299" t="s">
        <v>3508</v>
      </c>
      <c r="C2565" s="299">
        <v>10</v>
      </c>
      <c r="D2565" s="299">
        <f t="shared" si="81"/>
        <v>4</v>
      </c>
      <c r="E2565" s="299">
        <v>56</v>
      </c>
      <c r="F2565" s="430" t="s">
        <v>3502</v>
      </c>
      <c r="G2565" s="300" t="str">
        <f t="shared" si="82"/>
        <v>ChirazHessen</v>
      </c>
    </row>
    <row r="2566" spans="1:7" ht="12" customHeight="1">
      <c r="A2566" s="298">
        <v>36489</v>
      </c>
      <c r="B2566" s="299" t="s">
        <v>3508</v>
      </c>
      <c r="C2566" s="299">
        <v>180</v>
      </c>
      <c r="D2566" s="299">
        <f t="shared" ref="D2566:D2629" si="83">MONTH(A2566)</f>
        <v>11</v>
      </c>
      <c r="E2566" s="299">
        <v>56</v>
      </c>
      <c r="F2566" s="430" t="s">
        <v>3502</v>
      </c>
      <c r="G2566" s="300" t="str">
        <f t="shared" ref="G2566:G2629" si="84">B2566&amp;F2566</f>
        <v>ChirazHessen</v>
      </c>
    </row>
    <row r="2567" spans="1:7" ht="12" customHeight="1">
      <c r="A2567" s="298">
        <v>36169</v>
      </c>
      <c r="B2567" s="299" t="s">
        <v>3508</v>
      </c>
      <c r="C2567" s="299">
        <v>150</v>
      </c>
      <c r="D2567" s="299">
        <f t="shared" si="83"/>
        <v>1</v>
      </c>
      <c r="E2567" s="299">
        <v>58</v>
      </c>
      <c r="F2567" s="430" t="s">
        <v>3503</v>
      </c>
      <c r="G2567" s="300" t="str">
        <f t="shared" si="84"/>
        <v>ChirazHolstein</v>
      </c>
    </row>
    <row r="2568" spans="1:7" ht="12" customHeight="1">
      <c r="A2568" s="298">
        <v>36185</v>
      </c>
      <c r="B2568" s="299" t="s">
        <v>3508</v>
      </c>
      <c r="C2568" s="299">
        <v>240</v>
      </c>
      <c r="D2568" s="299">
        <f t="shared" si="83"/>
        <v>1</v>
      </c>
      <c r="E2568" s="299">
        <v>58</v>
      </c>
      <c r="F2568" s="430" t="s">
        <v>3503</v>
      </c>
      <c r="G2568" s="300" t="str">
        <f t="shared" si="84"/>
        <v>ChirazHolstein</v>
      </c>
    </row>
    <row r="2569" spans="1:7" ht="12" customHeight="1">
      <c r="A2569" s="298">
        <v>36188</v>
      </c>
      <c r="B2569" s="299" t="s">
        <v>3508</v>
      </c>
      <c r="C2569" s="299">
        <v>10</v>
      </c>
      <c r="D2569" s="299">
        <f t="shared" si="83"/>
        <v>1</v>
      </c>
      <c r="E2569" s="299">
        <v>58</v>
      </c>
      <c r="F2569" s="430" t="s">
        <v>3503</v>
      </c>
      <c r="G2569" s="300" t="str">
        <f t="shared" si="84"/>
        <v>ChirazHolstein</v>
      </c>
    </row>
    <row r="2570" spans="1:7" ht="12" customHeight="1">
      <c r="A2570" s="298">
        <v>36218</v>
      </c>
      <c r="B2570" s="299" t="s">
        <v>3508</v>
      </c>
      <c r="C2570" s="299">
        <v>20</v>
      </c>
      <c r="D2570" s="299">
        <f t="shared" si="83"/>
        <v>2</v>
      </c>
      <c r="E2570" s="299">
        <v>55</v>
      </c>
      <c r="F2570" s="430" t="s">
        <v>3503</v>
      </c>
      <c r="G2570" s="300" t="str">
        <f t="shared" si="84"/>
        <v>ChirazHolstein</v>
      </c>
    </row>
    <row r="2571" spans="1:7" ht="12" customHeight="1">
      <c r="A2571" s="298">
        <v>36293</v>
      </c>
      <c r="B2571" s="299" t="s">
        <v>3508</v>
      </c>
      <c r="C2571" s="299">
        <v>90</v>
      </c>
      <c r="D2571" s="299">
        <f t="shared" si="83"/>
        <v>5</v>
      </c>
      <c r="E2571" s="299">
        <v>57</v>
      </c>
      <c r="F2571" s="430" t="s">
        <v>3503</v>
      </c>
      <c r="G2571" s="300" t="str">
        <f t="shared" si="84"/>
        <v>ChirazHolstein</v>
      </c>
    </row>
    <row r="2572" spans="1:7" ht="12" customHeight="1">
      <c r="A2572" s="298">
        <v>36412</v>
      </c>
      <c r="B2572" s="299" t="s">
        <v>3508</v>
      </c>
      <c r="C2572" s="299">
        <v>40</v>
      </c>
      <c r="D2572" s="299">
        <f t="shared" si="83"/>
        <v>9</v>
      </c>
      <c r="E2572" s="299">
        <v>55</v>
      </c>
      <c r="F2572" s="430" t="s">
        <v>3503</v>
      </c>
      <c r="G2572" s="300" t="str">
        <f t="shared" si="84"/>
        <v>ChirazHolstein</v>
      </c>
    </row>
    <row r="2573" spans="1:7" ht="12" customHeight="1">
      <c r="A2573" s="298">
        <v>36445</v>
      </c>
      <c r="B2573" s="299" t="s">
        <v>3508</v>
      </c>
      <c r="C2573" s="299">
        <v>50</v>
      </c>
      <c r="D2573" s="299">
        <f t="shared" si="83"/>
        <v>10</v>
      </c>
      <c r="E2573" s="299">
        <v>55</v>
      </c>
      <c r="F2573" s="430" t="s">
        <v>3503</v>
      </c>
      <c r="G2573" s="300" t="str">
        <f t="shared" si="84"/>
        <v>ChirazHolstein</v>
      </c>
    </row>
    <row r="2574" spans="1:7" ht="12" customHeight="1">
      <c r="A2574" s="298">
        <v>36455</v>
      </c>
      <c r="B2574" s="299" t="s">
        <v>3508</v>
      </c>
      <c r="C2574" s="299">
        <v>40</v>
      </c>
      <c r="D2574" s="299">
        <f t="shared" si="83"/>
        <v>10</v>
      </c>
      <c r="E2574" s="299">
        <v>55</v>
      </c>
      <c r="F2574" s="430" t="s">
        <v>3503</v>
      </c>
      <c r="G2574" s="300" t="str">
        <f t="shared" si="84"/>
        <v>ChirazHolstein</v>
      </c>
    </row>
    <row r="2575" spans="1:7" ht="12" customHeight="1">
      <c r="A2575" s="298">
        <v>36462</v>
      </c>
      <c r="B2575" s="299" t="s">
        <v>3508</v>
      </c>
      <c r="C2575" s="299">
        <v>90</v>
      </c>
      <c r="D2575" s="299">
        <f t="shared" si="83"/>
        <v>10</v>
      </c>
      <c r="E2575" s="299">
        <v>55</v>
      </c>
      <c r="F2575" s="430" t="s">
        <v>3503</v>
      </c>
      <c r="G2575" s="300" t="str">
        <f t="shared" si="84"/>
        <v>ChirazHolstein</v>
      </c>
    </row>
    <row r="2576" spans="1:7" ht="12" customHeight="1">
      <c r="A2576" s="298">
        <v>36165</v>
      </c>
      <c r="B2576" s="299" t="s">
        <v>3508</v>
      </c>
      <c r="C2576" s="299">
        <v>100</v>
      </c>
      <c r="D2576" s="299">
        <f t="shared" si="83"/>
        <v>1</v>
      </c>
      <c r="E2576" s="299">
        <v>58</v>
      </c>
      <c r="F2576" s="430" t="s">
        <v>3497</v>
      </c>
      <c r="G2576" s="300" t="str">
        <f t="shared" si="84"/>
        <v>ChirazNRW</v>
      </c>
    </row>
    <row r="2577" spans="1:7" ht="12" customHeight="1">
      <c r="A2577" s="298">
        <v>36167</v>
      </c>
      <c r="B2577" s="299" t="s">
        <v>3508</v>
      </c>
      <c r="C2577" s="299">
        <v>120</v>
      </c>
      <c r="D2577" s="299">
        <f t="shared" si="83"/>
        <v>1</v>
      </c>
      <c r="E2577" s="299">
        <v>60</v>
      </c>
      <c r="F2577" s="430" t="s">
        <v>3497</v>
      </c>
      <c r="G2577" s="300" t="str">
        <f t="shared" si="84"/>
        <v>ChirazNRW</v>
      </c>
    </row>
    <row r="2578" spans="1:7" ht="12" customHeight="1">
      <c r="A2578" s="298">
        <v>36186</v>
      </c>
      <c r="B2578" s="299" t="s">
        <v>3508</v>
      </c>
      <c r="C2578" s="299">
        <v>120</v>
      </c>
      <c r="D2578" s="299">
        <f t="shared" si="83"/>
        <v>1</v>
      </c>
      <c r="E2578" s="299">
        <v>60</v>
      </c>
      <c r="F2578" s="430" t="s">
        <v>3497</v>
      </c>
      <c r="G2578" s="300" t="str">
        <f t="shared" si="84"/>
        <v>ChirazNRW</v>
      </c>
    </row>
    <row r="2579" spans="1:7" ht="12" customHeight="1">
      <c r="A2579" s="298">
        <v>36186</v>
      </c>
      <c r="B2579" s="299" t="s">
        <v>3508</v>
      </c>
      <c r="C2579" s="299">
        <v>120</v>
      </c>
      <c r="D2579" s="299">
        <f t="shared" si="83"/>
        <v>1</v>
      </c>
      <c r="E2579" s="299">
        <v>60</v>
      </c>
      <c r="F2579" s="430" t="s">
        <v>3497</v>
      </c>
      <c r="G2579" s="300" t="str">
        <f t="shared" si="84"/>
        <v>ChirazNRW</v>
      </c>
    </row>
    <row r="2580" spans="1:7" ht="12" customHeight="1">
      <c r="A2580" s="298">
        <v>36195</v>
      </c>
      <c r="B2580" s="299" t="s">
        <v>3508</v>
      </c>
      <c r="C2580" s="299">
        <v>210</v>
      </c>
      <c r="D2580" s="299">
        <f t="shared" si="83"/>
        <v>2</v>
      </c>
      <c r="E2580" s="299">
        <v>58</v>
      </c>
      <c r="F2580" s="430" t="s">
        <v>3497</v>
      </c>
      <c r="G2580" s="300" t="str">
        <f t="shared" si="84"/>
        <v>ChirazNRW</v>
      </c>
    </row>
    <row r="2581" spans="1:7" ht="12" customHeight="1">
      <c r="A2581" s="298">
        <v>36290</v>
      </c>
      <c r="B2581" s="299" t="s">
        <v>3508</v>
      </c>
      <c r="C2581" s="299">
        <v>90</v>
      </c>
      <c r="D2581" s="299">
        <f t="shared" si="83"/>
        <v>5</v>
      </c>
      <c r="E2581" s="299">
        <v>57</v>
      </c>
      <c r="F2581" s="430" t="s">
        <v>3497</v>
      </c>
      <c r="G2581" s="300" t="str">
        <f t="shared" si="84"/>
        <v>ChirazNRW</v>
      </c>
    </row>
    <row r="2582" spans="1:7" ht="12" customHeight="1">
      <c r="A2582" s="298">
        <v>36351</v>
      </c>
      <c r="B2582" s="299" t="s">
        <v>3508</v>
      </c>
      <c r="C2582" s="299">
        <v>120</v>
      </c>
      <c r="D2582" s="299">
        <f t="shared" si="83"/>
        <v>7</v>
      </c>
      <c r="E2582" s="299">
        <v>58</v>
      </c>
      <c r="F2582" s="430" t="s">
        <v>3497</v>
      </c>
      <c r="G2582" s="300" t="str">
        <f t="shared" si="84"/>
        <v>ChirazNRW</v>
      </c>
    </row>
    <row r="2583" spans="1:7" ht="12" customHeight="1">
      <c r="A2583" s="298">
        <v>36481</v>
      </c>
      <c r="B2583" s="299" t="s">
        <v>3508</v>
      </c>
      <c r="C2583" s="299">
        <v>80</v>
      </c>
      <c r="D2583" s="299">
        <f t="shared" si="83"/>
        <v>11</v>
      </c>
      <c r="E2583" s="299">
        <v>57</v>
      </c>
      <c r="F2583" s="430" t="s">
        <v>3497</v>
      </c>
      <c r="G2583" s="300" t="str">
        <f t="shared" si="84"/>
        <v>ChirazNRW</v>
      </c>
    </row>
    <row r="2584" spans="1:7" ht="12" customHeight="1">
      <c r="A2584" s="298">
        <v>36218</v>
      </c>
      <c r="B2584" s="299" t="s">
        <v>3508</v>
      </c>
      <c r="C2584" s="299">
        <v>50</v>
      </c>
      <c r="D2584" s="299">
        <f t="shared" si="83"/>
        <v>2</v>
      </c>
      <c r="E2584" s="299">
        <v>61</v>
      </c>
      <c r="F2584" s="430" t="s">
        <v>3499</v>
      </c>
      <c r="G2584" s="300" t="str">
        <f t="shared" si="84"/>
        <v>ChirazPfalz</v>
      </c>
    </row>
    <row r="2585" spans="1:7" ht="12" customHeight="1">
      <c r="A2585" s="298">
        <v>36334</v>
      </c>
      <c r="B2585" s="299" t="s">
        <v>3508</v>
      </c>
      <c r="C2585" s="299">
        <v>80</v>
      </c>
      <c r="D2585" s="299">
        <f t="shared" si="83"/>
        <v>6</v>
      </c>
      <c r="E2585" s="299">
        <v>58</v>
      </c>
      <c r="F2585" s="430" t="s">
        <v>3499</v>
      </c>
      <c r="G2585" s="300" t="str">
        <f t="shared" si="84"/>
        <v>ChirazPfalz</v>
      </c>
    </row>
    <row r="2586" spans="1:7" ht="12" customHeight="1">
      <c r="A2586" s="298">
        <v>36377</v>
      </c>
      <c r="B2586" s="299" t="s">
        <v>3508</v>
      </c>
      <c r="C2586" s="299">
        <v>120</v>
      </c>
      <c r="D2586" s="299">
        <f t="shared" si="83"/>
        <v>8</v>
      </c>
      <c r="E2586" s="299">
        <v>55</v>
      </c>
      <c r="F2586" s="430" t="s">
        <v>3499</v>
      </c>
      <c r="G2586" s="300" t="str">
        <f t="shared" si="84"/>
        <v>ChirazPfalz</v>
      </c>
    </row>
    <row r="2587" spans="1:7" ht="12" customHeight="1">
      <c r="A2587" s="298">
        <v>36462</v>
      </c>
      <c r="B2587" s="299" t="s">
        <v>3508</v>
      </c>
      <c r="C2587" s="299">
        <v>90</v>
      </c>
      <c r="D2587" s="299">
        <f t="shared" si="83"/>
        <v>10</v>
      </c>
      <c r="E2587" s="299">
        <v>55</v>
      </c>
      <c r="F2587" s="430" t="s">
        <v>3499</v>
      </c>
      <c r="G2587" s="300" t="str">
        <f t="shared" si="84"/>
        <v>ChirazPfalz</v>
      </c>
    </row>
    <row r="2588" spans="1:7" ht="12" customHeight="1">
      <c r="A2588" s="298">
        <v>36498</v>
      </c>
      <c r="B2588" s="299" t="s">
        <v>3508</v>
      </c>
      <c r="C2588" s="299">
        <v>50</v>
      </c>
      <c r="D2588" s="299">
        <f t="shared" si="83"/>
        <v>12</v>
      </c>
      <c r="E2588" s="299">
        <v>61</v>
      </c>
      <c r="F2588" s="430" t="s">
        <v>3499</v>
      </c>
      <c r="G2588" s="300" t="str">
        <f t="shared" si="84"/>
        <v>ChirazPfalz</v>
      </c>
    </row>
    <row r="2589" spans="1:7" ht="12" customHeight="1">
      <c r="A2589" s="298">
        <v>36503</v>
      </c>
      <c r="B2589" s="299" t="s">
        <v>3508</v>
      </c>
      <c r="C2589" s="299">
        <v>80</v>
      </c>
      <c r="D2589" s="299">
        <f t="shared" si="83"/>
        <v>12</v>
      </c>
      <c r="E2589" s="299">
        <v>61</v>
      </c>
      <c r="F2589" s="430" t="s">
        <v>3499</v>
      </c>
      <c r="G2589" s="300" t="str">
        <f t="shared" si="84"/>
        <v>ChirazPfalz</v>
      </c>
    </row>
    <row r="2590" spans="1:7" ht="12" customHeight="1">
      <c r="A2590" s="298">
        <v>36503</v>
      </c>
      <c r="B2590" s="299" t="s">
        <v>3508</v>
      </c>
      <c r="C2590" s="299">
        <v>120</v>
      </c>
      <c r="D2590" s="299">
        <f t="shared" si="83"/>
        <v>12</v>
      </c>
      <c r="E2590" s="299">
        <v>61</v>
      </c>
      <c r="F2590" s="430" t="s">
        <v>3499</v>
      </c>
      <c r="G2590" s="300" t="str">
        <f t="shared" si="84"/>
        <v>ChirazPfalz</v>
      </c>
    </row>
    <row r="2591" spans="1:7" ht="12" customHeight="1">
      <c r="A2591" s="298">
        <v>36509</v>
      </c>
      <c r="B2591" s="299" t="s">
        <v>3508</v>
      </c>
      <c r="C2591" s="299">
        <v>70</v>
      </c>
      <c r="D2591" s="299">
        <f t="shared" si="83"/>
        <v>12</v>
      </c>
      <c r="E2591" s="299">
        <v>61</v>
      </c>
      <c r="F2591" s="430" t="s">
        <v>3499</v>
      </c>
      <c r="G2591" s="300" t="str">
        <f t="shared" si="84"/>
        <v>ChirazPfalz</v>
      </c>
    </row>
    <row r="2592" spans="1:7" ht="12" customHeight="1">
      <c r="A2592" s="298">
        <v>36224</v>
      </c>
      <c r="B2592" s="299" t="s">
        <v>3509</v>
      </c>
      <c r="C2592" s="299">
        <v>20</v>
      </c>
      <c r="D2592" s="299">
        <f t="shared" si="83"/>
        <v>3</v>
      </c>
      <c r="E2592" s="299">
        <v>55</v>
      </c>
      <c r="F2592" s="430" t="s">
        <v>3504</v>
      </c>
      <c r="G2592" s="300" t="str">
        <f t="shared" si="84"/>
        <v>DeinhardBayern</v>
      </c>
    </row>
    <row r="2593" spans="1:7" ht="12" customHeight="1">
      <c r="A2593" s="298">
        <v>36238</v>
      </c>
      <c r="B2593" s="299" t="s">
        <v>3509</v>
      </c>
      <c r="C2593" s="299">
        <v>30</v>
      </c>
      <c r="D2593" s="299">
        <f t="shared" si="83"/>
        <v>3</v>
      </c>
      <c r="E2593" s="299">
        <v>55</v>
      </c>
      <c r="F2593" s="430" t="s">
        <v>3504</v>
      </c>
      <c r="G2593" s="300" t="str">
        <f t="shared" si="84"/>
        <v>DeinhardBayern</v>
      </c>
    </row>
    <row r="2594" spans="1:7" ht="12" customHeight="1">
      <c r="A2594" s="298">
        <v>36301</v>
      </c>
      <c r="B2594" s="299" t="s">
        <v>3509</v>
      </c>
      <c r="C2594" s="299">
        <v>50</v>
      </c>
      <c r="D2594" s="299">
        <f t="shared" si="83"/>
        <v>5</v>
      </c>
      <c r="E2594" s="299">
        <v>55</v>
      </c>
      <c r="F2594" s="430" t="s">
        <v>3504</v>
      </c>
      <c r="G2594" s="300" t="str">
        <f t="shared" si="84"/>
        <v>DeinhardBayern</v>
      </c>
    </row>
    <row r="2595" spans="1:7" ht="12" customHeight="1">
      <c r="A2595" s="298">
        <v>36353</v>
      </c>
      <c r="B2595" s="299" t="s">
        <v>3509</v>
      </c>
      <c r="C2595" s="299">
        <v>100</v>
      </c>
      <c r="D2595" s="299">
        <f t="shared" si="83"/>
        <v>7</v>
      </c>
      <c r="E2595" s="299">
        <v>61</v>
      </c>
      <c r="F2595" s="430" t="s">
        <v>3504</v>
      </c>
      <c r="G2595" s="300" t="str">
        <f t="shared" si="84"/>
        <v>DeinhardBayern</v>
      </c>
    </row>
    <row r="2596" spans="1:7" ht="12" customHeight="1">
      <c r="A2596" s="298">
        <v>36354</v>
      </c>
      <c r="B2596" s="299" t="s">
        <v>3509</v>
      </c>
      <c r="C2596" s="299">
        <v>60</v>
      </c>
      <c r="D2596" s="299">
        <f t="shared" si="83"/>
        <v>7</v>
      </c>
      <c r="E2596" s="299">
        <v>61</v>
      </c>
      <c r="F2596" s="430" t="s">
        <v>3504</v>
      </c>
      <c r="G2596" s="300" t="str">
        <f t="shared" si="84"/>
        <v>DeinhardBayern</v>
      </c>
    </row>
    <row r="2597" spans="1:7" ht="12" customHeight="1">
      <c r="A2597" s="298">
        <v>36358</v>
      </c>
      <c r="B2597" s="299" t="s">
        <v>3509</v>
      </c>
      <c r="C2597" s="299">
        <v>100</v>
      </c>
      <c r="D2597" s="299">
        <f t="shared" si="83"/>
        <v>7</v>
      </c>
      <c r="E2597" s="299">
        <v>61</v>
      </c>
      <c r="F2597" s="430" t="s">
        <v>3504</v>
      </c>
      <c r="G2597" s="300" t="str">
        <f t="shared" si="84"/>
        <v>DeinhardBayern</v>
      </c>
    </row>
    <row r="2598" spans="1:7" ht="12" customHeight="1">
      <c r="A2598" s="298">
        <v>36378</v>
      </c>
      <c r="B2598" s="299" t="s">
        <v>3509</v>
      </c>
      <c r="C2598" s="299">
        <v>20</v>
      </c>
      <c r="D2598" s="299">
        <f t="shared" si="83"/>
        <v>8</v>
      </c>
      <c r="E2598" s="299">
        <v>61</v>
      </c>
      <c r="F2598" s="430" t="s">
        <v>3504</v>
      </c>
      <c r="G2598" s="300" t="str">
        <f t="shared" si="84"/>
        <v>DeinhardBayern</v>
      </c>
    </row>
    <row r="2599" spans="1:7" ht="12" customHeight="1">
      <c r="A2599" s="298">
        <v>36438</v>
      </c>
      <c r="B2599" s="299" t="s">
        <v>3509</v>
      </c>
      <c r="C2599" s="299">
        <v>40</v>
      </c>
      <c r="D2599" s="299">
        <f t="shared" si="83"/>
        <v>10</v>
      </c>
      <c r="E2599" s="299">
        <v>56</v>
      </c>
      <c r="F2599" s="430" t="s">
        <v>3504</v>
      </c>
      <c r="G2599" s="300" t="str">
        <f t="shared" si="84"/>
        <v>DeinhardBayern</v>
      </c>
    </row>
    <row r="2600" spans="1:7" ht="12" customHeight="1">
      <c r="A2600" s="298">
        <v>36441</v>
      </c>
      <c r="B2600" s="299" t="s">
        <v>3509</v>
      </c>
      <c r="C2600" s="299">
        <v>80</v>
      </c>
      <c r="D2600" s="299">
        <f t="shared" si="83"/>
        <v>10</v>
      </c>
      <c r="E2600" s="299">
        <v>56</v>
      </c>
      <c r="F2600" s="430" t="s">
        <v>3504</v>
      </c>
      <c r="G2600" s="300" t="str">
        <f t="shared" si="84"/>
        <v>DeinhardBayern</v>
      </c>
    </row>
    <row r="2601" spans="1:7" ht="12" customHeight="1">
      <c r="A2601" s="298">
        <v>36478</v>
      </c>
      <c r="B2601" s="299" t="s">
        <v>3509</v>
      </c>
      <c r="C2601" s="299">
        <v>80</v>
      </c>
      <c r="D2601" s="299">
        <f t="shared" si="83"/>
        <v>11</v>
      </c>
      <c r="E2601" s="299">
        <v>55</v>
      </c>
      <c r="F2601" s="430" t="s">
        <v>3504</v>
      </c>
      <c r="G2601" s="300" t="str">
        <f t="shared" si="84"/>
        <v>DeinhardBayern</v>
      </c>
    </row>
    <row r="2602" spans="1:7" ht="12" customHeight="1">
      <c r="A2602" s="298">
        <v>36492</v>
      </c>
      <c r="B2602" s="299" t="s">
        <v>3509</v>
      </c>
      <c r="C2602" s="299">
        <v>80</v>
      </c>
      <c r="D2602" s="299">
        <f t="shared" si="83"/>
        <v>11</v>
      </c>
      <c r="E2602" s="299">
        <v>55</v>
      </c>
      <c r="F2602" s="430" t="s">
        <v>3504</v>
      </c>
      <c r="G2602" s="300" t="str">
        <f t="shared" si="84"/>
        <v>DeinhardBayern</v>
      </c>
    </row>
    <row r="2603" spans="1:7" ht="12" customHeight="1">
      <c r="A2603" s="298">
        <v>36523</v>
      </c>
      <c r="B2603" s="299" t="s">
        <v>3509</v>
      </c>
      <c r="C2603" s="299">
        <v>40</v>
      </c>
      <c r="D2603" s="299">
        <f t="shared" si="83"/>
        <v>12</v>
      </c>
      <c r="E2603" s="299">
        <v>58</v>
      </c>
      <c r="F2603" s="430" t="s">
        <v>3504</v>
      </c>
      <c r="G2603" s="300" t="str">
        <f t="shared" si="84"/>
        <v>DeinhardBayern</v>
      </c>
    </row>
    <row r="2604" spans="1:7" ht="12" customHeight="1">
      <c r="A2604" s="298">
        <v>36220</v>
      </c>
      <c r="B2604" s="299" t="s">
        <v>3509</v>
      </c>
      <c r="C2604" s="299">
        <v>40</v>
      </c>
      <c r="D2604" s="299">
        <f t="shared" si="83"/>
        <v>3</v>
      </c>
      <c r="E2604" s="299">
        <v>59</v>
      </c>
      <c r="F2604" s="430" t="s">
        <v>3501</v>
      </c>
      <c r="G2604" s="300" t="str">
        <f t="shared" si="84"/>
        <v>DeinhardBW</v>
      </c>
    </row>
    <row r="2605" spans="1:7" ht="12" customHeight="1">
      <c r="A2605" s="298">
        <v>36223</v>
      </c>
      <c r="B2605" s="299" t="s">
        <v>3509</v>
      </c>
      <c r="C2605" s="299">
        <v>160</v>
      </c>
      <c r="D2605" s="299">
        <f t="shared" si="83"/>
        <v>3</v>
      </c>
      <c r="E2605" s="299">
        <v>59</v>
      </c>
      <c r="F2605" s="430" t="s">
        <v>3501</v>
      </c>
      <c r="G2605" s="300" t="str">
        <f t="shared" si="84"/>
        <v>DeinhardBW</v>
      </c>
    </row>
    <row r="2606" spans="1:7" ht="12" customHeight="1">
      <c r="A2606" s="298">
        <v>36285</v>
      </c>
      <c r="B2606" s="299" t="s">
        <v>3509</v>
      </c>
      <c r="C2606" s="299">
        <v>70</v>
      </c>
      <c r="D2606" s="299">
        <f t="shared" si="83"/>
        <v>5</v>
      </c>
      <c r="E2606" s="299">
        <v>58</v>
      </c>
      <c r="F2606" s="430" t="s">
        <v>3501</v>
      </c>
      <c r="G2606" s="300" t="str">
        <f t="shared" si="84"/>
        <v>DeinhardBW</v>
      </c>
    </row>
    <row r="2607" spans="1:7" ht="12" customHeight="1">
      <c r="A2607" s="298">
        <v>36352</v>
      </c>
      <c r="B2607" s="299" t="s">
        <v>3509</v>
      </c>
      <c r="C2607" s="299">
        <v>30</v>
      </c>
      <c r="D2607" s="299">
        <f t="shared" si="83"/>
        <v>7</v>
      </c>
      <c r="E2607" s="299">
        <v>55</v>
      </c>
      <c r="F2607" s="430" t="s">
        <v>3502</v>
      </c>
      <c r="G2607" s="300" t="str">
        <f t="shared" si="84"/>
        <v>DeinhardHessen</v>
      </c>
    </row>
    <row r="2608" spans="1:7" ht="12" customHeight="1">
      <c r="A2608" s="298">
        <v>36465</v>
      </c>
      <c r="B2608" s="299" t="s">
        <v>3509</v>
      </c>
      <c r="C2608" s="299">
        <v>120</v>
      </c>
      <c r="D2608" s="299">
        <f t="shared" si="83"/>
        <v>11</v>
      </c>
      <c r="E2608" s="299">
        <v>56</v>
      </c>
      <c r="F2608" s="430" t="s">
        <v>3502</v>
      </c>
      <c r="G2608" s="300" t="str">
        <f t="shared" si="84"/>
        <v>DeinhardHessen</v>
      </c>
    </row>
    <row r="2609" spans="1:7" ht="12" customHeight="1">
      <c r="A2609" s="298">
        <v>36172</v>
      </c>
      <c r="B2609" s="299" t="s">
        <v>3509</v>
      </c>
      <c r="C2609" s="299">
        <v>100</v>
      </c>
      <c r="D2609" s="299">
        <f t="shared" si="83"/>
        <v>1</v>
      </c>
      <c r="E2609" s="299">
        <v>56</v>
      </c>
      <c r="F2609" s="430" t="s">
        <v>3503</v>
      </c>
      <c r="G2609" s="300" t="str">
        <f t="shared" si="84"/>
        <v>DeinhardHolstein</v>
      </c>
    </row>
    <row r="2610" spans="1:7" ht="12" customHeight="1">
      <c r="A2610" s="298">
        <v>36296</v>
      </c>
      <c r="B2610" s="299" t="s">
        <v>3509</v>
      </c>
      <c r="C2610" s="299">
        <v>50</v>
      </c>
      <c r="D2610" s="299">
        <f t="shared" si="83"/>
        <v>5</v>
      </c>
      <c r="E2610" s="299">
        <v>60</v>
      </c>
      <c r="F2610" s="430" t="s">
        <v>3503</v>
      </c>
      <c r="G2610" s="300" t="str">
        <f t="shared" si="84"/>
        <v>DeinhardHolstein</v>
      </c>
    </row>
    <row r="2611" spans="1:7" ht="12" customHeight="1">
      <c r="A2611" s="298">
        <v>36332</v>
      </c>
      <c r="B2611" s="299" t="s">
        <v>3509</v>
      </c>
      <c r="C2611" s="299">
        <v>160</v>
      </c>
      <c r="D2611" s="299">
        <f t="shared" si="83"/>
        <v>6</v>
      </c>
      <c r="E2611" s="299">
        <v>56</v>
      </c>
      <c r="F2611" s="430" t="s">
        <v>3503</v>
      </c>
      <c r="G2611" s="300" t="str">
        <f t="shared" si="84"/>
        <v>DeinhardHolstein</v>
      </c>
    </row>
    <row r="2612" spans="1:7" ht="12" customHeight="1">
      <c r="A2612" s="298">
        <v>36342</v>
      </c>
      <c r="B2612" s="299" t="s">
        <v>3509</v>
      </c>
      <c r="C2612" s="299">
        <v>60</v>
      </c>
      <c r="D2612" s="299">
        <f t="shared" si="83"/>
        <v>7</v>
      </c>
      <c r="E2612" s="299">
        <v>57</v>
      </c>
      <c r="F2612" s="430" t="s">
        <v>3503</v>
      </c>
      <c r="G2612" s="300" t="str">
        <f t="shared" si="84"/>
        <v>DeinhardHolstein</v>
      </c>
    </row>
    <row r="2613" spans="1:7" ht="12" customHeight="1">
      <c r="A2613" s="298">
        <v>36358</v>
      </c>
      <c r="B2613" s="299" t="s">
        <v>3509</v>
      </c>
      <c r="C2613" s="299">
        <v>70</v>
      </c>
      <c r="D2613" s="299">
        <f t="shared" si="83"/>
        <v>7</v>
      </c>
      <c r="E2613" s="299">
        <v>57</v>
      </c>
      <c r="F2613" s="430" t="s">
        <v>3503</v>
      </c>
      <c r="G2613" s="300" t="str">
        <f t="shared" si="84"/>
        <v>DeinhardHolstein</v>
      </c>
    </row>
    <row r="2614" spans="1:7" ht="12" customHeight="1">
      <c r="A2614" s="298">
        <v>36358</v>
      </c>
      <c r="B2614" s="299" t="s">
        <v>3509</v>
      </c>
      <c r="C2614" s="299">
        <v>50</v>
      </c>
      <c r="D2614" s="299">
        <f t="shared" si="83"/>
        <v>7</v>
      </c>
      <c r="E2614" s="299">
        <v>55</v>
      </c>
      <c r="F2614" s="430" t="s">
        <v>3503</v>
      </c>
      <c r="G2614" s="300" t="str">
        <f t="shared" si="84"/>
        <v>DeinhardHolstein</v>
      </c>
    </row>
    <row r="2615" spans="1:7" ht="12" customHeight="1">
      <c r="A2615" s="298">
        <v>36373</v>
      </c>
      <c r="B2615" s="299" t="s">
        <v>3509</v>
      </c>
      <c r="C2615" s="299">
        <v>50</v>
      </c>
      <c r="D2615" s="299">
        <f t="shared" si="83"/>
        <v>8</v>
      </c>
      <c r="E2615" s="299">
        <v>57</v>
      </c>
      <c r="F2615" s="430" t="s">
        <v>3503</v>
      </c>
      <c r="G2615" s="300" t="str">
        <f t="shared" si="84"/>
        <v>DeinhardHolstein</v>
      </c>
    </row>
    <row r="2616" spans="1:7" ht="12" customHeight="1">
      <c r="A2616" s="298">
        <v>36381</v>
      </c>
      <c r="B2616" s="299" t="s">
        <v>3509</v>
      </c>
      <c r="C2616" s="299">
        <v>60</v>
      </c>
      <c r="D2616" s="299">
        <f t="shared" si="83"/>
        <v>8</v>
      </c>
      <c r="E2616" s="299">
        <v>55</v>
      </c>
      <c r="F2616" s="430" t="s">
        <v>3503</v>
      </c>
      <c r="G2616" s="300" t="str">
        <f t="shared" si="84"/>
        <v>DeinhardHolstein</v>
      </c>
    </row>
    <row r="2617" spans="1:7" ht="12" customHeight="1">
      <c r="A2617" s="298">
        <v>36385</v>
      </c>
      <c r="B2617" s="299" t="s">
        <v>3509</v>
      </c>
      <c r="C2617" s="299">
        <v>80</v>
      </c>
      <c r="D2617" s="299">
        <f t="shared" si="83"/>
        <v>8</v>
      </c>
      <c r="E2617" s="299">
        <v>55</v>
      </c>
      <c r="F2617" s="430" t="s">
        <v>3503</v>
      </c>
      <c r="G2617" s="300" t="str">
        <f t="shared" si="84"/>
        <v>DeinhardHolstein</v>
      </c>
    </row>
    <row r="2618" spans="1:7" ht="12" customHeight="1">
      <c r="A2618" s="298">
        <v>36396</v>
      </c>
      <c r="B2618" s="299" t="s">
        <v>3509</v>
      </c>
      <c r="C2618" s="299">
        <v>100</v>
      </c>
      <c r="D2618" s="299">
        <f t="shared" si="83"/>
        <v>8</v>
      </c>
      <c r="E2618" s="299">
        <v>57</v>
      </c>
      <c r="F2618" s="430" t="s">
        <v>3503</v>
      </c>
      <c r="G2618" s="300" t="str">
        <f t="shared" si="84"/>
        <v>DeinhardHolstein</v>
      </c>
    </row>
    <row r="2619" spans="1:7" ht="12" customHeight="1">
      <c r="A2619" s="298">
        <v>36396</v>
      </c>
      <c r="B2619" s="299" t="s">
        <v>3509</v>
      </c>
      <c r="C2619" s="299">
        <v>10</v>
      </c>
      <c r="D2619" s="299">
        <f t="shared" si="83"/>
        <v>8</v>
      </c>
      <c r="E2619" s="299">
        <v>55</v>
      </c>
      <c r="F2619" s="430" t="s">
        <v>3503</v>
      </c>
      <c r="G2619" s="300" t="str">
        <f t="shared" si="84"/>
        <v>DeinhardHolstein</v>
      </c>
    </row>
    <row r="2620" spans="1:7" ht="12" customHeight="1">
      <c r="A2620" s="298">
        <v>36400</v>
      </c>
      <c r="B2620" s="299" t="s">
        <v>3509</v>
      </c>
      <c r="C2620" s="299">
        <v>120</v>
      </c>
      <c r="D2620" s="299">
        <f t="shared" si="83"/>
        <v>8</v>
      </c>
      <c r="E2620" s="299">
        <v>55</v>
      </c>
      <c r="F2620" s="430" t="s">
        <v>3503</v>
      </c>
      <c r="G2620" s="300" t="str">
        <f t="shared" si="84"/>
        <v>DeinhardHolstein</v>
      </c>
    </row>
    <row r="2621" spans="1:7" ht="12" customHeight="1">
      <c r="A2621" s="298">
        <v>36413</v>
      </c>
      <c r="B2621" s="299" t="s">
        <v>3509</v>
      </c>
      <c r="C2621" s="299">
        <v>20</v>
      </c>
      <c r="D2621" s="299">
        <f t="shared" si="83"/>
        <v>9</v>
      </c>
      <c r="E2621" s="299">
        <v>58</v>
      </c>
      <c r="F2621" s="430" t="s">
        <v>3503</v>
      </c>
      <c r="G2621" s="300" t="str">
        <f t="shared" si="84"/>
        <v>DeinhardHolstein</v>
      </c>
    </row>
    <row r="2622" spans="1:7" ht="12" customHeight="1">
      <c r="A2622" s="298">
        <v>36425</v>
      </c>
      <c r="B2622" s="299" t="s">
        <v>3509</v>
      </c>
      <c r="C2622" s="299">
        <v>40</v>
      </c>
      <c r="D2622" s="299">
        <f t="shared" si="83"/>
        <v>9</v>
      </c>
      <c r="E2622" s="299">
        <v>58</v>
      </c>
      <c r="F2622" s="430" t="s">
        <v>3503</v>
      </c>
      <c r="G2622" s="300" t="str">
        <f t="shared" si="84"/>
        <v>DeinhardHolstein</v>
      </c>
    </row>
    <row r="2623" spans="1:7" ht="12" customHeight="1">
      <c r="A2623" s="298">
        <v>36447</v>
      </c>
      <c r="B2623" s="299" t="s">
        <v>3509</v>
      </c>
      <c r="C2623" s="299">
        <v>50</v>
      </c>
      <c r="D2623" s="299">
        <f t="shared" si="83"/>
        <v>10</v>
      </c>
      <c r="E2623" s="299">
        <v>58</v>
      </c>
      <c r="F2623" s="430" t="s">
        <v>3503</v>
      </c>
      <c r="G2623" s="300" t="str">
        <f t="shared" si="84"/>
        <v>DeinhardHolstein</v>
      </c>
    </row>
    <row r="2624" spans="1:7" ht="12" customHeight="1">
      <c r="A2624" s="298">
        <v>36455</v>
      </c>
      <c r="B2624" s="299" t="s">
        <v>3509</v>
      </c>
      <c r="C2624" s="299">
        <v>120</v>
      </c>
      <c r="D2624" s="299">
        <f t="shared" si="83"/>
        <v>10</v>
      </c>
      <c r="E2624" s="299">
        <v>60</v>
      </c>
      <c r="F2624" s="430" t="s">
        <v>3503</v>
      </c>
      <c r="G2624" s="300" t="str">
        <f t="shared" si="84"/>
        <v>DeinhardHolstein</v>
      </c>
    </row>
    <row r="2625" spans="1:7" ht="12" customHeight="1">
      <c r="A2625" s="298">
        <v>36484</v>
      </c>
      <c r="B2625" s="299" t="s">
        <v>3509</v>
      </c>
      <c r="C2625" s="299">
        <v>40</v>
      </c>
      <c r="D2625" s="299">
        <f t="shared" si="83"/>
        <v>11</v>
      </c>
      <c r="E2625" s="299">
        <v>60</v>
      </c>
      <c r="F2625" s="430" t="s">
        <v>3503</v>
      </c>
      <c r="G2625" s="300" t="str">
        <f t="shared" si="84"/>
        <v>DeinhardHolstein</v>
      </c>
    </row>
    <row r="2626" spans="1:7" ht="12" customHeight="1">
      <c r="A2626" s="298">
        <v>36485</v>
      </c>
      <c r="B2626" s="299" t="s">
        <v>3509</v>
      </c>
      <c r="C2626" s="299">
        <v>20</v>
      </c>
      <c r="D2626" s="299">
        <f t="shared" si="83"/>
        <v>11</v>
      </c>
      <c r="E2626" s="299">
        <v>58</v>
      </c>
      <c r="F2626" s="430" t="s">
        <v>3503</v>
      </c>
      <c r="G2626" s="300" t="str">
        <f t="shared" si="84"/>
        <v>DeinhardHolstein</v>
      </c>
    </row>
    <row r="2627" spans="1:7" ht="12" customHeight="1">
      <c r="A2627" s="298">
        <v>36490</v>
      </c>
      <c r="B2627" s="299" t="s">
        <v>3509</v>
      </c>
      <c r="C2627" s="299">
        <v>50</v>
      </c>
      <c r="D2627" s="299">
        <f t="shared" si="83"/>
        <v>11</v>
      </c>
      <c r="E2627" s="299">
        <v>57</v>
      </c>
      <c r="F2627" s="430" t="s">
        <v>3503</v>
      </c>
      <c r="G2627" s="300" t="str">
        <f t="shared" si="84"/>
        <v>DeinhardHolstein</v>
      </c>
    </row>
    <row r="2628" spans="1:7" ht="12" customHeight="1">
      <c r="A2628" s="298">
        <v>36492</v>
      </c>
      <c r="B2628" s="299" t="s">
        <v>3509</v>
      </c>
      <c r="C2628" s="299">
        <v>50</v>
      </c>
      <c r="D2628" s="299">
        <f t="shared" si="83"/>
        <v>11</v>
      </c>
      <c r="E2628" s="299">
        <v>58</v>
      </c>
      <c r="F2628" s="430" t="s">
        <v>3503</v>
      </c>
      <c r="G2628" s="300" t="str">
        <f t="shared" si="84"/>
        <v>DeinhardHolstein</v>
      </c>
    </row>
    <row r="2629" spans="1:7" ht="12" customHeight="1">
      <c r="A2629" s="298">
        <v>36492</v>
      </c>
      <c r="B2629" s="299" t="s">
        <v>3509</v>
      </c>
      <c r="C2629" s="299">
        <v>10</v>
      </c>
      <c r="D2629" s="299">
        <f t="shared" si="83"/>
        <v>11</v>
      </c>
      <c r="E2629" s="299">
        <v>58</v>
      </c>
      <c r="F2629" s="430" t="s">
        <v>3503</v>
      </c>
      <c r="G2629" s="300" t="str">
        <f t="shared" si="84"/>
        <v>DeinhardHolstein</v>
      </c>
    </row>
    <row r="2630" spans="1:7" ht="12" customHeight="1">
      <c r="A2630" s="298">
        <v>36498</v>
      </c>
      <c r="B2630" s="299" t="s">
        <v>3509</v>
      </c>
      <c r="C2630" s="299">
        <v>30</v>
      </c>
      <c r="D2630" s="299">
        <f t="shared" ref="D2630:D2693" si="85">MONTH(A2630)</f>
        <v>12</v>
      </c>
      <c r="E2630" s="299">
        <v>56</v>
      </c>
      <c r="F2630" s="430" t="s">
        <v>3503</v>
      </c>
      <c r="G2630" s="300" t="str">
        <f t="shared" ref="G2630:G2693" si="86">B2630&amp;F2630</f>
        <v>DeinhardHolstein</v>
      </c>
    </row>
    <row r="2631" spans="1:7" ht="12" customHeight="1">
      <c r="A2631" s="298">
        <v>36512</v>
      </c>
      <c r="B2631" s="299" t="s">
        <v>3509</v>
      </c>
      <c r="C2631" s="299">
        <v>120</v>
      </c>
      <c r="D2631" s="299">
        <f t="shared" si="85"/>
        <v>12</v>
      </c>
      <c r="E2631" s="299">
        <v>56</v>
      </c>
      <c r="F2631" s="430" t="s">
        <v>3503</v>
      </c>
      <c r="G2631" s="300" t="str">
        <f t="shared" si="86"/>
        <v>DeinhardHolstein</v>
      </c>
    </row>
    <row r="2632" spans="1:7" ht="12" customHeight="1">
      <c r="A2632" s="298">
        <v>36520</v>
      </c>
      <c r="B2632" s="299" t="s">
        <v>3509</v>
      </c>
      <c r="C2632" s="299">
        <v>20</v>
      </c>
      <c r="D2632" s="299">
        <f t="shared" si="85"/>
        <v>12</v>
      </c>
      <c r="E2632" s="299">
        <v>56</v>
      </c>
      <c r="F2632" s="430" t="s">
        <v>3503</v>
      </c>
      <c r="G2632" s="300" t="str">
        <f t="shared" si="86"/>
        <v>DeinhardHolstein</v>
      </c>
    </row>
    <row r="2633" spans="1:7" ht="12" customHeight="1">
      <c r="A2633" s="298">
        <v>36523</v>
      </c>
      <c r="B2633" s="299" t="s">
        <v>3509</v>
      </c>
      <c r="C2633" s="299">
        <v>120</v>
      </c>
      <c r="D2633" s="299">
        <f t="shared" si="85"/>
        <v>12</v>
      </c>
      <c r="E2633" s="299">
        <v>56</v>
      </c>
      <c r="F2633" s="430" t="s">
        <v>3503</v>
      </c>
      <c r="G2633" s="300" t="str">
        <f t="shared" si="86"/>
        <v>DeinhardHolstein</v>
      </c>
    </row>
    <row r="2634" spans="1:7" ht="12" customHeight="1">
      <c r="A2634" s="298">
        <v>36524</v>
      </c>
      <c r="B2634" s="299" t="s">
        <v>3509</v>
      </c>
      <c r="C2634" s="299">
        <v>40</v>
      </c>
      <c r="D2634" s="299">
        <f t="shared" si="85"/>
        <v>12</v>
      </c>
      <c r="E2634" s="299">
        <v>55</v>
      </c>
      <c r="F2634" s="430" t="s">
        <v>3503</v>
      </c>
      <c r="G2634" s="300" t="str">
        <f t="shared" si="86"/>
        <v>DeinhardHolstein</v>
      </c>
    </row>
    <row r="2635" spans="1:7" ht="12" customHeight="1">
      <c r="A2635" s="298">
        <v>36220</v>
      </c>
      <c r="B2635" s="299" t="s">
        <v>3509</v>
      </c>
      <c r="C2635" s="299">
        <v>90</v>
      </c>
      <c r="D2635" s="299">
        <f t="shared" si="85"/>
        <v>3</v>
      </c>
      <c r="E2635" s="299">
        <v>57</v>
      </c>
      <c r="F2635" s="430" t="s">
        <v>3497</v>
      </c>
      <c r="G2635" s="300" t="str">
        <f t="shared" si="86"/>
        <v>DeinhardNRW</v>
      </c>
    </row>
    <row r="2636" spans="1:7" ht="12" customHeight="1">
      <c r="A2636" s="298">
        <v>36223</v>
      </c>
      <c r="B2636" s="299" t="s">
        <v>3509</v>
      </c>
      <c r="C2636" s="299">
        <v>10</v>
      </c>
      <c r="D2636" s="299">
        <f t="shared" si="85"/>
        <v>3</v>
      </c>
      <c r="E2636" s="299">
        <v>56</v>
      </c>
      <c r="F2636" s="430" t="s">
        <v>3497</v>
      </c>
      <c r="G2636" s="300" t="str">
        <f t="shared" si="86"/>
        <v>DeinhardNRW</v>
      </c>
    </row>
    <row r="2637" spans="1:7" ht="12" customHeight="1">
      <c r="A2637" s="298">
        <v>36228</v>
      </c>
      <c r="B2637" s="299" t="s">
        <v>3509</v>
      </c>
      <c r="C2637" s="299">
        <v>10</v>
      </c>
      <c r="D2637" s="299">
        <f t="shared" si="85"/>
        <v>3</v>
      </c>
      <c r="E2637" s="299">
        <v>57</v>
      </c>
      <c r="F2637" s="430" t="s">
        <v>3497</v>
      </c>
      <c r="G2637" s="300" t="str">
        <f t="shared" si="86"/>
        <v>DeinhardNRW</v>
      </c>
    </row>
    <row r="2638" spans="1:7" ht="12" customHeight="1">
      <c r="A2638" s="298">
        <v>36236</v>
      </c>
      <c r="B2638" s="299" t="s">
        <v>3509</v>
      </c>
      <c r="C2638" s="299">
        <v>50</v>
      </c>
      <c r="D2638" s="299">
        <f t="shared" si="85"/>
        <v>3</v>
      </c>
      <c r="E2638" s="299">
        <v>57</v>
      </c>
      <c r="F2638" s="430" t="s">
        <v>3497</v>
      </c>
      <c r="G2638" s="300" t="str">
        <f t="shared" si="86"/>
        <v>DeinhardNRW</v>
      </c>
    </row>
    <row r="2639" spans="1:7" ht="12" customHeight="1">
      <c r="A2639" s="298">
        <v>36319</v>
      </c>
      <c r="B2639" s="299" t="s">
        <v>3509</v>
      </c>
      <c r="C2639" s="299">
        <v>20</v>
      </c>
      <c r="D2639" s="299">
        <f t="shared" si="85"/>
        <v>6</v>
      </c>
      <c r="E2639" s="299">
        <v>59</v>
      </c>
      <c r="F2639" s="430" t="s">
        <v>3497</v>
      </c>
      <c r="G2639" s="300" t="str">
        <f t="shared" si="86"/>
        <v>DeinhardNRW</v>
      </c>
    </row>
    <row r="2640" spans="1:7" ht="12" customHeight="1">
      <c r="A2640" s="298">
        <v>36321</v>
      </c>
      <c r="B2640" s="299" t="s">
        <v>3509</v>
      </c>
      <c r="C2640" s="299">
        <v>60</v>
      </c>
      <c r="D2640" s="299">
        <f t="shared" si="85"/>
        <v>6</v>
      </c>
      <c r="E2640" s="299">
        <v>56</v>
      </c>
      <c r="F2640" s="430" t="s">
        <v>3497</v>
      </c>
      <c r="G2640" s="300" t="str">
        <f t="shared" si="86"/>
        <v>DeinhardNRW</v>
      </c>
    </row>
    <row r="2641" spans="1:7" ht="12" customHeight="1">
      <c r="A2641" s="298">
        <v>36331</v>
      </c>
      <c r="B2641" s="299" t="s">
        <v>3509</v>
      </c>
      <c r="C2641" s="299">
        <v>40</v>
      </c>
      <c r="D2641" s="299">
        <f t="shared" si="85"/>
        <v>6</v>
      </c>
      <c r="E2641" s="299">
        <v>58</v>
      </c>
      <c r="F2641" s="430" t="s">
        <v>3497</v>
      </c>
      <c r="G2641" s="300" t="str">
        <f t="shared" si="86"/>
        <v>DeinhardNRW</v>
      </c>
    </row>
    <row r="2642" spans="1:7" ht="12" customHeight="1">
      <c r="A2642" s="298">
        <v>36362</v>
      </c>
      <c r="B2642" s="299" t="s">
        <v>3509</v>
      </c>
      <c r="C2642" s="299">
        <v>120</v>
      </c>
      <c r="D2642" s="299">
        <f t="shared" si="85"/>
        <v>7</v>
      </c>
      <c r="E2642" s="299">
        <v>57</v>
      </c>
      <c r="F2642" s="430" t="s">
        <v>3497</v>
      </c>
      <c r="G2642" s="300" t="str">
        <f t="shared" si="86"/>
        <v>DeinhardNRW</v>
      </c>
    </row>
    <row r="2643" spans="1:7" ht="12" customHeight="1">
      <c r="A2643" s="298">
        <v>36374</v>
      </c>
      <c r="B2643" s="299" t="s">
        <v>3509</v>
      </c>
      <c r="C2643" s="299">
        <v>10</v>
      </c>
      <c r="D2643" s="299">
        <f t="shared" si="85"/>
        <v>8</v>
      </c>
      <c r="E2643" s="299">
        <v>60</v>
      </c>
      <c r="F2643" s="430" t="s">
        <v>3497</v>
      </c>
      <c r="G2643" s="300" t="str">
        <f t="shared" si="86"/>
        <v>DeinhardNRW</v>
      </c>
    </row>
    <row r="2644" spans="1:7" ht="12" customHeight="1">
      <c r="A2644" s="298">
        <v>36459</v>
      </c>
      <c r="B2644" s="299" t="s">
        <v>3509</v>
      </c>
      <c r="C2644" s="299">
        <v>100</v>
      </c>
      <c r="D2644" s="299">
        <f t="shared" si="85"/>
        <v>10</v>
      </c>
      <c r="E2644" s="299">
        <v>60</v>
      </c>
      <c r="F2644" s="430" t="s">
        <v>3497</v>
      </c>
      <c r="G2644" s="300" t="str">
        <f t="shared" si="86"/>
        <v>DeinhardNRW</v>
      </c>
    </row>
    <row r="2645" spans="1:7" ht="12" customHeight="1">
      <c r="A2645" s="298">
        <v>36249</v>
      </c>
      <c r="B2645" s="299" t="s">
        <v>3509</v>
      </c>
      <c r="C2645" s="299">
        <v>20</v>
      </c>
      <c r="D2645" s="299">
        <f t="shared" si="85"/>
        <v>3</v>
      </c>
      <c r="E2645" s="299">
        <v>59</v>
      </c>
      <c r="F2645" s="430" t="s">
        <v>3499</v>
      </c>
      <c r="G2645" s="300" t="str">
        <f t="shared" si="86"/>
        <v>DeinhardPfalz</v>
      </c>
    </row>
    <row r="2646" spans="1:7" ht="12" customHeight="1">
      <c r="A2646" s="298">
        <v>36341</v>
      </c>
      <c r="B2646" s="299" t="s">
        <v>3509</v>
      </c>
      <c r="C2646" s="299">
        <v>70</v>
      </c>
      <c r="D2646" s="299">
        <f t="shared" si="85"/>
        <v>6</v>
      </c>
      <c r="E2646" s="299">
        <v>55</v>
      </c>
      <c r="F2646" s="430" t="s">
        <v>3499</v>
      </c>
      <c r="G2646" s="300" t="str">
        <f t="shared" si="86"/>
        <v>DeinhardPfalz</v>
      </c>
    </row>
    <row r="2647" spans="1:7" ht="12" customHeight="1">
      <c r="A2647" s="298">
        <v>36344</v>
      </c>
      <c r="B2647" s="299" t="s">
        <v>3509</v>
      </c>
      <c r="C2647" s="299">
        <v>40</v>
      </c>
      <c r="D2647" s="299">
        <f t="shared" si="85"/>
        <v>7</v>
      </c>
      <c r="E2647" s="299">
        <v>57</v>
      </c>
      <c r="F2647" s="430" t="s">
        <v>3499</v>
      </c>
      <c r="G2647" s="300" t="str">
        <f t="shared" si="86"/>
        <v>DeinhardPfalz</v>
      </c>
    </row>
    <row r="2648" spans="1:7" ht="12" customHeight="1">
      <c r="A2648" s="298">
        <v>36354</v>
      </c>
      <c r="B2648" s="299" t="s">
        <v>3509</v>
      </c>
      <c r="C2648" s="299">
        <v>20</v>
      </c>
      <c r="D2648" s="299">
        <f t="shared" si="85"/>
        <v>7</v>
      </c>
      <c r="E2648" s="299">
        <v>60</v>
      </c>
      <c r="F2648" s="430" t="s">
        <v>3499</v>
      </c>
      <c r="G2648" s="300" t="str">
        <f t="shared" si="86"/>
        <v>DeinhardPfalz</v>
      </c>
    </row>
    <row r="2649" spans="1:7" ht="12" customHeight="1">
      <c r="A2649" s="298">
        <v>36389</v>
      </c>
      <c r="B2649" s="299" t="s">
        <v>3509</v>
      </c>
      <c r="C2649" s="299">
        <v>50</v>
      </c>
      <c r="D2649" s="299">
        <f t="shared" si="85"/>
        <v>8</v>
      </c>
      <c r="E2649" s="299">
        <v>58</v>
      </c>
      <c r="F2649" s="430" t="s">
        <v>3499</v>
      </c>
      <c r="G2649" s="300" t="str">
        <f t="shared" si="86"/>
        <v>DeinhardPfalz</v>
      </c>
    </row>
    <row r="2650" spans="1:7" ht="12" customHeight="1">
      <c r="A2650" s="298">
        <v>36390</v>
      </c>
      <c r="B2650" s="299" t="s">
        <v>3509</v>
      </c>
      <c r="C2650" s="299">
        <v>20</v>
      </c>
      <c r="D2650" s="299">
        <f t="shared" si="85"/>
        <v>8</v>
      </c>
      <c r="E2650" s="299">
        <v>60</v>
      </c>
      <c r="F2650" s="430" t="s">
        <v>3499</v>
      </c>
      <c r="G2650" s="300" t="str">
        <f t="shared" si="86"/>
        <v>DeinhardPfalz</v>
      </c>
    </row>
    <row r="2651" spans="1:7" ht="12" customHeight="1">
      <c r="A2651" s="298">
        <v>36396</v>
      </c>
      <c r="B2651" s="299" t="s">
        <v>3509</v>
      </c>
      <c r="C2651" s="299">
        <v>50</v>
      </c>
      <c r="D2651" s="299">
        <f t="shared" si="85"/>
        <v>8</v>
      </c>
      <c r="E2651" s="299">
        <v>58</v>
      </c>
      <c r="F2651" s="430" t="s">
        <v>3499</v>
      </c>
      <c r="G2651" s="300" t="str">
        <f t="shared" si="86"/>
        <v>DeinhardPfalz</v>
      </c>
    </row>
    <row r="2652" spans="1:7" ht="12" customHeight="1">
      <c r="A2652" s="298">
        <v>36402</v>
      </c>
      <c r="B2652" s="299" t="s">
        <v>3509</v>
      </c>
      <c r="C2652" s="299">
        <v>40</v>
      </c>
      <c r="D2652" s="299">
        <f t="shared" si="85"/>
        <v>8</v>
      </c>
      <c r="E2652" s="299">
        <v>58</v>
      </c>
      <c r="F2652" s="430" t="s">
        <v>3499</v>
      </c>
      <c r="G2652" s="300" t="str">
        <f t="shared" si="86"/>
        <v>DeinhardPfalz</v>
      </c>
    </row>
    <row r="2653" spans="1:7" ht="12" customHeight="1">
      <c r="A2653" s="298">
        <v>36193</v>
      </c>
      <c r="B2653" s="299" t="s">
        <v>3509</v>
      </c>
      <c r="C2653" s="299">
        <v>120</v>
      </c>
      <c r="D2653" s="299">
        <f t="shared" si="85"/>
        <v>2</v>
      </c>
      <c r="E2653" s="299">
        <v>56</v>
      </c>
      <c r="F2653" s="430" t="s">
        <v>3500</v>
      </c>
      <c r="G2653" s="300" t="str">
        <f t="shared" si="86"/>
        <v>DeinhardSaarland</v>
      </c>
    </row>
    <row r="2654" spans="1:7" ht="12" customHeight="1">
      <c r="A2654" s="298">
        <v>36216</v>
      </c>
      <c r="B2654" s="299" t="s">
        <v>3510</v>
      </c>
      <c r="C2654" s="299">
        <v>20</v>
      </c>
      <c r="D2654" s="299">
        <f t="shared" si="85"/>
        <v>2</v>
      </c>
      <c r="E2654" s="299">
        <v>61</v>
      </c>
      <c r="F2654" s="430" t="s">
        <v>3504</v>
      </c>
      <c r="G2654" s="300" t="str">
        <f t="shared" si="86"/>
        <v>M&amp;MBayern</v>
      </c>
    </row>
    <row r="2655" spans="1:7" ht="12" customHeight="1">
      <c r="A2655" s="298">
        <v>36220</v>
      </c>
      <c r="B2655" s="299" t="s">
        <v>3510</v>
      </c>
      <c r="C2655" s="299">
        <v>20</v>
      </c>
      <c r="D2655" s="299">
        <f t="shared" si="85"/>
        <v>3</v>
      </c>
      <c r="E2655" s="299">
        <v>61</v>
      </c>
      <c r="F2655" s="430" t="s">
        <v>3504</v>
      </c>
      <c r="G2655" s="300" t="str">
        <f t="shared" si="86"/>
        <v>M&amp;MBayern</v>
      </c>
    </row>
    <row r="2656" spans="1:7" ht="12" customHeight="1">
      <c r="A2656" s="298">
        <v>36235</v>
      </c>
      <c r="B2656" s="299" t="s">
        <v>3510</v>
      </c>
      <c r="C2656" s="299">
        <v>20</v>
      </c>
      <c r="D2656" s="299">
        <f t="shared" si="85"/>
        <v>3</v>
      </c>
      <c r="E2656" s="299">
        <v>60</v>
      </c>
      <c r="F2656" s="430" t="s">
        <v>3504</v>
      </c>
      <c r="G2656" s="300" t="str">
        <f t="shared" si="86"/>
        <v>M&amp;MBayern</v>
      </c>
    </row>
    <row r="2657" spans="1:7" ht="12" customHeight="1">
      <c r="A2657" s="298">
        <v>36246</v>
      </c>
      <c r="B2657" s="299" t="s">
        <v>3510</v>
      </c>
      <c r="C2657" s="299">
        <v>30</v>
      </c>
      <c r="D2657" s="299">
        <f t="shared" si="85"/>
        <v>3</v>
      </c>
      <c r="E2657" s="299">
        <v>58</v>
      </c>
      <c r="F2657" s="430" t="s">
        <v>3504</v>
      </c>
      <c r="G2657" s="300" t="str">
        <f t="shared" si="86"/>
        <v>M&amp;MBayern</v>
      </c>
    </row>
    <row r="2658" spans="1:7" ht="12" customHeight="1">
      <c r="A2658" s="298">
        <v>36246</v>
      </c>
      <c r="B2658" s="299" t="s">
        <v>3510</v>
      </c>
      <c r="C2658" s="299">
        <v>50</v>
      </c>
      <c r="D2658" s="299">
        <f t="shared" si="85"/>
        <v>3</v>
      </c>
      <c r="E2658" s="299">
        <v>60</v>
      </c>
      <c r="F2658" s="430" t="s">
        <v>3504</v>
      </c>
      <c r="G2658" s="300" t="str">
        <f t="shared" si="86"/>
        <v>M&amp;MBayern</v>
      </c>
    </row>
    <row r="2659" spans="1:7" ht="12" customHeight="1">
      <c r="A2659" s="298">
        <v>36269</v>
      </c>
      <c r="B2659" s="299" t="s">
        <v>3510</v>
      </c>
      <c r="C2659" s="299">
        <v>50</v>
      </c>
      <c r="D2659" s="299">
        <f t="shared" si="85"/>
        <v>4</v>
      </c>
      <c r="E2659" s="299">
        <v>60</v>
      </c>
      <c r="F2659" s="430" t="s">
        <v>3504</v>
      </c>
      <c r="G2659" s="300" t="str">
        <f t="shared" si="86"/>
        <v>M&amp;MBayern</v>
      </c>
    </row>
    <row r="2660" spans="1:7" ht="12" customHeight="1">
      <c r="A2660" s="298">
        <v>36272</v>
      </c>
      <c r="B2660" s="299" t="s">
        <v>3510</v>
      </c>
      <c r="C2660" s="299">
        <v>50</v>
      </c>
      <c r="D2660" s="299">
        <f t="shared" si="85"/>
        <v>4</v>
      </c>
      <c r="E2660" s="299">
        <v>60</v>
      </c>
      <c r="F2660" s="430" t="s">
        <v>3504</v>
      </c>
      <c r="G2660" s="300" t="str">
        <f t="shared" si="86"/>
        <v>M&amp;MBayern</v>
      </c>
    </row>
    <row r="2661" spans="1:7" ht="12" customHeight="1">
      <c r="A2661" s="298">
        <v>36281</v>
      </c>
      <c r="B2661" s="299" t="s">
        <v>3510</v>
      </c>
      <c r="C2661" s="299">
        <v>40</v>
      </c>
      <c r="D2661" s="299">
        <f t="shared" si="85"/>
        <v>5</v>
      </c>
      <c r="E2661" s="299">
        <v>58</v>
      </c>
      <c r="F2661" s="430" t="s">
        <v>3504</v>
      </c>
      <c r="G2661" s="300" t="str">
        <f t="shared" si="86"/>
        <v>M&amp;MBayern</v>
      </c>
    </row>
    <row r="2662" spans="1:7" ht="12" customHeight="1">
      <c r="A2662" s="298">
        <v>36282</v>
      </c>
      <c r="B2662" s="299" t="s">
        <v>3510</v>
      </c>
      <c r="C2662" s="299">
        <v>20</v>
      </c>
      <c r="D2662" s="299">
        <f t="shared" si="85"/>
        <v>5</v>
      </c>
      <c r="E2662" s="299">
        <v>56</v>
      </c>
      <c r="F2662" s="430" t="s">
        <v>3504</v>
      </c>
      <c r="G2662" s="300" t="str">
        <f t="shared" si="86"/>
        <v>M&amp;MBayern</v>
      </c>
    </row>
    <row r="2663" spans="1:7" ht="12" customHeight="1">
      <c r="A2663" s="298">
        <v>36285</v>
      </c>
      <c r="B2663" s="299" t="s">
        <v>3510</v>
      </c>
      <c r="C2663" s="299">
        <v>70</v>
      </c>
      <c r="D2663" s="299">
        <f t="shared" si="85"/>
        <v>5</v>
      </c>
      <c r="E2663" s="299">
        <v>58</v>
      </c>
      <c r="F2663" s="430" t="s">
        <v>3504</v>
      </c>
      <c r="G2663" s="300" t="str">
        <f t="shared" si="86"/>
        <v>M&amp;MBayern</v>
      </c>
    </row>
    <row r="2664" spans="1:7" ht="12" customHeight="1">
      <c r="A2664" s="298">
        <v>36287</v>
      </c>
      <c r="B2664" s="299" t="s">
        <v>3510</v>
      </c>
      <c r="C2664" s="299">
        <v>40</v>
      </c>
      <c r="D2664" s="299">
        <f t="shared" si="85"/>
        <v>5</v>
      </c>
      <c r="E2664" s="299">
        <v>60</v>
      </c>
      <c r="F2664" s="430" t="s">
        <v>3504</v>
      </c>
      <c r="G2664" s="300" t="str">
        <f t="shared" si="86"/>
        <v>M&amp;MBayern</v>
      </c>
    </row>
    <row r="2665" spans="1:7" ht="12" customHeight="1">
      <c r="A2665" s="298">
        <v>36287</v>
      </c>
      <c r="B2665" s="299" t="s">
        <v>3510</v>
      </c>
      <c r="C2665" s="299">
        <v>80</v>
      </c>
      <c r="D2665" s="299">
        <f t="shared" si="85"/>
        <v>5</v>
      </c>
      <c r="E2665" s="299">
        <v>55</v>
      </c>
      <c r="F2665" s="430" t="s">
        <v>3504</v>
      </c>
      <c r="G2665" s="300" t="str">
        <f t="shared" si="86"/>
        <v>M&amp;MBayern</v>
      </c>
    </row>
    <row r="2666" spans="1:7" ht="12" customHeight="1">
      <c r="A2666" s="298">
        <v>36291</v>
      </c>
      <c r="B2666" s="299" t="s">
        <v>3510</v>
      </c>
      <c r="C2666" s="299">
        <v>80</v>
      </c>
      <c r="D2666" s="299">
        <f t="shared" si="85"/>
        <v>5</v>
      </c>
      <c r="E2666" s="299">
        <v>56</v>
      </c>
      <c r="F2666" s="430" t="s">
        <v>3504</v>
      </c>
      <c r="G2666" s="300" t="str">
        <f t="shared" si="86"/>
        <v>M&amp;MBayern</v>
      </c>
    </row>
    <row r="2667" spans="1:7" ht="12" customHeight="1">
      <c r="A2667" s="298">
        <v>36293</v>
      </c>
      <c r="B2667" s="299" t="s">
        <v>3510</v>
      </c>
      <c r="C2667" s="299">
        <v>70</v>
      </c>
      <c r="D2667" s="299">
        <f t="shared" si="85"/>
        <v>5</v>
      </c>
      <c r="E2667" s="299">
        <v>58</v>
      </c>
      <c r="F2667" s="430" t="s">
        <v>3504</v>
      </c>
      <c r="G2667" s="300" t="str">
        <f t="shared" si="86"/>
        <v>M&amp;MBayern</v>
      </c>
    </row>
    <row r="2668" spans="1:7" ht="12" customHeight="1">
      <c r="A2668" s="298">
        <v>36299</v>
      </c>
      <c r="B2668" s="299" t="s">
        <v>3510</v>
      </c>
      <c r="C2668" s="299">
        <v>70</v>
      </c>
      <c r="D2668" s="299">
        <f t="shared" si="85"/>
        <v>5</v>
      </c>
      <c r="E2668" s="299">
        <v>56</v>
      </c>
      <c r="F2668" s="430" t="s">
        <v>3504</v>
      </c>
      <c r="G2668" s="300" t="str">
        <f t="shared" si="86"/>
        <v>M&amp;MBayern</v>
      </c>
    </row>
    <row r="2669" spans="1:7" ht="12" customHeight="1">
      <c r="A2669" s="298">
        <v>36305</v>
      </c>
      <c r="B2669" s="299" t="s">
        <v>3510</v>
      </c>
      <c r="C2669" s="299">
        <v>30</v>
      </c>
      <c r="D2669" s="299">
        <f t="shared" si="85"/>
        <v>5</v>
      </c>
      <c r="E2669" s="299">
        <v>61</v>
      </c>
      <c r="F2669" s="430" t="s">
        <v>3504</v>
      </c>
      <c r="G2669" s="300" t="str">
        <f t="shared" si="86"/>
        <v>M&amp;MBayern</v>
      </c>
    </row>
    <row r="2670" spans="1:7" ht="12" customHeight="1">
      <c r="A2670" s="298">
        <v>36305</v>
      </c>
      <c r="B2670" s="299" t="s">
        <v>3510</v>
      </c>
      <c r="C2670" s="299">
        <v>100</v>
      </c>
      <c r="D2670" s="299">
        <f t="shared" si="85"/>
        <v>5</v>
      </c>
      <c r="E2670" s="299">
        <v>56</v>
      </c>
      <c r="F2670" s="430" t="s">
        <v>3504</v>
      </c>
      <c r="G2670" s="300" t="str">
        <f t="shared" si="86"/>
        <v>M&amp;MBayern</v>
      </c>
    </row>
    <row r="2671" spans="1:7" ht="12" customHeight="1">
      <c r="A2671" s="298">
        <v>36308</v>
      </c>
      <c r="B2671" s="299" t="s">
        <v>3510</v>
      </c>
      <c r="C2671" s="299">
        <v>100</v>
      </c>
      <c r="D2671" s="299">
        <f t="shared" si="85"/>
        <v>5</v>
      </c>
      <c r="E2671" s="299">
        <v>60</v>
      </c>
      <c r="F2671" s="430" t="s">
        <v>3504</v>
      </c>
      <c r="G2671" s="300" t="str">
        <f t="shared" si="86"/>
        <v>M&amp;MBayern</v>
      </c>
    </row>
    <row r="2672" spans="1:7" ht="12" customHeight="1">
      <c r="A2672" s="298">
        <v>36325</v>
      </c>
      <c r="B2672" s="299" t="s">
        <v>3510</v>
      </c>
      <c r="C2672" s="299">
        <v>80</v>
      </c>
      <c r="D2672" s="299">
        <f t="shared" si="85"/>
        <v>6</v>
      </c>
      <c r="E2672" s="299">
        <v>58</v>
      </c>
      <c r="F2672" s="430" t="s">
        <v>3504</v>
      </c>
      <c r="G2672" s="300" t="str">
        <f t="shared" si="86"/>
        <v>M&amp;MBayern</v>
      </c>
    </row>
    <row r="2673" spans="1:7" ht="12" customHeight="1">
      <c r="A2673" s="298">
        <v>36329</v>
      </c>
      <c r="B2673" s="299" t="s">
        <v>3510</v>
      </c>
      <c r="C2673" s="299">
        <v>100</v>
      </c>
      <c r="D2673" s="299">
        <f t="shared" si="85"/>
        <v>6</v>
      </c>
      <c r="E2673" s="299">
        <v>61</v>
      </c>
      <c r="F2673" s="430" t="s">
        <v>3504</v>
      </c>
      <c r="G2673" s="300" t="str">
        <f t="shared" si="86"/>
        <v>M&amp;MBayern</v>
      </c>
    </row>
    <row r="2674" spans="1:7" ht="12" customHeight="1">
      <c r="A2674" s="298">
        <v>36331</v>
      </c>
      <c r="B2674" s="299" t="s">
        <v>3510</v>
      </c>
      <c r="C2674" s="299">
        <v>20</v>
      </c>
      <c r="D2674" s="299">
        <f t="shared" si="85"/>
        <v>6</v>
      </c>
      <c r="E2674" s="299">
        <v>58</v>
      </c>
      <c r="F2674" s="430" t="s">
        <v>3504</v>
      </c>
      <c r="G2674" s="300" t="str">
        <f t="shared" si="86"/>
        <v>M&amp;MBayern</v>
      </c>
    </row>
    <row r="2675" spans="1:7" ht="12" customHeight="1">
      <c r="A2675" s="298">
        <v>36333</v>
      </c>
      <c r="B2675" s="299" t="s">
        <v>3510</v>
      </c>
      <c r="C2675" s="299">
        <v>30</v>
      </c>
      <c r="D2675" s="299">
        <f t="shared" si="85"/>
        <v>6</v>
      </c>
      <c r="E2675" s="299">
        <v>58</v>
      </c>
      <c r="F2675" s="430" t="s">
        <v>3504</v>
      </c>
      <c r="G2675" s="300" t="str">
        <f t="shared" si="86"/>
        <v>M&amp;MBayern</v>
      </c>
    </row>
    <row r="2676" spans="1:7" ht="12" customHeight="1">
      <c r="A2676" s="298">
        <v>36340</v>
      </c>
      <c r="B2676" s="299" t="s">
        <v>3510</v>
      </c>
      <c r="C2676" s="299">
        <v>50</v>
      </c>
      <c r="D2676" s="299">
        <f t="shared" si="85"/>
        <v>6</v>
      </c>
      <c r="E2676" s="299">
        <v>55</v>
      </c>
      <c r="F2676" s="430" t="s">
        <v>3504</v>
      </c>
      <c r="G2676" s="300" t="str">
        <f t="shared" si="86"/>
        <v>M&amp;MBayern</v>
      </c>
    </row>
    <row r="2677" spans="1:7" ht="12" customHeight="1">
      <c r="A2677" s="298">
        <v>36345</v>
      </c>
      <c r="B2677" s="299" t="s">
        <v>3510</v>
      </c>
      <c r="C2677" s="299">
        <v>20</v>
      </c>
      <c r="D2677" s="299">
        <f t="shared" si="85"/>
        <v>7</v>
      </c>
      <c r="E2677" s="299">
        <v>55</v>
      </c>
      <c r="F2677" s="430" t="s">
        <v>3504</v>
      </c>
      <c r="G2677" s="300" t="str">
        <f t="shared" si="86"/>
        <v>M&amp;MBayern</v>
      </c>
    </row>
    <row r="2678" spans="1:7" ht="12" customHeight="1">
      <c r="A2678" s="298">
        <v>36348</v>
      </c>
      <c r="B2678" s="299" t="s">
        <v>3510</v>
      </c>
      <c r="C2678" s="299">
        <v>50</v>
      </c>
      <c r="D2678" s="299">
        <f t="shared" si="85"/>
        <v>7</v>
      </c>
      <c r="E2678" s="299">
        <v>61</v>
      </c>
      <c r="F2678" s="430" t="s">
        <v>3504</v>
      </c>
      <c r="G2678" s="300" t="str">
        <f t="shared" si="86"/>
        <v>M&amp;MBayern</v>
      </c>
    </row>
    <row r="2679" spans="1:7" ht="12" customHeight="1">
      <c r="A2679" s="298">
        <v>36358</v>
      </c>
      <c r="B2679" s="299" t="s">
        <v>3510</v>
      </c>
      <c r="C2679" s="299">
        <v>50</v>
      </c>
      <c r="D2679" s="299">
        <f t="shared" si="85"/>
        <v>7</v>
      </c>
      <c r="E2679" s="299">
        <v>55</v>
      </c>
      <c r="F2679" s="430" t="s">
        <v>3504</v>
      </c>
      <c r="G2679" s="300" t="str">
        <f t="shared" si="86"/>
        <v>M&amp;MBayern</v>
      </c>
    </row>
    <row r="2680" spans="1:7" ht="12" customHeight="1">
      <c r="A2680" s="298">
        <v>36373</v>
      </c>
      <c r="B2680" s="299" t="s">
        <v>3510</v>
      </c>
      <c r="C2680" s="299">
        <v>50</v>
      </c>
      <c r="D2680" s="299">
        <f t="shared" si="85"/>
        <v>8</v>
      </c>
      <c r="E2680" s="299">
        <v>60</v>
      </c>
      <c r="F2680" s="430" t="s">
        <v>3504</v>
      </c>
      <c r="G2680" s="300" t="str">
        <f t="shared" si="86"/>
        <v>M&amp;MBayern</v>
      </c>
    </row>
    <row r="2681" spans="1:7" ht="12" customHeight="1">
      <c r="A2681" s="298">
        <v>36378</v>
      </c>
      <c r="B2681" s="299" t="s">
        <v>3510</v>
      </c>
      <c r="C2681" s="299">
        <v>80</v>
      </c>
      <c r="D2681" s="299">
        <f t="shared" si="85"/>
        <v>8</v>
      </c>
      <c r="E2681" s="299">
        <v>58</v>
      </c>
      <c r="F2681" s="430" t="s">
        <v>3504</v>
      </c>
      <c r="G2681" s="300" t="str">
        <f t="shared" si="86"/>
        <v>M&amp;MBayern</v>
      </c>
    </row>
    <row r="2682" spans="1:7" ht="12" customHeight="1">
      <c r="A2682" s="298">
        <v>36386</v>
      </c>
      <c r="B2682" s="299" t="s">
        <v>3510</v>
      </c>
      <c r="C2682" s="299">
        <v>120</v>
      </c>
      <c r="D2682" s="299">
        <f t="shared" si="85"/>
        <v>8</v>
      </c>
      <c r="E2682" s="299">
        <v>56</v>
      </c>
      <c r="F2682" s="430" t="s">
        <v>3504</v>
      </c>
      <c r="G2682" s="300" t="str">
        <f t="shared" si="86"/>
        <v>M&amp;MBayern</v>
      </c>
    </row>
    <row r="2683" spans="1:7" ht="12" customHeight="1">
      <c r="A2683" s="298">
        <v>36387</v>
      </c>
      <c r="B2683" s="299" t="s">
        <v>3510</v>
      </c>
      <c r="C2683" s="299">
        <v>100</v>
      </c>
      <c r="D2683" s="299">
        <f t="shared" si="85"/>
        <v>8</v>
      </c>
      <c r="E2683" s="299">
        <v>56</v>
      </c>
      <c r="F2683" s="430" t="s">
        <v>3504</v>
      </c>
      <c r="G2683" s="300" t="str">
        <f t="shared" si="86"/>
        <v>M&amp;MBayern</v>
      </c>
    </row>
    <row r="2684" spans="1:7" ht="12" customHeight="1">
      <c r="A2684" s="298">
        <v>36396</v>
      </c>
      <c r="B2684" s="299" t="s">
        <v>3510</v>
      </c>
      <c r="C2684" s="299">
        <v>40</v>
      </c>
      <c r="D2684" s="299">
        <f t="shared" si="85"/>
        <v>8</v>
      </c>
      <c r="E2684" s="299">
        <v>60</v>
      </c>
      <c r="F2684" s="430" t="s">
        <v>3504</v>
      </c>
      <c r="G2684" s="300" t="str">
        <f t="shared" si="86"/>
        <v>M&amp;MBayern</v>
      </c>
    </row>
    <row r="2685" spans="1:7" ht="12" customHeight="1">
      <c r="A2685" s="298">
        <v>36415</v>
      </c>
      <c r="B2685" s="299" t="s">
        <v>3510</v>
      </c>
      <c r="C2685" s="299">
        <v>60</v>
      </c>
      <c r="D2685" s="299">
        <f t="shared" si="85"/>
        <v>9</v>
      </c>
      <c r="E2685" s="299">
        <v>58</v>
      </c>
      <c r="F2685" s="430" t="s">
        <v>3504</v>
      </c>
      <c r="G2685" s="300" t="str">
        <f t="shared" si="86"/>
        <v>M&amp;MBayern</v>
      </c>
    </row>
    <row r="2686" spans="1:7" ht="12" customHeight="1">
      <c r="A2686" s="298">
        <v>36465</v>
      </c>
      <c r="B2686" s="299" t="s">
        <v>3510</v>
      </c>
      <c r="C2686" s="299">
        <v>120</v>
      </c>
      <c r="D2686" s="299">
        <f t="shared" si="85"/>
        <v>11</v>
      </c>
      <c r="E2686" s="299">
        <v>55</v>
      </c>
      <c r="F2686" s="430" t="s">
        <v>3504</v>
      </c>
      <c r="G2686" s="300" t="str">
        <f t="shared" si="86"/>
        <v>M&amp;MBayern</v>
      </c>
    </row>
    <row r="2687" spans="1:7" ht="12" customHeight="1">
      <c r="A2687" s="298">
        <v>36245</v>
      </c>
      <c r="B2687" s="299" t="s">
        <v>3510</v>
      </c>
      <c r="C2687" s="299">
        <v>60</v>
      </c>
      <c r="D2687" s="299">
        <f t="shared" si="85"/>
        <v>3</v>
      </c>
      <c r="E2687" s="299">
        <v>58</v>
      </c>
      <c r="F2687" s="430" t="s">
        <v>3501</v>
      </c>
      <c r="G2687" s="300" t="str">
        <f t="shared" si="86"/>
        <v>M&amp;MBW</v>
      </c>
    </row>
    <row r="2688" spans="1:7" ht="12" customHeight="1">
      <c r="A2688" s="298">
        <v>36299</v>
      </c>
      <c r="B2688" s="299" t="s">
        <v>3510</v>
      </c>
      <c r="C2688" s="299">
        <v>120</v>
      </c>
      <c r="D2688" s="299">
        <f t="shared" si="85"/>
        <v>5</v>
      </c>
      <c r="E2688" s="299">
        <v>56</v>
      </c>
      <c r="F2688" s="430" t="s">
        <v>3501</v>
      </c>
      <c r="G2688" s="300" t="str">
        <f t="shared" si="86"/>
        <v>M&amp;MBW</v>
      </c>
    </row>
    <row r="2689" spans="1:7" ht="12" customHeight="1">
      <c r="A2689" s="298">
        <v>36447</v>
      </c>
      <c r="B2689" s="299" t="s">
        <v>3510</v>
      </c>
      <c r="C2689" s="299">
        <v>90</v>
      </c>
      <c r="D2689" s="299">
        <f t="shared" si="85"/>
        <v>10</v>
      </c>
      <c r="E2689" s="299">
        <v>58</v>
      </c>
      <c r="F2689" s="430" t="s">
        <v>3501</v>
      </c>
      <c r="G2689" s="300" t="str">
        <f t="shared" si="86"/>
        <v>M&amp;MBW</v>
      </c>
    </row>
    <row r="2690" spans="1:7" ht="12" customHeight="1">
      <c r="A2690" s="298">
        <v>36449</v>
      </c>
      <c r="B2690" s="299" t="s">
        <v>3510</v>
      </c>
      <c r="C2690" s="299">
        <v>20</v>
      </c>
      <c r="D2690" s="299">
        <f t="shared" si="85"/>
        <v>10</v>
      </c>
      <c r="E2690" s="299">
        <v>58</v>
      </c>
      <c r="F2690" s="430" t="s">
        <v>3501</v>
      </c>
      <c r="G2690" s="300" t="str">
        <f t="shared" si="86"/>
        <v>M&amp;MBW</v>
      </c>
    </row>
    <row r="2691" spans="1:7" ht="12" customHeight="1">
      <c r="A2691" s="298">
        <v>36212</v>
      </c>
      <c r="B2691" s="299" t="s">
        <v>3510</v>
      </c>
      <c r="C2691" s="299">
        <v>10</v>
      </c>
      <c r="D2691" s="299">
        <f t="shared" si="85"/>
        <v>2</v>
      </c>
      <c r="E2691" s="299">
        <v>56</v>
      </c>
      <c r="F2691" s="430" t="s">
        <v>3502</v>
      </c>
      <c r="G2691" s="300" t="str">
        <f t="shared" si="86"/>
        <v>M&amp;MHessen</v>
      </c>
    </row>
    <row r="2692" spans="1:7" ht="12" customHeight="1">
      <c r="A2692" s="298">
        <v>36313</v>
      </c>
      <c r="B2692" s="299" t="s">
        <v>3510</v>
      </c>
      <c r="C2692" s="299">
        <v>80</v>
      </c>
      <c r="D2692" s="299">
        <f t="shared" si="85"/>
        <v>6</v>
      </c>
      <c r="E2692" s="299">
        <v>55</v>
      </c>
      <c r="F2692" s="430" t="s">
        <v>3502</v>
      </c>
      <c r="G2692" s="300" t="str">
        <f t="shared" si="86"/>
        <v>M&amp;MHessen</v>
      </c>
    </row>
    <row r="2693" spans="1:7" ht="12" customHeight="1">
      <c r="A2693" s="298">
        <v>36324</v>
      </c>
      <c r="B2693" s="299" t="s">
        <v>3510</v>
      </c>
      <c r="C2693" s="299">
        <v>70</v>
      </c>
      <c r="D2693" s="299">
        <f t="shared" si="85"/>
        <v>6</v>
      </c>
      <c r="E2693" s="299">
        <v>55</v>
      </c>
      <c r="F2693" s="430" t="s">
        <v>3502</v>
      </c>
      <c r="G2693" s="300" t="str">
        <f t="shared" si="86"/>
        <v>M&amp;MHessen</v>
      </c>
    </row>
    <row r="2694" spans="1:7" ht="12" customHeight="1">
      <c r="A2694" s="298">
        <v>36432</v>
      </c>
      <c r="B2694" s="299" t="s">
        <v>3510</v>
      </c>
      <c r="C2694" s="299">
        <v>50</v>
      </c>
      <c r="D2694" s="299">
        <f t="shared" ref="D2694:D2757" si="87">MONTH(A2694)</f>
        <v>9</v>
      </c>
      <c r="E2694" s="299">
        <v>56</v>
      </c>
      <c r="F2694" s="430" t="s">
        <v>3502</v>
      </c>
      <c r="G2694" s="300" t="str">
        <f t="shared" ref="G2694:G2757" si="88">B2694&amp;F2694</f>
        <v>M&amp;MHessen</v>
      </c>
    </row>
    <row r="2695" spans="1:7" ht="12" customHeight="1">
      <c r="A2695" s="298">
        <v>36319</v>
      </c>
      <c r="B2695" s="299" t="s">
        <v>3510</v>
      </c>
      <c r="C2695" s="299">
        <v>60</v>
      </c>
      <c r="D2695" s="299">
        <f t="shared" si="87"/>
        <v>6</v>
      </c>
      <c r="E2695" s="299">
        <v>57</v>
      </c>
      <c r="F2695" s="430" t="s">
        <v>3503</v>
      </c>
      <c r="G2695" s="300" t="str">
        <f t="shared" si="88"/>
        <v>M&amp;MHolstein</v>
      </c>
    </row>
    <row r="2696" spans="1:7" ht="12" customHeight="1">
      <c r="A2696" s="298">
        <v>36495</v>
      </c>
      <c r="B2696" s="299" t="s">
        <v>3510</v>
      </c>
      <c r="C2696" s="299">
        <v>100</v>
      </c>
      <c r="D2696" s="299">
        <f t="shared" si="87"/>
        <v>12</v>
      </c>
      <c r="E2696" s="299">
        <v>57</v>
      </c>
      <c r="F2696" s="430" t="s">
        <v>3503</v>
      </c>
      <c r="G2696" s="300" t="str">
        <f t="shared" si="88"/>
        <v>M&amp;MHolstein</v>
      </c>
    </row>
    <row r="2697" spans="1:7" ht="12" customHeight="1">
      <c r="A2697" s="298">
        <v>36516</v>
      </c>
      <c r="B2697" s="299" t="s">
        <v>3510</v>
      </c>
      <c r="C2697" s="299">
        <v>20</v>
      </c>
      <c r="D2697" s="299">
        <f t="shared" si="87"/>
        <v>12</v>
      </c>
      <c r="E2697" s="299">
        <v>57</v>
      </c>
      <c r="F2697" s="430" t="s">
        <v>3503</v>
      </c>
      <c r="G2697" s="300" t="str">
        <f t="shared" si="88"/>
        <v>M&amp;MHolstein</v>
      </c>
    </row>
    <row r="2698" spans="1:7" ht="12" customHeight="1">
      <c r="A2698" s="298">
        <v>36169</v>
      </c>
      <c r="B2698" s="299" t="s">
        <v>3510</v>
      </c>
      <c r="C2698" s="299">
        <v>70</v>
      </c>
      <c r="D2698" s="299">
        <f t="shared" si="87"/>
        <v>1</v>
      </c>
      <c r="E2698" s="299">
        <v>55</v>
      </c>
      <c r="F2698" s="430" t="s">
        <v>3497</v>
      </c>
      <c r="G2698" s="300" t="str">
        <f t="shared" si="88"/>
        <v>M&amp;MNRW</v>
      </c>
    </row>
    <row r="2699" spans="1:7" ht="12" customHeight="1">
      <c r="A2699" s="298">
        <v>36192</v>
      </c>
      <c r="B2699" s="299" t="s">
        <v>3510</v>
      </c>
      <c r="C2699" s="299">
        <v>70</v>
      </c>
      <c r="D2699" s="299">
        <f t="shared" si="87"/>
        <v>2</v>
      </c>
      <c r="E2699" s="299">
        <v>55</v>
      </c>
      <c r="F2699" s="430" t="s">
        <v>3497</v>
      </c>
      <c r="G2699" s="300" t="str">
        <f t="shared" si="88"/>
        <v>M&amp;MNRW</v>
      </c>
    </row>
    <row r="2700" spans="1:7" ht="12" customHeight="1">
      <c r="A2700" s="298">
        <v>36192</v>
      </c>
      <c r="B2700" s="299" t="s">
        <v>3510</v>
      </c>
      <c r="C2700" s="299">
        <v>10</v>
      </c>
      <c r="D2700" s="299">
        <f t="shared" si="87"/>
        <v>2</v>
      </c>
      <c r="E2700" s="299">
        <v>56</v>
      </c>
      <c r="F2700" s="430" t="s">
        <v>3497</v>
      </c>
      <c r="G2700" s="300" t="str">
        <f t="shared" si="88"/>
        <v>M&amp;MNRW</v>
      </c>
    </row>
    <row r="2701" spans="1:7" ht="12" customHeight="1">
      <c r="A2701" s="298">
        <v>36204</v>
      </c>
      <c r="B2701" s="299" t="s">
        <v>3510</v>
      </c>
      <c r="C2701" s="299">
        <v>90</v>
      </c>
      <c r="D2701" s="299">
        <f t="shared" si="87"/>
        <v>2</v>
      </c>
      <c r="E2701" s="299">
        <v>56</v>
      </c>
      <c r="F2701" s="430" t="s">
        <v>3497</v>
      </c>
      <c r="G2701" s="300" t="str">
        <f t="shared" si="88"/>
        <v>M&amp;MNRW</v>
      </c>
    </row>
    <row r="2702" spans="1:7" ht="12" customHeight="1">
      <c r="A2702" s="298">
        <v>36206</v>
      </c>
      <c r="B2702" s="299" t="s">
        <v>3510</v>
      </c>
      <c r="C2702" s="299">
        <v>80</v>
      </c>
      <c r="D2702" s="299">
        <f t="shared" si="87"/>
        <v>2</v>
      </c>
      <c r="E2702" s="299">
        <v>55</v>
      </c>
      <c r="F2702" s="430" t="s">
        <v>3497</v>
      </c>
      <c r="G2702" s="300" t="str">
        <f t="shared" si="88"/>
        <v>M&amp;MNRW</v>
      </c>
    </row>
    <row r="2703" spans="1:7" ht="12" customHeight="1">
      <c r="A2703" s="298">
        <v>36214</v>
      </c>
      <c r="B2703" s="299" t="s">
        <v>3510</v>
      </c>
      <c r="C2703" s="299">
        <v>40</v>
      </c>
      <c r="D2703" s="299">
        <f t="shared" si="87"/>
        <v>2</v>
      </c>
      <c r="E2703" s="299">
        <v>55</v>
      </c>
      <c r="F2703" s="430" t="s">
        <v>3497</v>
      </c>
      <c r="G2703" s="300" t="str">
        <f t="shared" si="88"/>
        <v>M&amp;MNRW</v>
      </c>
    </row>
    <row r="2704" spans="1:7" ht="12" customHeight="1">
      <c r="A2704" s="298">
        <v>36224</v>
      </c>
      <c r="B2704" s="299" t="s">
        <v>3510</v>
      </c>
      <c r="C2704" s="299">
        <v>120</v>
      </c>
      <c r="D2704" s="299">
        <f t="shared" si="87"/>
        <v>3</v>
      </c>
      <c r="E2704" s="299">
        <v>58</v>
      </c>
      <c r="F2704" s="430" t="s">
        <v>3497</v>
      </c>
      <c r="G2704" s="300" t="str">
        <f t="shared" si="88"/>
        <v>M&amp;MNRW</v>
      </c>
    </row>
    <row r="2705" spans="1:7" ht="12" customHeight="1">
      <c r="A2705" s="298">
        <v>36234</v>
      </c>
      <c r="B2705" s="299" t="s">
        <v>3510</v>
      </c>
      <c r="C2705" s="299">
        <v>50</v>
      </c>
      <c r="D2705" s="299">
        <f t="shared" si="87"/>
        <v>3</v>
      </c>
      <c r="E2705" s="299">
        <v>55</v>
      </c>
      <c r="F2705" s="430" t="s">
        <v>3497</v>
      </c>
      <c r="G2705" s="300" t="str">
        <f t="shared" si="88"/>
        <v>M&amp;MNRW</v>
      </c>
    </row>
    <row r="2706" spans="1:7" ht="12" customHeight="1">
      <c r="A2706" s="298">
        <v>36235</v>
      </c>
      <c r="B2706" s="299" t="s">
        <v>3510</v>
      </c>
      <c r="C2706" s="299">
        <v>80</v>
      </c>
      <c r="D2706" s="299">
        <f t="shared" si="87"/>
        <v>3</v>
      </c>
      <c r="E2706" s="299">
        <v>59</v>
      </c>
      <c r="F2706" s="430" t="s">
        <v>3497</v>
      </c>
      <c r="G2706" s="300" t="str">
        <f t="shared" si="88"/>
        <v>M&amp;MNRW</v>
      </c>
    </row>
    <row r="2707" spans="1:7" ht="12" customHeight="1">
      <c r="A2707" s="298">
        <v>36237</v>
      </c>
      <c r="B2707" s="299" t="s">
        <v>3510</v>
      </c>
      <c r="C2707" s="299">
        <v>40</v>
      </c>
      <c r="D2707" s="299">
        <f t="shared" si="87"/>
        <v>3</v>
      </c>
      <c r="E2707" s="299">
        <v>55</v>
      </c>
      <c r="F2707" s="430" t="s">
        <v>3497</v>
      </c>
      <c r="G2707" s="300" t="str">
        <f t="shared" si="88"/>
        <v>M&amp;MNRW</v>
      </c>
    </row>
    <row r="2708" spans="1:7" ht="12" customHeight="1">
      <c r="A2708" s="298">
        <v>36238</v>
      </c>
      <c r="B2708" s="299" t="s">
        <v>3510</v>
      </c>
      <c r="C2708" s="299">
        <v>20</v>
      </c>
      <c r="D2708" s="299">
        <f t="shared" si="87"/>
        <v>3</v>
      </c>
      <c r="E2708" s="299">
        <v>58</v>
      </c>
      <c r="F2708" s="430" t="s">
        <v>3497</v>
      </c>
      <c r="G2708" s="300" t="str">
        <f t="shared" si="88"/>
        <v>M&amp;MNRW</v>
      </c>
    </row>
    <row r="2709" spans="1:7" ht="12" customHeight="1">
      <c r="A2709" s="298">
        <v>36241</v>
      </c>
      <c r="B2709" s="299" t="s">
        <v>3510</v>
      </c>
      <c r="C2709" s="299">
        <v>10</v>
      </c>
      <c r="D2709" s="299">
        <f t="shared" si="87"/>
        <v>3</v>
      </c>
      <c r="E2709" s="299">
        <v>55</v>
      </c>
      <c r="F2709" s="430" t="s">
        <v>3497</v>
      </c>
      <c r="G2709" s="300" t="str">
        <f t="shared" si="88"/>
        <v>M&amp;MNRW</v>
      </c>
    </row>
    <row r="2710" spans="1:7" ht="12" customHeight="1">
      <c r="A2710" s="298">
        <v>36244</v>
      </c>
      <c r="B2710" s="299" t="s">
        <v>3510</v>
      </c>
      <c r="C2710" s="299">
        <v>70</v>
      </c>
      <c r="D2710" s="299">
        <f t="shared" si="87"/>
        <v>3</v>
      </c>
      <c r="E2710" s="299">
        <v>56</v>
      </c>
      <c r="F2710" s="430" t="s">
        <v>3497</v>
      </c>
      <c r="G2710" s="300" t="str">
        <f t="shared" si="88"/>
        <v>M&amp;MNRW</v>
      </c>
    </row>
    <row r="2711" spans="1:7" ht="12" customHeight="1">
      <c r="A2711" s="298">
        <v>36259</v>
      </c>
      <c r="B2711" s="299" t="s">
        <v>3510</v>
      </c>
      <c r="C2711" s="299">
        <v>50</v>
      </c>
      <c r="D2711" s="299">
        <f t="shared" si="87"/>
        <v>4</v>
      </c>
      <c r="E2711" s="299">
        <v>56</v>
      </c>
      <c r="F2711" s="430" t="s">
        <v>3497</v>
      </c>
      <c r="G2711" s="300" t="str">
        <f t="shared" si="88"/>
        <v>M&amp;MNRW</v>
      </c>
    </row>
    <row r="2712" spans="1:7" ht="12" customHeight="1">
      <c r="A2712" s="298">
        <v>36269</v>
      </c>
      <c r="B2712" s="299" t="s">
        <v>3510</v>
      </c>
      <c r="C2712" s="299">
        <v>30</v>
      </c>
      <c r="D2712" s="299">
        <f t="shared" si="87"/>
        <v>4</v>
      </c>
      <c r="E2712" s="299">
        <v>60</v>
      </c>
      <c r="F2712" s="430" t="s">
        <v>3497</v>
      </c>
      <c r="G2712" s="300" t="str">
        <f t="shared" si="88"/>
        <v>M&amp;MNRW</v>
      </c>
    </row>
    <row r="2713" spans="1:7" ht="12" customHeight="1">
      <c r="A2713" s="298">
        <v>36291</v>
      </c>
      <c r="B2713" s="299" t="s">
        <v>3510</v>
      </c>
      <c r="C2713" s="299">
        <v>30</v>
      </c>
      <c r="D2713" s="299">
        <f t="shared" si="87"/>
        <v>5</v>
      </c>
      <c r="E2713" s="299">
        <v>55</v>
      </c>
      <c r="F2713" s="430" t="s">
        <v>3497</v>
      </c>
      <c r="G2713" s="300" t="str">
        <f t="shared" si="88"/>
        <v>M&amp;MNRW</v>
      </c>
    </row>
    <row r="2714" spans="1:7" ht="12" customHeight="1">
      <c r="A2714" s="298">
        <v>36307</v>
      </c>
      <c r="B2714" s="299" t="s">
        <v>3510</v>
      </c>
      <c r="C2714" s="299">
        <v>120</v>
      </c>
      <c r="D2714" s="299">
        <f t="shared" si="87"/>
        <v>5</v>
      </c>
      <c r="E2714" s="299">
        <v>55</v>
      </c>
      <c r="F2714" s="430" t="s">
        <v>3497</v>
      </c>
      <c r="G2714" s="300" t="str">
        <f t="shared" si="88"/>
        <v>M&amp;MNRW</v>
      </c>
    </row>
    <row r="2715" spans="1:7" ht="12" customHeight="1">
      <c r="A2715" s="298">
        <v>36315</v>
      </c>
      <c r="B2715" s="299" t="s">
        <v>3510</v>
      </c>
      <c r="C2715" s="299">
        <v>20</v>
      </c>
      <c r="D2715" s="299">
        <f t="shared" si="87"/>
        <v>6</v>
      </c>
      <c r="E2715" s="299">
        <v>55</v>
      </c>
      <c r="F2715" s="430" t="s">
        <v>3497</v>
      </c>
      <c r="G2715" s="300" t="str">
        <f t="shared" si="88"/>
        <v>M&amp;MNRW</v>
      </c>
    </row>
    <row r="2716" spans="1:7" ht="12" customHeight="1">
      <c r="A2716" s="298">
        <v>36333</v>
      </c>
      <c r="B2716" s="299" t="s">
        <v>3510</v>
      </c>
      <c r="C2716" s="299">
        <v>40</v>
      </c>
      <c r="D2716" s="299">
        <f t="shared" si="87"/>
        <v>6</v>
      </c>
      <c r="E2716" s="299">
        <v>55</v>
      </c>
      <c r="F2716" s="430" t="s">
        <v>3497</v>
      </c>
      <c r="G2716" s="300" t="str">
        <f t="shared" si="88"/>
        <v>M&amp;MNRW</v>
      </c>
    </row>
    <row r="2717" spans="1:7" ht="12" customHeight="1">
      <c r="A2717" s="298">
        <v>36335</v>
      </c>
      <c r="B2717" s="299" t="s">
        <v>3510</v>
      </c>
      <c r="C2717" s="299">
        <v>100</v>
      </c>
      <c r="D2717" s="299">
        <f t="shared" si="87"/>
        <v>6</v>
      </c>
      <c r="E2717" s="299">
        <v>59</v>
      </c>
      <c r="F2717" s="430" t="s">
        <v>3497</v>
      </c>
      <c r="G2717" s="300" t="str">
        <f t="shared" si="88"/>
        <v>M&amp;MNRW</v>
      </c>
    </row>
    <row r="2718" spans="1:7" ht="12" customHeight="1">
      <c r="A2718" s="298">
        <v>36350</v>
      </c>
      <c r="B2718" s="299" t="s">
        <v>3510</v>
      </c>
      <c r="C2718" s="299">
        <v>30</v>
      </c>
      <c r="D2718" s="299">
        <f t="shared" si="87"/>
        <v>7</v>
      </c>
      <c r="E2718" s="299">
        <v>55</v>
      </c>
      <c r="F2718" s="430" t="s">
        <v>3497</v>
      </c>
      <c r="G2718" s="300" t="str">
        <f t="shared" si="88"/>
        <v>M&amp;MNRW</v>
      </c>
    </row>
    <row r="2719" spans="1:7" ht="12" customHeight="1">
      <c r="A2719" s="298">
        <v>36352</v>
      </c>
      <c r="B2719" s="299" t="s">
        <v>3510</v>
      </c>
      <c r="C2719" s="299">
        <v>30</v>
      </c>
      <c r="D2719" s="299">
        <f t="shared" si="87"/>
        <v>7</v>
      </c>
      <c r="E2719" s="299">
        <v>56</v>
      </c>
      <c r="F2719" s="430" t="s">
        <v>3497</v>
      </c>
      <c r="G2719" s="300" t="str">
        <f t="shared" si="88"/>
        <v>M&amp;MNRW</v>
      </c>
    </row>
    <row r="2720" spans="1:7" ht="12" customHeight="1">
      <c r="A2720" s="298">
        <v>36356</v>
      </c>
      <c r="B2720" s="299" t="s">
        <v>3510</v>
      </c>
      <c r="C2720" s="299">
        <v>80</v>
      </c>
      <c r="D2720" s="299">
        <f t="shared" si="87"/>
        <v>7</v>
      </c>
      <c r="E2720" s="299">
        <v>59</v>
      </c>
      <c r="F2720" s="430" t="s">
        <v>3497</v>
      </c>
      <c r="G2720" s="300" t="str">
        <f t="shared" si="88"/>
        <v>M&amp;MNRW</v>
      </c>
    </row>
    <row r="2721" spans="1:7" ht="12" customHeight="1">
      <c r="A2721" s="298">
        <v>36357</v>
      </c>
      <c r="B2721" s="299" t="s">
        <v>3510</v>
      </c>
      <c r="C2721" s="299">
        <v>20</v>
      </c>
      <c r="D2721" s="299">
        <f t="shared" si="87"/>
        <v>7</v>
      </c>
      <c r="E2721" s="299">
        <v>55</v>
      </c>
      <c r="F2721" s="430" t="s">
        <v>3497</v>
      </c>
      <c r="G2721" s="300" t="str">
        <f t="shared" si="88"/>
        <v>M&amp;MNRW</v>
      </c>
    </row>
    <row r="2722" spans="1:7" ht="12" customHeight="1">
      <c r="A2722" s="298">
        <v>36375</v>
      </c>
      <c r="B2722" s="299" t="s">
        <v>3510</v>
      </c>
      <c r="C2722" s="299">
        <v>40</v>
      </c>
      <c r="D2722" s="299">
        <f t="shared" si="87"/>
        <v>8</v>
      </c>
      <c r="E2722" s="299">
        <v>58</v>
      </c>
      <c r="F2722" s="430" t="s">
        <v>3497</v>
      </c>
      <c r="G2722" s="300" t="str">
        <f t="shared" si="88"/>
        <v>M&amp;MNRW</v>
      </c>
    </row>
    <row r="2723" spans="1:7" ht="12" customHeight="1">
      <c r="A2723" s="298">
        <v>36389</v>
      </c>
      <c r="B2723" s="299" t="s">
        <v>3510</v>
      </c>
      <c r="C2723" s="299">
        <v>100</v>
      </c>
      <c r="D2723" s="299">
        <f t="shared" si="87"/>
        <v>8</v>
      </c>
      <c r="E2723" s="299">
        <v>57</v>
      </c>
      <c r="F2723" s="430" t="s">
        <v>3497</v>
      </c>
      <c r="G2723" s="300" t="str">
        <f t="shared" si="88"/>
        <v>M&amp;MNRW</v>
      </c>
    </row>
    <row r="2724" spans="1:7" ht="12" customHeight="1">
      <c r="A2724" s="298">
        <v>36392</v>
      </c>
      <c r="B2724" s="299" t="s">
        <v>3510</v>
      </c>
      <c r="C2724" s="299">
        <v>100</v>
      </c>
      <c r="D2724" s="299">
        <f t="shared" si="87"/>
        <v>8</v>
      </c>
      <c r="E2724" s="299">
        <v>57</v>
      </c>
      <c r="F2724" s="430" t="s">
        <v>3497</v>
      </c>
      <c r="G2724" s="300" t="str">
        <f t="shared" si="88"/>
        <v>M&amp;MNRW</v>
      </c>
    </row>
    <row r="2725" spans="1:7" ht="12" customHeight="1">
      <c r="A2725" s="298">
        <v>36394</v>
      </c>
      <c r="B2725" s="299" t="s">
        <v>3510</v>
      </c>
      <c r="C2725" s="299">
        <v>60</v>
      </c>
      <c r="D2725" s="299">
        <f t="shared" si="87"/>
        <v>8</v>
      </c>
      <c r="E2725" s="299">
        <v>57</v>
      </c>
      <c r="F2725" s="430" t="s">
        <v>3497</v>
      </c>
      <c r="G2725" s="300" t="str">
        <f t="shared" si="88"/>
        <v>M&amp;MNRW</v>
      </c>
    </row>
    <row r="2726" spans="1:7" ht="12" customHeight="1">
      <c r="A2726" s="298">
        <v>36400</v>
      </c>
      <c r="B2726" s="299" t="s">
        <v>3510</v>
      </c>
      <c r="C2726" s="299">
        <v>80</v>
      </c>
      <c r="D2726" s="299">
        <f t="shared" si="87"/>
        <v>8</v>
      </c>
      <c r="E2726" s="299">
        <v>58</v>
      </c>
      <c r="F2726" s="430" t="s">
        <v>3497</v>
      </c>
      <c r="G2726" s="300" t="str">
        <f t="shared" si="88"/>
        <v>M&amp;MNRW</v>
      </c>
    </row>
    <row r="2727" spans="1:7" ht="12" customHeight="1">
      <c r="A2727" s="298">
        <v>36468</v>
      </c>
      <c r="B2727" s="299" t="s">
        <v>3510</v>
      </c>
      <c r="C2727" s="299">
        <v>50</v>
      </c>
      <c r="D2727" s="299">
        <f t="shared" si="87"/>
        <v>11</v>
      </c>
      <c r="E2727" s="299">
        <v>55</v>
      </c>
      <c r="F2727" s="430" t="s">
        <v>3497</v>
      </c>
      <c r="G2727" s="300" t="str">
        <f t="shared" si="88"/>
        <v>M&amp;MNRW</v>
      </c>
    </row>
    <row r="2728" spans="1:7" ht="12" customHeight="1">
      <c r="A2728" s="298">
        <v>36468</v>
      </c>
      <c r="B2728" s="299" t="s">
        <v>3510</v>
      </c>
      <c r="C2728" s="299">
        <v>40</v>
      </c>
      <c r="D2728" s="299">
        <f t="shared" si="87"/>
        <v>11</v>
      </c>
      <c r="E2728" s="299">
        <v>61</v>
      </c>
      <c r="F2728" s="430" t="s">
        <v>3497</v>
      </c>
      <c r="G2728" s="300" t="str">
        <f t="shared" si="88"/>
        <v>M&amp;MNRW</v>
      </c>
    </row>
    <row r="2729" spans="1:7" ht="12" customHeight="1">
      <c r="A2729" s="298">
        <v>36503</v>
      </c>
      <c r="B2729" s="299" t="s">
        <v>3510</v>
      </c>
      <c r="C2729" s="299">
        <v>60</v>
      </c>
      <c r="D2729" s="299">
        <f t="shared" si="87"/>
        <v>12</v>
      </c>
      <c r="E2729" s="299">
        <v>59</v>
      </c>
      <c r="F2729" s="430" t="s">
        <v>3497</v>
      </c>
      <c r="G2729" s="300" t="str">
        <f t="shared" si="88"/>
        <v>M&amp;MNRW</v>
      </c>
    </row>
    <row r="2730" spans="1:7" ht="12" customHeight="1">
      <c r="A2730" s="298">
        <v>36507</v>
      </c>
      <c r="B2730" s="299" t="s">
        <v>3510</v>
      </c>
      <c r="C2730" s="299">
        <v>70</v>
      </c>
      <c r="D2730" s="299">
        <f t="shared" si="87"/>
        <v>12</v>
      </c>
      <c r="E2730" s="299">
        <v>59</v>
      </c>
      <c r="F2730" s="430" t="s">
        <v>3497</v>
      </c>
      <c r="G2730" s="300" t="str">
        <f t="shared" si="88"/>
        <v>M&amp;MNRW</v>
      </c>
    </row>
    <row r="2731" spans="1:7" ht="12" customHeight="1">
      <c r="A2731" s="298">
        <v>36511</v>
      </c>
      <c r="B2731" s="299" t="s">
        <v>3510</v>
      </c>
      <c r="C2731" s="299">
        <v>60</v>
      </c>
      <c r="D2731" s="299">
        <f t="shared" si="87"/>
        <v>12</v>
      </c>
      <c r="E2731" s="299">
        <v>60</v>
      </c>
      <c r="F2731" s="430" t="s">
        <v>3497</v>
      </c>
      <c r="G2731" s="300" t="str">
        <f t="shared" si="88"/>
        <v>M&amp;MNRW</v>
      </c>
    </row>
    <row r="2732" spans="1:7" ht="12" customHeight="1">
      <c r="A2732" s="298">
        <v>36262</v>
      </c>
      <c r="B2732" s="299" t="s">
        <v>3510</v>
      </c>
      <c r="C2732" s="299">
        <v>20</v>
      </c>
      <c r="D2732" s="299">
        <f t="shared" si="87"/>
        <v>4</v>
      </c>
      <c r="E2732" s="299">
        <v>64</v>
      </c>
      <c r="F2732" s="430" t="s">
        <v>3500</v>
      </c>
      <c r="G2732" s="300" t="str">
        <f t="shared" si="88"/>
        <v>M&amp;MSaarland</v>
      </c>
    </row>
    <row r="2733" spans="1:7" ht="12" customHeight="1">
      <c r="A2733" s="298">
        <v>36293</v>
      </c>
      <c r="B2733" s="299" t="s">
        <v>3510</v>
      </c>
      <c r="C2733" s="299">
        <v>100</v>
      </c>
      <c r="D2733" s="299">
        <f t="shared" si="87"/>
        <v>5</v>
      </c>
      <c r="E2733" s="299">
        <v>56</v>
      </c>
      <c r="F2733" s="430" t="s">
        <v>3500</v>
      </c>
      <c r="G2733" s="300" t="str">
        <f t="shared" si="88"/>
        <v>M&amp;MSaarland</v>
      </c>
    </row>
    <row r="2734" spans="1:7" ht="12" customHeight="1">
      <c r="A2734" s="298">
        <v>36357</v>
      </c>
      <c r="B2734" s="299" t="s">
        <v>3510</v>
      </c>
      <c r="C2734" s="299">
        <v>120</v>
      </c>
      <c r="D2734" s="299">
        <f t="shared" si="87"/>
        <v>7</v>
      </c>
      <c r="E2734" s="299">
        <v>59</v>
      </c>
      <c r="F2734" s="430" t="s">
        <v>3500</v>
      </c>
      <c r="G2734" s="300" t="str">
        <f t="shared" si="88"/>
        <v>M&amp;MSaarland</v>
      </c>
    </row>
    <row r="2735" spans="1:7" ht="12" customHeight="1">
      <c r="A2735" s="298">
        <v>36362</v>
      </c>
      <c r="B2735" s="299" t="s">
        <v>3510</v>
      </c>
      <c r="C2735" s="299">
        <v>40</v>
      </c>
      <c r="D2735" s="299">
        <f t="shared" si="87"/>
        <v>7</v>
      </c>
      <c r="E2735" s="299">
        <v>59</v>
      </c>
      <c r="F2735" s="430" t="s">
        <v>3500</v>
      </c>
      <c r="G2735" s="300" t="str">
        <f t="shared" si="88"/>
        <v>M&amp;MSaarland</v>
      </c>
    </row>
    <row r="2736" spans="1:7" ht="12" customHeight="1">
      <c r="A2736" s="298">
        <v>36418</v>
      </c>
      <c r="B2736" s="299" t="s">
        <v>3510</v>
      </c>
      <c r="C2736" s="299">
        <v>160</v>
      </c>
      <c r="D2736" s="299">
        <f t="shared" si="87"/>
        <v>9</v>
      </c>
      <c r="E2736" s="299">
        <v>59</v>
      </c>
      <c r="F2736" s="430" t="s">
        <v>3500</v>
      </c>
      <c r="G2736" s="300" t="str">
        <f t="shared" si="88"/>
        <v>M&amp;MSaarland</v>
      </c>
    </row>
    <row r="2737" spans="1:7" ht="12" customHeight="1">
      <c r="A2737" s="298">
        <v>36451</v>
      </c>
      <c r="B2737" s="299" t="s">
        <v>3510</v>
      </c>
      <c r="C2737" s="299">
        <v>40</v>
      </c>
      <c r="D2737" s="299">
        <f t="shared" si="87"/>
        <v>10</v>
      </c>
      <c r="E2737" s="299">
        <v>64</v>
      </c>
      <c r="F2737" s="430" t="s">
        <v>3500</v>
      </c>
      <c r="G2737" s="300" t="str">
        <f t="shared" si="88"/>
        <v>M&amp;MSaarland</v>
      </c>
    </row>
    <row r="2738" spans="1:7" ht="12" customHeight="1">
      <c r="A2738" s="298">
        <v>36476</v>
      </c>
      <c r="B2738" s="299" t="s">
        <v>3510</v>
      </c>
      <c r="C2738" s="299">
        <v>20</v>
      </c>
      <c r="D2738" s="299">
        <f t="shared" si="87"/>
        <v>11</v>
      </c>
      <c r="E2738" s="299">
        <v>55</v>
      </c>
      <c r="F2738" s="430" t="s">
        <v>3500</v>
      </c>
      <c r="G2738" s="300" t="str">
        <f t="shared" si="88"/>
        <v>M&amp;MSaarland</v>
      </c>
    </row>
    <row r="2739" spans="1:7" ht="12" customHeight="1">
      <c r="A2739" s="298">
        <v>36513</v>
      </c>
      <c r="B2739" s="299" t="s">
        <v>3510</v>
      </c>
      <c r="C2739" s="299">
        <v>20</v>
      </c>
      <c r="D2739" s="299">
        <f t="shared" si="87"/>
        <v>12</v>
      </c>
      <c r="E2739" s="299">
        <v>64</v>
      </c>
      <c r="F2739" s="430" t="s">
        <v>3500</v>
      </c>
      <c r="G2739" s="300" t="str">
        <f t="shared" si="88"/>
        <v>M&amp;MSaarland</v>
      </c>
    </row>
    <row r="2740" spans="1:7" ht="12" customHeight="1">
      <c r="A2740" s="298">
        <v>36202</v>
      </c>
      <c r="B2740" s="299" t="s">
        <v>3511</v>
      </c>
      <c r="C2740" s="299">
        <v>40</v>
      </c>
      <c r="D2740" s="299">
        <f t="shared" si="87"/>
        <v>2</v>
      </c>
      <c r="E2740" s="299">
        <v>56</v>
      </c>
      <c r="F2740" s="430" t="s">
        <v>3504</v>
      </c>
      <c r="G2740" s="300" t="str">
        <f t="shared" si="88"/>
        <v>MoetBayern</v>
      </c>
    </row>
    <row r="2741" spans="1:7" ht="12" customHeight="1">
      <c r="A2741" s="298">
        <v>36216</v>
      </c>
      <c r="B2741" s="299" t="s">
        <v>3511</v>
      </c>
      <c r="C2741" s="299">
        <v>120</v>
      </c>
      <c r="D2741" s="299">
        <f t="shared" si="87"/>
        <v>2</v>
      </c>
      <c r="E2741" s="299">
        <v>56</v>
      </c>
      <c r="F2741" s="430" t="s">
        <v>3504</v>
      </c>
      <c r="G2741" s="300" t="str">
        <f t="shared" si="88"/>
        <v>MoetBayern</v>
      </c>
    </row>
    <row r="2742" spans="1:7" ht="12" customHeight="1">
      <c r="A2742" s="298">
        <v>36282</v>
      </c>
      <c r="B2742" s="299" t="s">
        <v>3511</v>
      </c>
      <c r="C2742" s="299">
        <v>40</v>
      </c>
      <c r="D2742" s="299">
        <f t="shared" si="87"/>
        <v>5</v>
      </c>
      <c r="E2742" s="299">
        <v>60</v>
      </c>
      <c r="F2742" s="430" t="s">
        <v>3504</v>
      </c>
      <c r="G2742" s="300" t="str">
        <f t="shared" si="88"/>
        <v>MoetBayern</v>
      </c>
    </row>
    <row r="2743" spans="1:7" ht="12" customHeight="1">
      <c r="A2743" s="298">
        <v>36353</v>
      </c>
      <c r="B2743" s="299" t="s">
        <v>3511</v>
      </c>
      <c r="C2743" s="299">
        <v>40</v>
      </c>
      <c r="D2743" s="299">
        <f t="shared" si="87"/>
        <v>7</v>
      </c>
      <c r="E2743" s="299">
        <v>58</v>
      </c>
      <c r="F2743" s="430" t="s">
        <v>3504</v>
      </c>
      <c r="G2743" s="300" t="str">
        <f t="shared" si="88"/>
        <v>MoetBayern</v>
      </c>
    </row>
    <row r="2744" spans="1:7" ht="12" customHeight="1">
      <c r="A2744" s="298">
        <v>36375</v>
      </c>
      <c r="B2744" s="299" t="s">
        <v>3511</v>
      </c>
      <c r="C2744" s="299">
        <v>30</v>
      </c>
      <c r="D2744" s="299">
        <f t="shared" si="87"/>
        <v>8</v>
      </c>
      <c r="E2744" s="299">
        <v>55</v>
      </c>
      <c r="F2744" s="430" t="s">
        <v>3504</v>
      </c>
      <c r="G2744" s="300" t="str">
        <f t="shared" si="88"/>
        <v>MoetBayern</v>
      </c>
    </row>
    <row r="2745" spans="1:7" ht="12" customHeight="1">
      <c r="A2745" s="298">
        <v>36390</v>
      </c>
      <c r="B2745" s="299" t="s">
        <v>3511</v>
      </c>
      <c r="C2745" s="299">
        <v>10</v>
      </c>
      <c r="D2745" s="299">
        <f t="shared" si="87"/>
        <v>8</v>
      </c>
      <c r="E2745" s="299">
        <v>55</v>
      </c>
      <c r="F2745" s="430" t="s">
        <v>3504</v>
      </c>
      <c r="G2745" s="300" t="str">
        <f t="shared" si="88"/>
        <v>MoetBayern</v>
      </c>
    </row>
    <row r="2746" spans="1:7" ht="12" customHeight="1">
      <c r="A2746" s="298">
        <v>36509</v>
      </c>
      <c r="B2746" s="299" t="s">
        <v>3511</v>
      </c>
      <c r="C2746" s="299">
        <v>10</v>
      </c>
      <c r="D2746" s="299">
        <f t="shared" si="87"/>
        <v>12</v>
      </c>
      <c r="E2746" s="299">
        <v>58</v>
      </c>
      <c r="F2746" s="430" t="s">
        <v>3504</v>
      </c>
      <c r="G2746" s="300" t="str">
        <f t="shared" si="88"/>
        <v>MoetBayern</v>
      </c>
    </row>
    <row r="2747" spans="1:7" ht="12" customHeight="1">
      <c r="A2747" s="298">
        <v>36289</v>
      </c>
      <c r="B2747" s="299" t="s">
        <v>3511</v>
      </c>
      <c r="C2747" s="299">
        <v>60</v>
      </c>
      <c r="D2747" s="299">
        <f t="shared" si="87"/>
        <v>5</v>
      </c>
      <c r="E2747" s="299">
        <v>59</v>
      </c>
      <c r="F2747" s="430" t="s">
        <v>3501</v>
      </c>
      <c r="G2747" s="300" t="str">
        <f t="shared" si="88"/>
        <v>MoetBW</v>
      </c>
    </row>
    <row r="2748" spans="1:7" ht="12" customHeight="1">
      <c r="A2748" s="298">
        <v>36336</v>
      </c>
      <c r="B2748" s="299" t="s">
        <v>3511</v>
      </c>
      <c r="C2748" s="299">
        <v>80</v>
      </c>
      <c r="D2748" s="299">
        <f t="shared" si="87"/>
        <v>6</v>
      </c>
      <c r="E2748" s="299">
        <v>60</v>
      </c>
      <c r="F2748" s="430" t="s">
        <v>3502</v>
      </c>
      <c r="G2748" s="300" t="str">
        <f t="shared" si="88"/>
        <v>MoetHessen</v>
      </c>
    </row>
    <row r="2749" spans="1:7" ht="12" customHeight="1">
      <c r="A2749" s="298">
        <v>36492</v>
      </c>
      <c r="B2749" s="299" t="s">
        <v>3511</v>
      </c>
      <c r="C2749" s="299">
        <v>70</v>
      </c>
      <c r="D2749" s="299">
        <f t="shared" si="87"/>
        <v>11</v>
      </c>
      <c r="E2749" s="299">
        <v>56</v>
      </c>
      <c r="F2749" s="430" t="s">
        <v>3502</v>
      </c>
      <c r="G2749" s="300" t="str">
        <f t="shared" si="88"/>
        <v>MoetHessen</v>
      </c>
    </row>
    <row r="2750" spans="1:7" ht="12" customHeight="1">
      <c r="A2750" s="298">
        <v>36244</v>
      </c>
      <c r="B2750" s="299" t="s">
        <v>3511</v>
      </c>
      <c r="C2750" s="299">
        <v>70</v>
      </c>
      <c r="D2750" s="299">
        <f t="shared" si="87"/>
        <v>3</v>
      </c>
      <c r="E2750" s="299">
        <v>55</v>
      </c>
      <c r="F2750" s="430" t="s">
        <v>3503</v>
      </c>
      <c r="G2750" s="300" t="str">
        <f t="shared" si="88"/>
        <v>MoetHolstein</v>
      </c>
    </row>
    <row r="2751" spans="1:7" ht="12" customHeight="1">
      <c r="A2751" s="298">
        <v>36277</v>
      </c>
      <c r="B2751" s="299" t="s">
        <v>3511</v>
      </c>
      <c r="C2751" s="299">
        <v>30</v>
      </c>
      <c r="D2751" s="299">
        <f t="shared" si="87"/>
        <v>4</v>
      </c>
      <c r="E2751" s="299">
        <v>60</v>
      </c>
      <c r="F2751" s="430" t="s">
        <v>3503</v>
      </c>
      <c r="G2751" s="300" t="str">
        <f t="shared" si="88"/>
        <v>MoetHolstein</v>
      </c>
    </row>
    <row r="2752" spans="1:7" ht="12" customHeight="1">
      <c r="A2752" s="298">
        <v>36289</v>
      </c>
      <c r="B2752" s="299" t="s">
        <v>3511</v>
      </c>
      <c r="C2752" s="299">
        <v>10</v>
      </c>
      <c r="D2752" s="299">
        <f t="shared" si="87"/>
        <v>5</v>
      </c>
      <c r="E2752" s="299">
        <v>57</v>
      </c>
      <c r="F2752" s="430" t="s">
        <v>3503</v>
      </c>
      <c r="G2752" s="300" t="str">
        <f t="shared" si="88"/>
        <v>MoetHolstein</v>
      </c>
    </row>
    <row r="2753" spans="1:7" ht="12" customHeight="1">
      <c r="A2753" s="298">
        <v>36289</v>
      </c>
      <c r="B2753" s="299" t="s">
        <v>3511</v>
      </c>
      <c r="C2753" s="299">
        <v>20</v>
      </c>
      <c r="D2753" s="299">
        <f t="shared" si="87"/>
        <v>5</v>
      </c>
      <c r="E2753" s="299">
        <v>57</v>
      </c>
      <c r="F2753" s="430" t="s">
        <v>3503</v>
      </c>
      <c r="G2753" s="300" t="str">
        <f t="shared" si="88"/>
        <v>MoetHolstein</v>
      </c>
    </row>
    <row r="2754" spans="1:7" ht="12" customHeight="1">
      <c r="A2754" s="298">
        <v>36294</v>
      </c>
      <c r="B2754" s="299" t="s">
        <v>3511</v>
      </c>
      <c r="C2754" s="299">
        <v>120</v>
      </c>
      <c r="D2754" s="299">
        <f t="shared" si="87"/>
        <v>5</v>
      </c>
      <c r="E2754" s="299">
        <v>57</v>
      </c>
      <c r="F2754" s="430" t="s">
        <v>3503</v>
      </c>
      <c r="G2754" s="300" t="str">
        <f t="shared" si="88"/>
        <v>MoetHolstein</v>
      </c>
    </row>
    <row r="2755" spans="1:7" ht="12" customHeight="1">
      <c r="A2755" s="298">
        <v>36302</v>
      </c>
      <c r="B2755" s="299" t="s">
        <v>3511</v>
      </c>
      <c r="C2755" s="299">
        <v>50</v>
      </c>
      <c r="D2755" s="299">
        <f t="shared" si="87"/>
        <v>5</v>
      </c>
      <c r="E2755" s="299">
        <v>55</v>
      </c>
      <c r="F2755" s="430" t="s">
        <v>3503</v>
      </c>
      <c r="G2755" s="300" t="str">
        <f t="shared" si="88"/>
        <v>MoetHolstein</v>
      </c>
    </row>
    <row r="2756" spans="1:7" ht="12" customHeight="1">
      <c r="A2756" s="298">
        <v>36315</v>
      </c>
      <c r="B2756" s="299" t="s">
        <v>3511</v>
      </c>
      <c r="C2756" s="299">
        <v>10</v>
      </c>
      <c r="D2756" s="299">
        <f t="shared" si="87"/>
        <v>6</v>
      </c>
      <c r="E2756" s="299">
        <v>56</v>
      </c>
      <c r="F2756" s="430" t="s">
        <v>3503</v>
      </c>
      <c r="G2756" s="300" t="str">
        <f t="shared" si="88"/>
        <v>MoetHolstein</v>
      </c>
    </row>
    <row r="2757" spans="1:7" ht="12" customHeight="1">
      <c r="A2757" s="298">
        <v>36315</v>
      </c>
      <c r="B2757" s="299" t="s">
        <v>3511</v>
      </c>
      <c r="C2757" s="299">
        <v>20</v>
      </c>
      <c r="D2757" s="299">
        <f t="shared" si="87"/>
        <v>6</v>
      </c>
      <c r="E2757" s="299">
        <v>57</v>
      </c>
      <c r="F2757" s="430" t="s">
        <v>3503</v>
      </c>
      <c r="G2757" s="300" t="str">
        <f t="shared" si="88"/>
        <v>MoetHolstein</v>
      </c>
    </row>
    <row r="2758" spans="1:7" ht="12" customHeight="1">
      <c r="A2758" s="298">
        <v>36344</v>
      </c>
      <c r="B2758" s="299" t="s">
        <v>3511</v>
      </c>
      <c r="C2758" s="299">
        <v>80</v>
      </c>
      <c r="D2758" s="299">
        <f t="shared" ref="D2758:D2821" si="89">MONTH(A2758)</f>
        <v>7</v>
      </c>
      <c r="E2758" s="299">
        <v>60</v>
      </c>
      <c r="F2758" s="430" t="s">
        <v>3503</v>
      </c>
      <c r="G2758" s="300" t="str">
        <f t="shared" ref="G2758:G2821" si="90">B2758&amp;F2758</f>
        <v>MoetHolstein</v>
      </c>
    </row>
    <row r="2759" spans="1:7" ht="12" customHeight="1">
      <c r="A2759" s="298">
        <v>36349</v>
      </c>
      <c r="B2759" s="299" t="s">
        <v>3511</v>
      </c>
      <c r="C2759" s="299">
        <v>70</v>
      </c>
      <c r="D2759" s="299">
        <f t="shared" si="89"/>
        <v>7</v>
      </c>
      <c r="E2759" s="299">
        <v>60</v>
      </c>
      <c r="F2759" s="430" t="s">
        <v>3503</v>
      </c>
      <c r="G2759" s="300" t="str">
        <f t="shared" si="90"/>
        <v>MoetHolstein</v>
      </c>
    </row>
    <row r="2760" spans="1:7" ht="12" customHeight="1">
      <c r="A2760" s="298">
        <v>36355</v>
      </c>
      <c r="B2760" s="299" t="s">
        <v>3511</v>
      </c>
      <c r="C2760" s="299">
        <v>100</v>
      </c>
      <c r="D2760" s="299">
        <f t="shared" si="89"/>
        <v>7</v>
      </c>
      <c r="E2760" s="299">
        <v>57</v>
      </c>
      <c r="F2760" s="430" t="s">
        <v>3503</v>
      </c>
      <c r="G2760" s="300" t="str">
        <f t="shared" si="90"/>
        <v>MoetHolstein</v>
      </c>
    </row>
    <row r="2761" spans="1:7" ht="12" customHeight="1">
      <c r="A2761" s="298">
        <v>36356</v>
      </c>
      <c r="B2761" s="299" t="s">
        <v>3511</v>
      </c>
      <c r="C2761" s="299">
        <v>10</v>
      </c>
      <c r="D2761" s="299">
        <f t="shared" si="89"/>
        <v>7</v>
      </c>
      <c r="E2761" s="299">
        <v>57</v>
      </c>
      <c r="F2761" s="430" t="s">
        <v>3503</v>
      </c>
      <c r="G2761" s="300" t="str">
        <f t="shared" si="90"/>
        <v>MoetHolstein</v>
      </c>
    </row>
    <row r="2762" spans="1:7" ht="12" customHeight="1">
      <c r="A2762" s="298">
        <v>36360</v>
      </c>
      <c r="B2762" s="299" t="s">
        <v>3511</v>
      </c>
      <c r="C2762" s="299">
        <v>50</v>
      </c>
      <c r="D2762" s="299">
        <f t="shared" si="89"/>
        <v>7</v>
      </c>
      <c r="E2762" s="299">
        <v>60</v>
      </c>
      <c r="F2762" s="430" t="s">
        <v>3503</v>
      </c>
      <c r="G2762" s="300" t="str">
        <f t="shared" si="90"/>
        <v>MoetHolstein</v>
      </c>
    </row>
    <row r="2763" spans="1:7" ht="12" customHeight="1">
      <c r="A2763" s="298">
        <v>36367</v>
      </c>
      <c r="B2763" s="299" t="s">
        <v>3511</v>
      </c>
      <c r="C2763" s="299">
        <v>120</v>
      </c>
      <c r="D2763" s="299">
        <f t="shared" si="89"/>
        <v>7</v>
      </c>
      <c r="E2763" s="299">
        <v>57</v>
      </c>
      <c r="F2763" s="430" t="s">
        <v>3503</v>
      </c>
      <c r="G2763" s="300" t="str">
        <f t="shared" si="90"/>
        <v>MoetHolstein</v>
      </c>
    </row>
    <row r="2764" spans="1:7" ht="12" customHeight="1">
      <c r="A2764" s="298">
        <v>36367</v>
      </c>
      <c r="B2764" s="299" t="s">
        <v>3511</v>
      </c>
      <c r="C2764" s="299">
        <v>40</v>
      </c>
      <c r="D2764" s="299">
        <f t="shared" si="89"/>
        <v>7</v>
      </c>
      <c r="E2764" s="299">
        <v>57</v>
      </c>
      <c r="F2764" s="430" t="s">
        <v>3503</v>
      </c>
      <c r="G2764" s="300" t="str">
        <f t="shared" si="90"/>
        <v>MoetHolstein</v>
      </c>
    </row>
    <row r="2765" spans="1:7" ht="12" customHeight="1">
      <c r="A2765" s="298">
        <v>36374</v>
      </c>
      <c r="B2765" s="299" t="s">
        <v>3511</v>
      </c>
      <c r="C2765" s="299">
        <v>50</v>
      </c>
      <c r="D2765" s="299">
        <f t="shared" si="89"/>
        <v>8</v>
      </c>
      <c r="E2765" s="299">
        <v>60</v>
      </c>
      <c r="F2765" s="430" t="s">
        <v>3503</v>
      </c>
      <c r="G2765" s="300" t="str">
        <f t="shared" si="90"/>
        <v>MoetHolstein</v>
      </c>
    </row>
    <row r="2766" spans="1:7" ht="12" customHeight="1">
      <c r="A2766" s="298">
        <v>36388</v>
      </c>
      <c r="B2766" s="299" t="s">
        <v>3511</v>
      </c>
      <c r="C2766" s="299">
        <v>10</v>
      </c>
      <c r="D2766" s="299">
        <f t="shared" si="89"/>
        <v>8</v>
      </c>
      <c r="E2766" s="299">
        <v>56</v>
      </c>
      <c r="F2766" s="430" t="s">
        <v>3503</v>
      </c>
      <c r="G2766" s="300" t="str">
        <f t="shared" si="90"/>
        <v>MoetHolstein</v>
      </c>
    </row>
    <row r="2767" spans="1:7" ht="12" customHeight="1">
      <c r="A2767" s="298">
        <v>36388</v>
      </c>
      <c r="B2767" s="299" t="s">
        <v>3511</v>
      </c>
      <c r="C2767" s="299">
        <v>50</v>
      </c>
      <c r="D2767" s="299">
        <f t="shared" si="89"/>
        <v>8</v>
      </c>
      <c r="E2767" s="299">
        <v>55</v>
      </c>
      <c r="F2767" s="430" t="s">
        <v>3503</v>
      </c>
      <c r="G2767" s="300" t="str">
        <f t="shared" si="90"/>
        <v>MoetHolstein</v>
      </c>
    </row>
    <row r="2768" spans="1:7" ht="12" customHeight="1">
      <c r="A2768" s="298">
        <v>36389</v>
      </c>
      <c r="B2768" s="299" t="s">
        <v>3511</v>
      </c>
      <c r="C2768" s="299">
        <v>100</v>
      </c>
      <c r="D2768" s="299">
        <f t="shared" si="89"/>
        <v>8</v>
      </c>
      <c r="E2768" s="299">
        <v>56</v>
      </c>
      <c r="F2768" s="430" t="s">
        <v>3503</v>
      </c>
      <c r="G2768" s="300" t="str">
        <f t="shared" si="90"/>
        <v>MoetHolstein</v>
      </c>
    </row>
    <row r="2769" spans="1:7" ht="12" customHeight="1">
      <c r="A2769" s="298">
        <v>36390</v>
      </c>
      <c r="B2769" s="299" t="s">
        <v>3511</v>
      </c>
      <c r="C2769" s="299">
        <v>120</v>
      </c>
      <c r="D2769" s="299">
        <f t="shared" si="89"/>
        <v>8</v>
      </c>
      <c r="E2769" s="299">
        <v>57</v>
      </c>
      <c r="F2769" s="430" t="s">
        <v>3503</v>
      </c>
      <c r="G2769" s="300" t="str">
        <f t="shared" si="90"/>
        <v>MoetHolstein</v>
      </c>
    </row>
    <row r="2770" spans="1:7" ht="12" customHeight="1">
      <c r="A2770" s="298">
        <v>36390</v>
      </c>
      <c r="B2770" s="299" t="s">
        <v>3511</v>
      </c>
      <c r="C2770" s="299">
        <v>100</v>
      </c>
      <c r="D2770" s="299">
        <f t="shared" si="89"/>
        <v>8</v>
      </c>
      <c r="E2770" s="299">
        <v>55</v>
      </c>
      <c r="F2770" s="430" t="s">
        <v>3503</v>
      </c>
      <c r="G2770" s="300" t="str">
        <f t="shared" si="90"/>
        <v>MoetHolstein</v>
      </c>
    </row>
    <row r="2771" spans="1:7" ht="12" customHeight="1">
      <c r="A2771" s="298">
        <v>36394</v>
      </c>
      <c r="B2771" s="299" t="s">
        <v>3511</v>
      </c>
      <c r="C2771" s="299">
        <v>90</v>
      </c>
      <c r="D2771" s="299">
        <f t="shared" si="89"/>
        <v>8</v>
      </c>
      <c r="E2771" s="299">
        <v>60</v>
      </c>
      <c r="F2771" s="430" t="s">
        <v>3503</v>
      </c>
      <c r="G2771" s="300" t="str">
        <f t="shared" si="90"/>
        <v>MoetHolstein</v>
      </c>
    </row>
    <row r="2772" spans="1:7" ht="12" customHeight="1">
      <c r="A2772" s="298">
        <v>36394</v>
      </c>
      <c r="B2772" s="299" t="s">
        <v>3511</v>
      </c>
      <c r="C2772" s="299">
        <v>80</v>
      </c>
      <c r="D2772" s="299">
        <f t="shared" si="89"/>
        <v>8</v>
      </c>
      <c r="E2772" s="299">
        <v>57</v>
      </c>
      <c r="F2772" s="430" t="s">
        <v>3503</v>
      </c>
      <c r="G2772" s="300" t="str">
        <f t="shared" si="90"/>
        <v>MoetHolstein</v>
      </c>
    </row>
    <row r="2773" spans="1:7" ht="12" customHeight="1">
      <c r="A2773" s="298">
        <v>36395</v>
      </c>
      <c r="B2773" s="299" t="s">
        <v>3511</v>
      </c>
      <c r="C2773" s="299">
        <v>100</v>
      </c>
      <c r="D2773" s="299">
        <f t="shared" si="89"/>
        <v>8</v>
      </c>
      <c r="E2773" s="299">
        <v>55</v>
      </c>
      <c r="F2773" s="430" t="s">
        <v>3503</v>
      </c>
      <c r="G2773" s="300" t="str">
        <f t="shared" si="90"/>
        <v>MoetHolstein</v>
      </c>
    </row>
    <row r="2774" spans="1:7" ht="12" customHeight="1">
      <c r="A2774" s="298">
        <v>36414</v>
      </c>
      <c r="B2774" s="299" t="s">
        <v>3511</v>
      </c>
      <c r="C2774" s="299">
        <v>80</v>
      </c>
      <c r="D2774" s="299">
        <f t="shared" si="89"/>
        <v>9</v>
      </c>
      <c r="E2774" s="299">
        <v>58</v>
      </c>
      <c r="F2774" s="430" t="s">
        <v>3503</v>
      </c>
      <c r="G2774" s="300" t="str">
        <f t="shared" si="90"/>
        <v>MoetHolstein</v>
      </c>
    </row>
    <row r="2775" spans="1:7" ht="12" customHeight="1">
      <c r="A2775" s="298">
        <v>36448</v>
      </c>
      <c r="B2775" s="299" t="s">
        <v>3511</v>
      </c>
      <c r="C2775" s="299">
        <v>80</v>
      </c>
      <c r="D2775" s="299">
        <f t="shared" si="89"/>
        <v>10</v>
      </c>
      <c r="E2775" s="299">
        <v>57</v>
      </c>
      <c r="F2775" s="430" t="s">
        <v>3503</v>
      </c>
      <c r="G2775" s="300" t="str">
        <f t="shared" si="90"/>
        <v>MoetHolstein</v>
      </c>
    </row>
    <row r="2776" spans="1:7" ht="12" customHeight="1">
      <c r="A2776" s="298">
        <v>36455</v>
      </c>
      <c r="B2776" s="299" t="s">
        <v>3511</v>
      </c>
      <c r="C2776" s="299">
        <v>40</v>
      </c>
      <c r="D2776" s="299">
        <f t="shared" si="89"/>
        <v>10</v>
      </c>
      <c r="E2776" s="299">
        <v>57</v>
      </c>
      <c r="F2776" s="430" t="s">
        <v>3503</v>
      </c>
      <c r="G2776" s="300" t="str">
        <f t="shared" si="90"/>
        <v>MoetHolstein</v>
      </c>
    </row>
    <row r="2777" spans="1:7" ht="12" customHeight="1">
      <c r="A2777" s="298">
        <v>36461</v>
      </c>
      <c r="B2777" s="299" t="s">
        <v>3511</v>
      </c>
      <c r="C2777" s="299">
        <v>120</v>
      </c>
      <c r="D2777" s="299">
        <f t="shared" si="89"/>
        <v>10</v>
      </c>
      <c r="E2777" s="299">
        <v>55</v>
      </c>
      <c r="F2777" s="430" t="s">
        <v>3503</v>
      </c>
      <c r="G2777" s="300" t="str">
        <f t="shared" si="90"/>
        <v>MoetHolstein</v>
      </c>
    </row>
    <row r="2778" spans="1:7" ht="12" customHeight="1">
      <c r="A2778" s="298">
        <v>36468</v>
      </c>
      <c r="B2778" s="299" t="s">
        <v>3511</v>
      </c>
      <c r="C2778" s="299">
        <v>160</v>
      </c>
      <c r="D2778" s="299">
        <f t="shared" si="89"/>
        <v>11</v>
      </c>
      <c r="E2778" s="299">
        <v>55</v>
      </c>
      <c r="F2778" s="430" t="s">
        <v>3503</v>
      </c>
      <c r="G2778" s="300" t="str">
        <f t="shared" si="90"/>
        <v>MoetHolstein</v>
      </c>
    </row>
    <row r="2779" spans="1:7" ht="12" customHeight="1">
      <c r="A2779" s="298">
        <v>36486</v>
      </c>
      <c r="B2779" s="299" t="s">
        <v>3511</v>
      </c>
      <c r="C2779" s="299">
        <v>100</v>
      </c>
      <c r="D2779" s="299">
        <f t="shared" si="89"/>
        <v>11</v>
      </c>
      <c r="E2779" s="299">
        <v>58</v>
      </c>
      <c r="F2779" s="430" t="s">
        <v>3503</v>
      </c>
      <c r="G2779" s="300" t="str">
        <f t="shared" si="90"/>
        <v>MoetHolstein</v>
      </c>
    </row>
    <row r="2780" spans="1:7" ht="12" customHeight="1">
      <c r="A2780" s="298">
        <v>36508</v>
      </c>
      <c r="B2780" s="299" t="s">
        <v>3511</v>
      </c>
      <c r="C2780" s="299">
        <v>80</v>
      </c>
      <c r="D2780" s="299">
        <f t="shared" si="89"/>
        <v>12</v>
      </c>
      <c r="E2780" s="299">
        <v>57</v>
      </c>
      <c r="F2780" s="430" t="s">
        <v>3503</v>
      </c>
      <c r="G2780" s="300" t="str">
        <f t="shared" si="90"/>
        <v>MoetHolstein</v>
      </c>
    </row>
    <row r="2781" spans="1:7" ht="12" customHeight="1">
      <c r="A2781" s="298">
        <v>36198</v>
      </c>
      <c r="B2781" s="299" t="s">
        <v>3511</v>
      </c>
      <c r="C2781" s="299">
        <v>40</v>
      </c>
      <c r="D2781" s="299">
        <f t="shared" si="89"/>
        <v>2</v>
      </c>
      <c r="E2781" s="299">
        <v>57</v>
      </c>
      <c r="F2781" s="430" t="s">
        <v>3497</v>
      </c>
      <c r="G2781" s="300" t="str">
        <f t="shared" si="90"/>
        <v>MoetNRW</v>
      </c>
    </row>
    <row r="2782" spans="1:7" ht="12" customHeight="1">
      <c r="A2782" s="298">
        <v>36224</v>
      </c>
      <c r="B2782" s="299" t="s">
        <v>3511</v>
      </c>
      <c r="C2782" s="299">
        <v>100</v>
      </c>
      <c r="D2782" s="299">
        <f t="shared" si="89"/>
        <v>3</v>
      </c>
      <c r="E2782" s="299">
        <v>55</v>
      </c>
      <c r="F2782" s="430" t="s">
        <v>3497</v>
      </c>
      <c r="G2782" s="300" t="str">
        <f t="shared" si="90"/>
        <v>MoetNRW</v>
      </c>
    </row>
    <row r="2783" spans="1:7" ht="12" customHeight="1">
      <c r="A2783" s="298">
        <v>36309</v>
      </c>
      <c r="B2783" s="299" t="s">
        <v>3511</v>
      </c>
      <c r="C2783" s="299">
        <v>120</v>
      </c>
      <c r="D2783" s="299">
        <f t="shared" si="89"/>
        <v>5</v>
      </c>
      <c r="E2783" s="299">
        <v>56</v>
      </c>
      <c r="F2783" s="430" t="s">
        <v>3497</v>
      </c>
      <c r="G2783" s="300" t="str">
        <f t="shared" si="90"/>
        <v>MoetNRW</v>
      </c>
    </row>
    <row r="2784" spans="1:7" ht="12" customHeight="1">
      <c r="A2784" s="298">
        <v>36329</v>
      </c>
      <c r="B2784" s="299" t="s">
        <v>3511</v>
      </c>
      <c r="C2784" s="299">
        <v>100</v>
      </c>
      <c r="D2784" s="299">
        <f t="shared" si="89"/>
        <v>6</v>
      </c>
      <c r="E2784" s="299">
        <v>61</v>
      </c>
      <c r="F2784" s="430" t="s">
        <v>3497</v>
      </c>
      <c r="G2784" s="300" t="str">
        <f t="shared" si="90"/>
        <v>MoetNRW</v>
      </c>
    </row>
    <row r="2785" spans="1:7" ht="12" customHeight="1">
      <c r="A2785" s="298">
        <v>36352</v>
      </c>
      <c r="B2785" s="299" t="s">
        <v>3511</v>
      </c>
      <c r="C2785" s="299">
        <v>60</v>
      </c>
      <c r="D2785" s="299">
        <f t="shared" si="89"/>
        <v>7</v>
      </c>
      <c r="E2785" s="299">
        <v>57</v>
      </c>
      <c r="F2785" s="430" t="s">
        <v>3497</v>
      </c>
      <c r="G2785" s="300" t="str">
        <f t="shared" si="90"/>
        <v>MoetNRW</v>
      </c>
    </row>
    <row r="2786" spans="1:7" ht="12" customHeight="1">
      <c r="A2786" s="298">
        <v>36358</v>
      </c>
      <c r="B2786" s="299" t="s">
        <v>3511</v>
      </c>
      <c r="C2786" s="299">
        <v>50</v>
      </c>
      <c r="D2786" s="299">
        <f t="shared" si="89"/>
        <v>7</v>
      </c>
      <c r="E2786" s="299">
        <v>57</v>
      </c>
      <c r="F2786" s="430" t="s">
        <v>3497</v>
      </c>
      <c r="G2786" s="300" t="str">
        <f t="shared" si="90"/>
        <v>MoetNRW</v>
      </c>
    </row>
    <row r="2787" spans="1:7" ht="12" customHeight="1">
      <c r="A2787" s="298">
        <v>36361</v>
      </c>
      <c r="B2787" s="299" t="s">
        <v>3511</v>
      </c>
      <c r="C2787" s="299">
        <v>20</v>
      </c>
      <c r="D2787" s="299">
        <f t="shared" si="89"/>
        <v>7</v>
      </c>
      <c r="E2787" s="299">
        <v>57</v>
      </c>
      <c r="F2787" s="430" t="s">
        <v>3497</v>
      </c>
      <c r="G2787" s="300" t="str">
        <f t="shared" si="90"/>
        <v>MoetNRW</v>
      </c>
    </row>
    <row r="2788" spans="1:7" ht="12" customHeight="1">
      <c r="A2788" s="298">
        <v>36436</v>
      </c>
      <c r="B2788" s="299" t="s">
        <v>3511</v>
      </c>
      <c r="C2788" s="299">
        <v>20</v>
      </c>
      <c r="D2788" s="299">
        <f t="shared" si="89"/>
        <v>10</v>
      </c>
      <c r="E2788" s="299">
        <v>57</v>
      </c>
      <c r="F2788" s="430" t="s">
        <v>3497</v>
      </c>
      <c r="G2788" s="300" t="str">
        <f t="shared" si="90"/>
        <v>MoetNRW</v>
      </c>
    </row>
    <row r="2789" spans="1:7" ht="12" customHeight="1">
      <c r="A2789" s="298">
        <v>36444</v>
      </c>
      <c r="B2789" s="299" t="s">
        <v>3511</v>
      </c>
      <c r="C2789" s="299">
        <v>120</v>
      </c>
      <c r="D2789" s="299">
        <f t="shared" si="89"/>
        <v>10</v>
      </c>
      <c r="E2789" s="299">
        <v>56</v>
      </c>
      <c r="F2789" s="430" t="s">
        <v>3497</v>
      </c>
      <c r="G2789" s="300" t="str">
        <f t="shared" si="90"/>
        <v>MoetNRW</v>
      </c>
    </row>
    <row r="2790" spans="1:7" ht="12" customHeight="1">
      <c r="A2790" s="298">
        <v>36444</v>
      </c>
      <c r="B2790" s="299" t="s">
        <v>3511</v>
      </c>
      <c r="C2790" s="299">
        <v>120</v>
      </c>
      <c r="D2790" s="299">
        <f t="shared" si="89"/>
        <v>10</v>
      </c>
      <c r="E2790" s="299">
        <v>58</v>
      </c>
      <c r="F2790" s="430" t="s">
        <v>3497</v>
      </c>
      <c r="G2790" s="300" t="str">
        <f t="shared" si="90"/>
        <v>MoetNRW</v>
      </c>
    </row>
    <row r="2791" spans="1:7" ht="12" customHeight="1">
      <c r="A2791" s="298">
        <v>36447</v>
      </c>
      <c r="B2791" s="299" t="s">
        <v>3511</v>
      </c>
      <c r="C2791" s="299">
        <v>90</v>
      </c>
      <c r="D2791" s="299">
        <f t="shared" si="89"/>
        <v>10</v>
      </c>
      <c r="E2791" s="299">
        <v>58</v>
      </c>
      <c r="F2791" s="430" t="s">
        <v>3497</v>
      </c>
      <c r="G2791" s="300" t="str">
        <f t="shared" si="90"/>
        <v>MoetNRW</v>
      </c>
    </row>
    <row r="2792" spans="1:7" ht="12" customHeight="1">
      <c r="A2792" s="298">
        <v>36448</v>
      </c>
      <c r="B2792" s="299" t="s">
        <v>3511</v>
      </c>
      <c r="C2792" s="299">
        <v>20</v>
      </c>
      <c r="D2792" s="299">
        <f t="shared" si="89"/>
        <v>10</v>
      </c>
      <c r="E2792" s="299">
        <v>57</v>
      </c>
      <c r="F2792" s="430" t="s">
        <v>3497</v>
      </c>
      <c r="G2792" s="300" t="str">
        <f t="shared" si="90"/>
        <v>MoetNRW</v>
      </c>
    </row>
    <row r="2793" spans="1:7" ht="12" customHeight="1">
      <c r="A2793" s="298">
        <v>36459</v>
      </c>
      <c r="B2793" s="299" t="s">
        <v>3511</v>
      </c>
      <c r="C2793" s="299">
        <v>30</v>
      </c>
      <c r="D2793" s="299">
        <f t="shared" si="89"/>
        <v>10</v>
      </c>
      <c r="E2793" s="299">
        <v>56</v>
      </c>
      <c r="F2793" s="430" t="s">
        <v>3497</v>
      </c>
      <c r="G2793" s="300" t="str">
        <f t="shared" si="90"/>
        <v>MoetNRW</v>
      </c>
    </row>
    <row r="2794" spans="1:7" ht="12" customHeight="1">
      <c r="A2794" s="298">
        <v>36499</v>
      </c>
      <c r="B2794" s="299" t="s">
        <v>3511</v>
      </c>
      <c r="C2794" s="299">
        <v>50</v>
      </c>
      <c r="D2794" s="299">
        <f t="shared" si="89"/>
        <v>12</v>
      </c>
      <c r="E2794" s="299">
        <v>61</v>
      </c>
      <c r="F2794" s="430" t="s">
        <v>3497</v>
      </c>
      <c r="G2794" s="300" t="str">
        <f t="shared" si="90"/>
        <v>MoetNRW</v>
      </c>
    </row>
    <row r="2795" spans="1:7" ht="12" customHeight="1">
      <c r="A2795" s="298">
        <v>36163</v>
      </c>
      <c r="B2795" s="299" t="s">
        <v>3511</v>
      </c>
      <c r="C2795" s="299">
        <v>120</v>
      </c>
      <c r="D2795" s="299">
        <f t="shared" si="89"/>
        <v>1</v>
      </c>
      <c r="E2795" s="299">
        <v>55</v>
      </c>
      <c r="F2795" s="430" t="s">
        <v>3499</v>
      </c>
      <c r="G2795" s="300" t="str">
        <f t="shared" si="90"/>
        <v>MoetPfalz</v>
      </c>
    </row>
    <row r="2796" spans="1:7" ht="12" customHeight="1">
      <c r="A2796" s="298">
        <v>36192</v>
      </c>
      <c r="B2796" s="299" t="s">
        <v>3511</v>
      </c>
      <c r="C2796" s="299">
        <v>70</v>
      </c>
      <c r="D2796" s="299">
        <f t="shared" si="89"/>
        <v>2</v>
      </c>
      <c r="E2796" s="299">
        <v>61</v>
      </c>
      <c r="F2796" s="430" t="s">
        <v>3499</v>
      </c>
      <c r="G2796" s="300" t="str">
        <f t="shared" si="90"/>
        <v>MoetPfalz</v>
      </c>
    </row>
    <row r="2797" spans="1:7" ht="12" customHeight="1">
      <c r="A2797" s="298">
        <v>36194</v>
      </c>
      <c r="B2797" s="299" t="s">
        <v>3511</v>
      </c>
      <c r="C2797" s="299">
        <v>30</v>
      </c>
      <c r="D2797" s="299">
        <f t="shared" si="89"/>
        <v>2</v>
      </c>
      <c r="E2797" s="299">
        <v>61</v>
      </c>
      <c r="F2797" s="430" t="s">
        <v>3499</v>
      </c>
      <c r="G2797" s="300" t="str">
        <f t="shared" si="90"/>
        <v>MoetPfalz</v>
      </c>
    </row>
    <row r="2798" spans="1:7" ht="12" customHeight="1">
      <c r="A2798" s="298">
        <v>36203</v>
      </c>
      <c r="B2798" s="299" t="s">
        <v>3511</v>
      </c>
      <c r="C2798" s="299">
        <v>70</v>
      </c>
      <c r="D2798" s="299">
        <f t="shared" si="89"/>
        <v>2</v>
      </c>
      <c r="E2798" s="299">
        <v>55</v>
      </c>
      <c r="F2798" s="430" t="s">
        <v>3499</v>
      </c>
      <c r="G2798" s="300" t="str">
        <f t="shared" si="90"/>
        <v>MoetPfalz</v>
      </c>
    </row>
    <row r="2799" spans="1:7" ht="12" customHeight="1">
      <c r="A2799" s="298">
        <v>36204</v>
      </c>
      <c r="B2799" s="299" t="s">
        <v>3511</v>
      </c>
      <c r="C2799" s="299">
        <v>40</v>
      </c>
      <c r="D2799" s="299">
        <f t="shared" si="89"/>
        <v>2</v>
      </c>
      <c r="E2799" s="299">
        <v>55</v>
      </c>
      <c r="F2799" s="430" t="s">
        <v>3499</v>
      </c>
      <c r="G2799" s="300" t="str">
        <f t="shared" si="90"/>
        <v>MoetPfalz</v>
      </c>
    </row>
    <row r="2800" spans="1:7" ht="12" customHeight="1">
      <c r="A2800" s="298">
        <v>36204</v>
      </c>
      <c r="B2800" s="299" t="s">
        <v>3511</v>
      </c>
      <c r="C2800" s="299">
        <v>20</v>
      </c>
      <c r="D2800" s="299">
        <f t="shared" si="89"/>
        <v>2</v>
      </c>
      <c r="E2800" s="299">
        <v>61</v>
      </c>
      <c r="F2800" s="430" t="s">
        <v>3499</v>
      </c>
      <c r="G2800" s="300" t="str">
        <f t="shared" si="90"/>
        <v>MoetPfalz</v>
      </c>
    </row>
    <row r="2801" spans="1:7" ht="12" customHeight="1">
      <c r="A2801" s="298">
        <v>36204</v>
      </c>
      <c r="B2801" s="299" t="s">
        <v>3511</v>
      </c>
      <c r="C2801" s="299">
        <v>80</v>
      </c>
      <c r="D2801" s="299">
        <f t="shared" si="89"/>
        <v>2</v>
      </c>
      <c r="E2801" s="299">
        <v>59</v>
      </c>
      <c r="F2801" s="430" t="s">
        <v>3499</v>
      </c>
      <c r="G2801" s="300" t="str">
        <f t="shared" si="90"/>
        <v>MoetPfalz</v>
      </c>
    </row>
    <row r="2802" spans="1:7" ht="12" customHeight="1">
      <c r="A2802" s="298">
        <v>36209</v>
      </c>
      <c r="B2802" s="299" t="s">
        <v>3511</v>
      </c>
      <c r="C2802" s="299">
        <v>20</v>
      </c>
      <c r="D2802" s="299">
        <f t="shared" si="89"/>
        <v>2</v>
      </c>
      <c r="E2802" s="299">
        <v>60</v>
      </c>
      <c r="F2802" s="430" t="s">
        <v>3499</v>
      </c>
      <c r="G2802" s="300" t="str">
        <f t="shared" si="90"/>
        <v>MoetPfalz</v>
      </c>
    </row>
    <row r="2803" spans="1:7" ht="12" customHeight="1">
      <c r="A2803" s="298">
        <v>36216</v>
      </c>
      <c r="B2803" s="299" t="s">
        <v>3511</v>
      </c>
      <c r="C2803" s="299">
        <v>80</v>
      </c>
      <c r="D2803" s="299">
        <f t="shared" si="89"/>
        <v>2</v>
      </c>
      <c r="E2803" s="299">
        <v>55</v>
      </c>
      <c r="F2803" s="430" t="s">
        <v>3499</v>
      </c>
      <c r="G2803" s="300" t="str">
        <f t="shared" si="90"/>
        <v>MoetPfalz</v>
      </c>
    </row>
    <row r="2804" spans="1:7" ht="12" customHeight="1">
      <c r="A2804" s="298">
        <v>36219</v>
      </c>
      <c r="B2804" s="299" t="s">
        <v>3511</v>
      </c>
      <c r="C2804" s="299">
        <v>20</v>
      </c>
      <c r="D2804" s="299">
        <f t="shared" si="89"/>
        <v>2</v>
      </c>
      <c r="E2804" s="299">
        <v>59</v>
      </c>
      <c r="F2804" s="430" t="s">
        <v>3499</v>
      </c>
      <c r="G2804" s="300" t="str">
        <f t="shared" si="90"/>
        <v>MoetPfalz</v>
      </c>
    </row>
    <row r="2805" spans="1:7" ht="12" customHeight="1">
      <c r="A2805" s="298">
        <v>36229</v>
      </c>
      <c r="B2805" s="299" t="s">
        <v>3511</v>
      </c>
      <c r="C2805" s="299">
        <v>40</v>
      </c>
      <c r="D2805" s="299">
        <f t="shared" si="89"/>
        <v>3</v>
      </c>
      <c r="E2805" s="299">
        <v>57</v>
      </c>
      <c r="F2805" s="430" t="s">
        <v>3499</v>
      </c>
      <c r="G2805" s="300" t="str">
        <f t="shared" si="90"/>
        <v>MoetPfalz</v>
      </c>
    </row>
    <row r="2806" spans="1:7" ht="12" customHeight="1">
      <c r="A2806" s="298">
        <v>36243</v>
      </c>
      <c r="B2806" s="299" t="s">
        <v>3511</v>
      </c>
      <c r="C2806" s="299">
        <v>160</v>
      </c>
      <c r="D2806" s="299">
        <f t="shared" si="89"/>
        <v>3</v>
      </c>
      <c r="E2806" s="299">
        <v>61</v>
      </c>
      <c r="F2806" s="430" t="s">
        <v>3499</v>
      </c>
      <c r="G2806" s="300" t="str">
        <f t="shared" si="90"/>
        <v>MoetPfalz</v>
      </c>
    </row>
    <row r="2807" spans="1:7" ht="12" customHeight="1">
      <c r="A2807" s="298">
        <v>36261</v>
      </c>
      <c r="B2807" s="299" t="s">
        <v>3511</v>
      </c>
      <c r="C2807" s="299">
        <v>50</v>
      </c>
      <c r="D2807" s="299">
        <f t="shared" si="89"/>
        <v>4</v>
      </c>
      <c r="E2807" s="299">
        <v>55</v>
      </c>
      <c r="F2807" s="430" t="s">
        <v>3499</v>
      </c>
      <c r="G2807" s="300" t="str">
        <f t="shared" si="90"/>
        <v>MoetPfalz</v>
      </c>
    </row>
    <row r="2808" spans="1:7" ht="12" customHeight="1">
      <c r="A2808" s="298">
        <v>36298</v>
      </c>
      <c r="B2808" s="299" t="s">
        <v>3511</v>
      </c>
      <c r="C2808" s="299">
        <v>100</v>
      </c>
      <c r="D2808" s="299">
        <f t="shared" si="89"/>
        <v>5</v>
      </c>
      <c r="E2808" s="299">
        <v>59</v>
      </c>
      <c r="F2808" s="430" t="s">
        <v>3499</v>
      </c>
      <c r="G2808" s="300" t="str">
        <f t="shared" si="90"/>
        <v>MoetPfalz</v>
      </c>
    </row>
    <row r="2809" spans="1:7" ht="12" customHeight="1">
      <c r="A2809" s="298">
        <v>36317</v>
      </c>
      <c r="B2809" s="299" t="s">
        <v>3511</v>
      </c>
      <c r="C2809" s="299">
        <v>60</v>
      </c>
      <c r="D2809" s="299">
        <f t="shared" si="89"/>
        <v>6</v>
      </c>
      <c r="E2809" s="299">
        <v>58</v>
      </c>
      <c r="F2809" s="430" t="s">
        <v>3499</v>
      </c>
      <c r="G2809" s="300" t="str">
        <f t="shared" si="90"/>
        <v>MoetPfalz</v>
      </c>
    </row>
    <row r="2810" spans="1:7" ht="12" customHeight="1">
      <c r="A2810" s="298">
        <v>36320</v>
      </c>
      <c r="B2810" s="299" t="s">
        <v>3511</v>
      </c>
      <c r="C2810" s="299">
        <v>80</v>
      </c>
      <c r="D2810" s="299">
        <f t="shared" si="89"/>
        <v>6</v>
      </c>
      <c r="E2810" s="299">
        <v>55</v>
      </c>
      <c r="F2810" s="430" t="s">
        <v>3499</v>
      </c>
      <c r="G2810" s="300" t="str">
        <f t="shared" si="90"/>
        <v>MoetPfalz</v>
      </c>
    </row>
    <row r="2811" spans="1:7" ht="12" customHeight="1">
      <c r="A2811" s="298">
        <v>36321</v>
      </c>
      <c r="B2811" s="299" t="s">
        <v>3511</v>
      </c>
      <c r="C2811" s="299">
        <v>50</v>
      </c>
      <c r="D2811" s="299">
        <f t="shared" si="89"/>
        <v>6</v>
      </c>
      <c r="E2811" s="299">
        <v>56</v>
      </c>
      <c r="F2811" s="430" t="s">
        <v>3499</v>
      </c>
      <c r="G2811" s="300" t="str">
        <f t="shared" si="90"/>
        <v>MoetPfalz</v>
      </c>
    </row>
    <row r="2812" spans="1:7" ht="12" customHeight="1">
      <c r="A2812" s="298">
        <v>36326</v>
      </c>
      <c r="B2812" s="299" t="s">
        <v>3511</v>
      </c>
      <c r="C2812" s="299">
        <v>70</v>
      </c>
      <c r="D2812" s="299">
        <f t="shared" si="89"/>
        <v>6</v>
      </c>
      <c r="E2812" s="299">
        <v>55</v>
      </c>
      <c r="F2812" s="430" t="s">
        <v>3499</v>
      </c>
      <c r="G2812" s="300" t="str">
        <f t="shared" si="90"/>
        <v>MoetPfalz</v>
      </c>
    </row>
    <row r="2813" spans="1:7" ht="12" customHeight="1">
      <c r="A2813" s="298">
        <v>36331</v>
      </c>
      <c r="B2813" s="299" t="s">
        <v>3511</v>
      </c>
      <c r="C2813" s="299">
        <v>40</v>
      </c>
      <c r="D2813" s="299">
        <f t="shared" si="89"/>
        <v>6</v>
      </c>
      <c r="E2813" s="299">
        <v>55</v>
      </c>
      <c r="F2813" s="430" t="s">
        <v>3499</v>
      </c>
      <c r="G2813" s="300" t="str">
        <f t="shared" si="90"/>
        <v>MoetPfalz</v>
      </c>
    </row>
    <row r="2814" spans="1:7" ht="12" customHeight="1">
      <c r="A2814" s="298">
        <v>36332</v>
      </c>
      <c r="B2814" s="299" t="s">
        <v>3511</v>
      </c>
      <c r="C2814" s="299">
        <v>50</v>
      </c>
      <c r="D2814" s="299">
        <f t="shared" si="89"/>
        <v>6</v>
      </c>
      <c r="E2814" s="299">
        <v>55</v>
      </c>
      <c r="F2814" s="430" t="s">
        <v>3499</v>
      </c>
      <c r="G2814" s="300" t="str">
        <f t="shared" si="90"/>
        <v>MoetPfalz</v>
      </c>
    </row>
    <row r="2815" spans="1:7" ht="12" customHeight="1">
      <c r="A2815" s="298">
        <v>36334</v>
      </c>
      <c r="B2815" s="299" t="s">
        <v>3511</v>
      </c>
      <c r="C2815" s="299">
        <v>10</v>
      </c>
      <c r="D2815" s="299">
        <f t="shared" si="89"/>
        <v>6</v>
      </c>
      <c r="E2815" s="299">
        <v>56</v>
      </c>
      <c r="F2815" s="430" t="s">
        <v>3499</v>
      </c>
      <c r="G2815" s="300" t="str">
        <f t="shared" si="90"/>
        <v>MoetPfalz</v>
      </c>
    </row>
    <row r="2816" spans="1:7" ht="12" customHeight="1">
      <c r="A2816" s="298">
        <v>36338</v>
      </c>
      <c r="B2816" s="299" t="s">
        <v>3511</v>
      </c>
      <c r="C2816" s="299">
        <v>120</v>
      </c>
      <c r="D2816" s="299">
        <f t="shared" si="89"/>
        <v>6</v>
      </c>
      <c r="E2816" s="299">
        <v>56</v>
      </c>
      <c r="F2816" s="430" t="s">
        <v>3499</v>
      </c>
      <c r="G2816" s="300" t="str">
        <f t="shared" si="90"/>
        <v>MoetPfalz</v>
      </c>
    </row>
    <row r="2817" spans="1:7" ht="12" customHeight="1">
      <c r="A2817" s="298">
        <v>36338</v>
      </c>
      <c r="B2817" s="299" t="s">
        <v>3511</v>
      </c>
      <c r="C2817" s="299">
        <v>40</v>
      </c>
      <c r="D2817" s="299">
        <f t="shared" si="89"/>
        <v>6</v>
      </c>
      <c r="E2817" s="299">
        <v>56</v>
      </c>
      <c r="F2817" s="430" t="s">
        <v>3499</v>
      </c>
      <c r="G2817" s="300" t="str">
        <f t="shared" si="90"/>
        <v>MoetPfalz</v>
      </c>
    </row>
    <row r="2818" spans="1:7" ht="12" customHeight="1">
      <c r="A2818" s="298">
        <v>36345</v>
      </c>
      <c r="B2818" s="299" t="s">
        <v>3511</v>
      </c>
      <c r="C2818" s="299">
        <v>160</v>
      </c>
      <c r="D2818" s="299">
        <f t="shared" si="89"/>
        <v>7</v>
      </c>
      <c r="E2818" s="299">
        <v>55</v>
      </c>
      <c r="F2818" s="430" t="s">
        <v>3499</v>
      </c>
      <c r="G2818" s="300" t="str">
        <f t="shared" si="90"/>
        <v>MoetPfalz</v>
      </c>
    </row>
    <row r="2819" spans="1:7" ht="12" customHeight="1">
      <c r="A2819" s="298">
        <v>36346</v>
      </c>
      <c r="B2819" s="299" t="s">
        <v>3511</v>
      </c>
      <c r="C2819" s="299">
        <v>10</v>
      </c>
      <c r="D2819" s="299">
        <f t="shared" si="89"/>
        <v>7</v>
      </c>
      <c r="E2819" s="299">
        <v>61</v>
      </c>
      <c r="F2819" s="430" t="s">
        <v>3499</v>
      </c>
      <c r="G2819" s="300" t="str">
        <f t="shared" si="90"/>
        <v>MoetPfalz</v>
      </c>
    </row>
    <row r="2820" spans="1:7" ht="12" customHeight="1">
      <c r="A2820" s="298">
        <v>36347</v>
      </c>
      <c r="B2820" s="299" t="s">
        <v>3511</v>
      </c>
      <c r="C2820" s="299">
        <v>30</v>
      </c>
      <c r="D2820" s="299">
        <f t="shared" si="89"/>
        <v>7</v>
      </c>
      <c r="E2820" s="299">
        <v>56</v>
      </c>
      <c r="F2820" s="430" t="s">
        <v>3499</v>
      </c>
      <c r="G2820" s="300" t="str">
        <f t="shared" si="90"/>
        <v>MoetPfalz</v>
      </c>
    </row>
    <row r="2821" spans="1:7" ht="12" customHeight="1">
      <c r="A2821" s="298">
        <v>36359</v>
      </c>
      <c r="B2821" s="299" t="s">
        <v>3511</v>
      </c>
      <c r="C2821" s="299">
        <v>80</v>
      </c>
      <c r="D2821" s="299">
        <f t="shared" si="89"/>
        <v>7</v>
      </c>
      <c r="E2821" s="299">
        <v>61</v>
      </c>
      <c r="F2821" s="430" t="s">
        <v>3499</v>
      </c>
      <c r="G2821" s="300" t="str">
        <f t="shared" si="90"/>
        <v>MoetPfalz</v>
      </c>
    </row>
    <row r="2822" spans="1:7" ht="12" customHeight="1">
      <c r="A2822" s="298">
        <v>36361</v>
      </c>
      <c r="B2822" s="299" t="s">
        <v>3511</v>
      </c>
      <c r="C2822" s="299">
        <v>160</v>
      </c>
      <c r="D2822" s="299">
        <f t="shared" ref="D2822:D2885" si="91">MONTH(A2822)</f>
        <v>7</v>
      </c>
      <c r="E2822" s="299">
        <v>58</v>
      </c>
      <c r="F2822" s="430" t="s">
        <v>3499</v>
      </c>
      <c r="G2822" s="300" t="str">
        <f t="shared" ref="G2822:G2885" si="92">B2822&amp;F2822</f>
        <v>MoetPfalz</v>
      </c>
    </row>
    <row r="2823" spans="1:7" ht="12" customHeight="1">
      <c r="A2823" s="298">
        <v>36363</v>
      </c>
      <c r="B2823" s="299" t="s">
        <v>3511</v>
      </c>
      <c r="C2823" s="299">
        <v>80</v>
      </c>
      <c r="D2823" s="299">
        <f t="shared" si="91"/>
        <v>7</v>
      </c>
      <c r="E2823" s="299">
        <v>56</v>
      </c>
      <c r="F2823" s="430" t="s">
        <v>3499</v>
      </c>
      <c r="G2823" s="300" t="str">
        <f t="shared" si="92"/>
        <v>MoetPfalz</v>
      </c>
    </row>
    <row r="2824" spans="1:7" ht="12" customHeight="1">
      <c r="A2824" s="298">
        <v>36368</v>
      </c>
      <c r="B2824" s="299" t="s">
        <v>3511</v>
      </c>
      <c r="C2824" s="299">
        <v>20</v>
      </c>
      <c r="D2824" s="299">
        <f t="shared" si="91"/>
        <v>7</v>
      </c>
      <c r="E2824" s="299">
        <v>60</v>
      </c>
      <c r="F2824" s="430" t="s">
        <v>3499</v>
      </c>
      <c r="G2824" s="300" t="str">
        <f t="shared" si="92"/>
        <v>MoetPfalz</v>
      </c>
    </row>
    <row r="2825" spans="1:7" ht="12" customHeight="1">
      <c r="A2825" s="298">
        <v>36368</v>
      </c>
      <c r="B2825" s="299" t="s">
        <v>3511</v>
      </c>
      <c r="C2825" s="299">
        <v>80</v>
      </c>
      <c r="D2825" s="299">
        <f t="shared" si="91"/>
        <v>7</v>
      </c>
      <c r="E2825" s="299">
        <v>55</v>
      </c>
      <c r="F2825" s="430" t="s">
        <v>3499</v>
      </c>
      <c r="G2825" s="300" t="str">
        <f t="shared" si="92"/>
        <v>MoetPfalz</v>
      </c>
    </row>
    <row r="2826" spans="1:7" ht="12" customHeight="1">
      <c r="A2826" s="298">
        <v>36373</v>
      </c>
      <c r="B2826" s="299" t="s">
        <v>3511</v>
      </c>
      <c r="C2826" s="299">
        <v>120</v>
      </c>
      <c r="D2826" s="299">
        <f t="shared" si="91"/>
        <v>8</v>
      </c>
      <c r="E2826" s="299">
        <v>60</v>
      </c>
      <c r="F2826" s="430" t="s">
        <v>3499</v>
      </c>
      <c r="G2826" s="300" t="str">
        <f t="shared" si="92"/>
        <v>MoetPfalz</v>
      </c>
    </row>
    <row r="2827" spans="1:7" ht="12" customHeight="1">
      <c r="A2827" s="298">
        <v>36375</v>
      </c>
      <c r="B2827" s="299" t="s">
        <v>3511</v>
      </c>
      <c r="C2827" s="299">
        <v>50</v>
      </c>
      <c r="D2827" s="299">
        <f t="shared" si="91"/>
        <v>8</v>
      </c>
      <c r="E2827" s="299">
        <v>56</v>
      </c>
      <c r="F2827" s="430" t="s">
        <v>3499</v>
      </c>
      <c r="G2827" s="300" t="str">
        <f t="shared" si="92"/>
        <v>MoetPfalz</v>
      </c>
    </row>
    <row r="2828" spans="1:7" ht="12" customHeight="1">
      <c r="A2828" s="298">
        <v>36396</v>
      </c>
      <c r="B2828" s="299" t="s">
        <v>3511</v>
      </c>
      <c r="C2828" s="299">
        <v>120</v>
      </c>
      <c r="D2828" s="299">
        <f t="shared" si="91"/>
        <v>8</v>
      </c>
      <c r="E2828" s="299">
        <v>59</v>
      </c>
      <c r="F2828" s="430" t="s">
        <v>3499</v>
      </c>
      <c r="G2828" s="300" t="str">
        <f t="shared" si="92"/>
        <v>MoetPfalz</v>
      </c>
    </row>
    <row r="2829" spans="1:7" ht="12" customHeight="1">
      <c r="A2829" s="298">
        <v>36398</v>
      </c>
      <c r="B2829" s="299" t="s">
        <v>3511</v>
      </c>
      <c r="C2829" s="299">
        <v>20</v>
      </c>
      <c r="D2829" s="299">
        <f t="shared" si="91"/>
        <v>8</v>
      </c>
      <c r="E2829" s="299">
        <v>58</v>
      </c>
      <c r="F2829" s="430" t="s">
        <v>3499</v>
      </c>
      <c r="G2829" s="300" t="str">
        <f t="shared" si="92"/>
        <v>MoetPfalz</v>
      </c>
    </row>
    <row r="2830" spans="1:7" ht="12" customHeight="1">
      <c r="A2830" s="298">
        <v>36399</v>
      </c>
      <c r="B2830" s="299" t="s">
        <v>3511</v>
      </c>
      <c r="C2830" s="299">
        <v>160</v>
      </c>
      <c r="D2830" s="299">
        <f t="shared" si="91"/>
        <v>8</v>
      </c>
      <c r="E2830" s="299">
        <v>56</v>
      </c>
      <c r="F2830" s="430" t="s">
        <v>3499</v>
      </c>
      <c r="G2830" s="300" t="str">
        <f t="shared" si="92"/>
        <v>MoetPfalz</v>
      </c>
    </row>
    <row r="2831" spans="1:7" ht="12" customHeight="1">
      <c r="A2831" s="298">
        <v>36400</v>
      </c>
      <c r="B2831" s="299" t="s">
        <v>3511</v>
      </c>
      <c r="C2831" s="299">
        <v>10</v>
      </c>
      <c r="D2831" s="299">
        <f t="shared" si="91"/>
        <v>8</v>
      </c>
      <c r="E2831" s="299">
        <v>59</v>
      </c>
      <c r="F2831" s="430" t="s">
        <v>3499</v>
      </c>
      <c r="G2831" s="300" t="str">
        <f t="shared" si="92"/>
        <v>MoetPfalz</v>
      </c>
    </row>
    <row r="2832" spans="1:7" ht="12" customHeight="1">
      <c r="A2832" s="298">
        <v>36400</v>
      </c>
      <c r="B2832" s="299" t="s">
        <v>3511</v>
      </c>
      <c r="C2832" s="299">
        <v>160</v>
      </c>
      <c r="D2832" s="299">
        <f t="shared" si="91"/>
        <v>8</v>
      </c>
      <c r="E2832" s="299">
        <v>56</v>
      </c>
      <c r="F2832" s="430" t="s">
        <v>3499</v>
      </c>
      <c r="G2832" s="300" t="str">
        <f t="shared" si="92"/>
        <v>MoetPfalz</v>
      </c>
    </row>
    <row r="2833" spans="1:7" ht="12" customHeight="1">
      <c r="A2833" s="298">
        <v>36400</v>
      </c>
      <c r="B2833" s="299" t="s">
        <v>3511</v>
      </c>
      <c r="C2833" s="299">
        <v>70</v>
      </c>
      <c r="D2833" s="299">
        <f t="shared" si="91"/>
        <v>8</v>
      </c>
      <c r="E2833" s="299">
        <v>60</v>
      </c>
      <c r="F2833" s="430" t="s">
        <v>3499</v>
      </c>
      <c r="G2833" s="300" t="str">
        <f t="shared" si="92"/>
        <v>MoetPfalz</v>
      </c>
    </row>
    <row r="2834" spans="1:7" ht="12" customHeight="1">
      <c r="A2834" s="298">
        <v>36426</v>
      </c>
      <c r="B2834" s="299" t="s">
        <v>3511</v>
      </c>
      <c r="C2834" s="299">
        <v>10</v>
      </c>
      <c r="D2834" s="299">
        <f t="shared" si="91"/>
        <v>9</v>
      </c>
      <c r="E2834" s="299">
        <v>57</v>
      </c>
      <c r="F2834" s="430" t="s">
        <v>3499</v>
      </c>
      <c r="G2834" s="300" t="str">
        <f t="shared" si="92"/>
        <v>MoetPfalz</v>
      </c>
    </row>
    <row r="2835" spans="1:7" ht="12" customHeight="1">
      <c r="A2835" s="298">
        <v>36434</v>
      </c>
      <c r="B2835" s="299" t="s">
        <v>3511</v>
      </c>
      <c r="C2835" s="299">
        <v>70</v>
      </c>
      <c r="D2835" s="299">
        <f t="shared" si="91"/>
        <v>10</v>
      </c>
      <c r="E2835" s="299">
        <v>60</v>
      </c>
      <c r="F2835" s="430" t="s">
        <v>3499</v>
      </c>
      <c r="G2835" s="300" t="str">
        <f t="shared" si="92"/>
        <v>MoetPfalz</v>
      </c>
    </row>
    <row r="2836" spans="1:7" ht="12" customHeight="1">
      <c r="A2836" s="298">
        <v>36443</v>
      </c>
      <c r="B2836" s="299" t="s">
        <v>3511</v>
      </c>
      <c r="C2836" s="299">
        <v>80</v>
      </c>
      <c r="D2836" s="299">
        <f t="shared" si="91"/>
        <v>10</v>
      </c>
      <c r="E2836" s="299">
        <v>60</v>
      </c>
      <c r="F2836" s="430" t="s">
        <v>3499</v>
      </c>
      <c r="G2836" s="300" t="str">
        <f t="shared" si="92"/>
        <v>MoetPfalz</v>
      </c>
    </row>
    <row r="2837" spans="1:7" ht="12" customHeight="1">
      <c r="A2837" s="298">
        <v>36463</v>
      </c>
      <c r="B2837" s="299" t="s">
        <v>3511</v>
      </c>
      <c r="C2837" s="299">
        <v>10</v>
      </c>
      <c r="D2837" s="299">
        <f t="shared" si="91"/>
        <v>10</v>
      </c>
      <c r="E2837" s="299">
        <v>55</v>
      </c>
      <c r="F2837" s="430" t="s">
        <v>3499</v>
      </c>
      <c r="G2837" s="300" t="str">
        <f t="shared" si="92"/>
        <v>MoetPfalz</v>
      </c>
    </row>
    <row r="2838" spans="1:7" ht="12" customHeight="1">
      <c r="A2838" s="298">
        <v>36465</v>
      </c>
      <c r="B2838" s="299" t="s">
        <v>3511</v>
      </c>
      <c r="C2838" s="299">
        <v>60</v>
      </c>
      <c r="D2838" s="299">
        <f t="shared" si="91"/>
        <v>11</v>
      </c>
      <c r="E2838" s="299">
        <v>55</v>
      </c>
      <c r="F2838" s="430" t="s">
        <v>3499</v>
      </c>
      <c r="G2838" s="300" t="str">
        <f t="shared" si="92"/>
        <v>MoetPfalz</v>
      </c>
    </row>
    <row r="2839" spans="1:7" ht="12" customHeight="1">
      <c r="A2839" s="298">
        <v>36492</v>
      </c>
      <c r="B2839" s="299" t="s">
        <v>3511</v>
      </c>
      <c r="C2839" s="299">
        <v>100</v>
      </c>
      <c r="D2839" s="299">
        <f t="shared" si="91"/>
        <v>11</v>
      </c>
      <c r="E2839" s="299">
        <v>55</v>
      </c>
      <c r="F2839" s="430" t="s">
        <v>3499</v>
      </c>
      <c r="G2839" s="300" t="str">
        <f t="shared" si="92"/>
        <v>MoetPfalz</v>
      </c>
    </row>
    <row r="2840" spans="1:7" ht="12" customHeight="1">
      <c r="A2840" s="298">
        <v>36495</v>
      </c>
      <c r="B2840" s="299" t="s">
        <v>3511</v>
      </c>
      <c r="C2840" s="299">
        <v>20</v>
      </c>
      <c r="D2840" s="299">
        <f t="shared" si="91"/>
        <v>12</v>
      </c>
      <c r="E2840" s="299">
        <v>58</v>
      </c>
      <c r="F2840" s="430" t="s">
        <v>3499</v>
      </c>
      <c r="G2840" s="300" t="str">
        <f t="shared" si="92"/>
        <v>MoetPfalz</v>
      </c>
    </row>
    <row r="2841" spans="1:7" ht="12" customHeight="1">
      <c r="A2841" s="298">
        <v>36497</v>
      </c>
      <c r="B2841" s="299" t="s">
        <v>3511</v>
      </c>
      <c r="C2841" s="299">
        <v>10</v>
      </c>
      <c r="D2841" s="299">
        <f t="shared" si="91"/>
        <v>12</v>
      </c>
      <c r="E2841" s="299">
        <v>56</v>
      </c>
      <c r="F2841" s="430" t="s">
        <v>3499</v>
      </c>
      <c r="G2841" s="300" t="str">
        <f t="shared" si="92"/>
        <v>MoetPfalz</v>
      </c>
    </row>
    <row r="2842" spans="1:7" ht="12" customHeight="1">
      <c r="A2842" s="298">
        <v>36501</v>
      </c>
      <c r="B2842" s="299" t="s">
        <v>3511</v>
      </c>
      <c r="C2842" s="299">
        <v>90</v>
      </c>
      <c r="D2842" s="299">
        <f t="shared" si="91"/>
        <v>12</v>
      </c>
      <c r="E2842" s="299">
        <v>61</v>
      </c>
      <c r="F2842" s="430" t="s">
        <v>3499</v>
      </c>
      <c r="G2842" s="300" t="str">
        <f t="shared" si="92"/>
        <v>MoetPfalz</v>
      </c>
    </row>
    <row r="2843" spans="1:7" ht="12" customHeight="1">
      <c r="A2843" s="298">
        <v>36510</v>
      </c>
      <c r="B2843" s="299" t="s">
        <v>3511</v>
      </c>
      <c r="C2843" s="299">
        <v>20</v>
      </c>
      <c r="D2843" s="299">
        <f t="shared" si="91"/>
        <v>12</v>
      </c>
      <c r="E2843" s="299">
        <v>61</v>
      </c>
      <c r="F2843" s="430" t="s">
        <v>3499</v>
      </c>
      <c r="G2843" s="300" t="str">
        <f t="shared" si="92"/>
        <v>MoetPfalz</v>
      </c>
    </row>
    <row r="2844" spans="1:7" ht="12" customHeight="1">
      <c r="A2844" s="298">
        <v>36512</v>
      </c>
      <c r="B2844" s="299" t="s">
        <v>3511</v>
      </c>
      <c r="C2844" s="299">
        <v>120</v>
      </c>
      <c r="D2844" s="299">
        <f t="shared" si="91"/>
        <v>12</v>
      </c>
      <c r="E2844" s="299">
        <v>61</v>
      </c>
      <c r="F2844" s="430" t="s">
        <v>3499</v>
      </c>
      <c r="G2844" s="300" t="str">
        <f t="shared" si="92"/>
        <v>MoetPfalz</v>
      </c>
    </row>
    <row r="2845" spans="1:7" ht="12" customHeight="1">
      <c r="A2845" s="298">
        <v>36512</v>
      </c>
      <c r="B2845" s="299" t="s">
        <v>3511</v>
      </c>
      <c r="C2845" s="299">
        <v>20</v>
      </c>
      <c r="D2845" s="299">
        <f t="shared" si="91"/>
        <v>12</v>
      </c>
      <c r="E2845" s="299">
        <v>57</v>
      </c>
      <c r="F2845" s="430" t="s">
        <v>3499</v>
      </c>
      <c r="G2845" s="300" t="str">
        <f t="shared" si="92"/>
        <v>MoetPfalz</v>
      </c>
    </row>
    <row r="2846" spans="1:7" ht="12" customHeight="1">
      <c r="A2846" s="298">
        <v>36517</v>
      </c>
      <c r="B2846" s="299" t="s">
        <v>3511</v>
      </c>
      <c r="C2846" s="299">
        <v>60</v>
      </c>
      <c r="D2846" s="299">
        <f t="shared" si="91"/>
        <v>12</v>
      </c>
      <c r="E2846" s="299">
        <v>58</v>
      </c>
      <c r="F2846" s="430" t="s">
        <v>3499</v>
      </c>
      <c r="G2846" s="300" t="str">
        <f t="shared" si="92"/>
        <v>MoetPfalz</v>
      </c>
    </row>
    <row r="2847" spans="1:7" ht="12" customHeight="1">
      <c r="A2847" s="298">
        <v>36521</v>
      </c>
      <c r="B2847" s="299" t="s">
        <v>3511</v>
      </c>
      <c r="C2847" s="299">
        <v>10</v>
      </c>
      <c r="D2847" s="299">
        <f t="shared" si="91"/>
        <v>12</v>
      </c>
      <c r="E2847" s="299">
        <v>61</v>
      </c>
      <c r="F2847" s="430" t="s">
        <v>3499</v>
      </c>
      <c r="G2847" s="300" t="str">
        <f t="shared" si="92"/>
        <v>MoetPfalz</v>
      </c>
    </row>
    <row r="2848" spans="1:7" ht="12" customHeight="1">
      <c r="A2848" s="298">
        <v>36524</v>
      </c>
      <c r="B2848" s="299" t="s">
        <v>3511</v>
      </c>
      <c r="C2848" s="299">
        <v>70</v>
      </c>
      <c r="D2848" s="299">
        <f t="shared" si="91"/>
        <v>12</v>
      </c>
      <c r="E2848" s="299">
        <v>56</v>
      </c>
      <c r="F2848" s="430" t="s">
        <v>3499</v>
      </c>
      <c r="G2848" s="300" t="str">
        <f t="shared" si="92"/>
        <v>MoetPfalz</v>
      </c>
    </row>
    <row r="2849" spans="1:7" ht="12" customHeight="1">
      <c r="A2849" s="298">
        <v>36194</v>
      </c>
      <c r="B2849" s="299" t="s">
        <v>3511</v>
      </c>
      <c r="C2849" s="299">
        <v>80</v>
      </c>
      <c r="D2849" s="299">
        <f t="shared" si="91"/>
        <v>2</v>
      </c>
      <c r="E2849" s="299">
        <v>59</v>
      </c>
      <c r="F2849" s="430" t="s">
        <v>3500</v>
      </c>
      <c r="G2849" s="300" t="str">
        <f t="shared" si="92"/>
        <v>MoetSaarland</v>
      </c>
    </row>
    <row r="2850" spans="1:7" ht="12" customHeight="1">
      <c r="A2850" s="298">
        <v>36198</v>
      </c>
      <c r="B2850" s="299" t="s">
        <v>3511</v>
      </c>
      <c r="C2850" s="299">
        <v>20</v>
      </c>
      <c r="D2850" s="299">
        <f t="shared" si="91"/>
        <v>2</v>
      </c>
      <c r="E2850" s="299">
        <v>58</v>
      </c>
      <c r="F2850" s="430" t="s">
        <v>3500</v>
      </c>
      <c r="G2850" s="300" t="str">
        <f t="shared" si="92"/>
        <v>MoetSaarland</v>
      </c>
    </row>
    <row r="2851" spans="1:7" ht="12" customHeight="1">
      <c r="A2851" s="298">
        <v>36209</v>
      </c>
      <c r="B2851" s="299" t="s">
        <v>3511</v>
      </c>
      <c r="C2851" s="299">
        <v>60</v>
      </c>
      <c r="D2851" s="299">
        <f t="shared" si="91"/>
        <v>2</v>
      </c>
      <c r="E2851" s="299">
        <v>60</v>
      </c>
      <c r="F2851" s="430" t="s">
        <v>3500</v>
      </c>
      <c r="G2851" s="300" t="str">
        <f t="shared" si="92"/>
        <v>MoetSaarland</v>
      </c>
    </row>
    <row r="2852" spans="1:7" ht="12" customHeight="1">
      <c r="A2852" s="298">
        <v>36210</v>
      </c>
      <c r="B2852" s="299" t="s">
        <v>3511</v>
      </c>
      <c r="C2852" s="299">
        <v>100</v>
      </c>
      <c r="D2852" s="299">
        <f t="shared" si="91"/>
        <v>2</v>
      </c>
      <c r="E2852" s="299">
        <v>59</v>
      </c>
      <c r="F2852" s="430" t="s">
        <v>3500</v>
      </c>
      <c r="G2852" s="300" t="str">
        <f t="shared" si="92"/>
        <v>MoetSaarland</v>
      </c>
    </row>
    <row r="2853" spans="1:7" ht="12" customHeight="1">
      <c r="A2853" s="298">
        <v>36214</v>
      </c>
      <c r="B2853" s="299" t="s">
        <v>3511</v>
      </c>
      <c r="C2853" s="299">
        <v>120</v>
      </c>
      <c r="D2853" s="299">
        <f t="shared" si="91"/>
        <v>2</v>
      </c>
      <c r="E2853" s="299">
        <v>58</v>
      </c>
      <c r="F2853" s="430" t="s">
        <v>3500</v>
      </c>
      <c r="G2853" s="300" t="str">
        <f t="shared" si="92"/>
        <v>MoetSaarland</v>
      </c>
    </row>
    <row r="2854" spans="1:7" ht="12" customHeight="1">
      <c r="A2854" s="298">
        <v>36234</v>
      </c>
      <c r="B2854" s="299" t="s">
        <v>3511</v>
      </c>
      <c r="C2854" s="299">
        <v>10</v>
      </c>
      <c r="D2854" s="299">
        <f t="shared" si="91"/>
        <v>3</v>
      </c>
      <c r="E2854" s="299">
        <v>58</v>
      </c>
      <c r="F2854" s="430" t="s">
        <v>3500</v>
      </c>
      <c r="G2854" s="300" t="str">
        <f t="shared" si="92"/>
        <v>MoetSaarland</v>
      </c>
    </row>
    <row r="2855" spans="1:7" ht="12" customHeight="1">
      <c r="A2855" s="298">
        <v>36235</v>
      </c>
      <c r="B2855" s="299" t="s">
        <v>3511</v>
      </c>
      <c r="C2855" s="299">
        <v>70</v>
      </c>
      <c r="D2855" s="299">
        <f t="shared" si="91"/>
        <v>3</v>
      </c>
      <c r="E2855" s="299">
        <v>55</v>
      </c>
      <c r="F2855" s="430" t="s">
        <v>3500</v>
      </c>
      <c r="G2855" s="300" t="str">
        <f t="shared" si="92"/>
        <v>MoetSaarland</v>
      </c>
    </row>
    <row r="2856" spans="1:7" ht="12" customHeight="1">
      <c r="A2856" s="298">
        <v>36236</v>
      </c>
      <c r="B2856" s="299" t="s">
        <v>3511</v>
      </c>
      <c r="C2856" s="299">
        <v>90</v>
      </c>
      <c r="D2856" s="299">
        <f t="shared" si="91"/>
        <v>3</v>
      </c>
      <c r="E2856" s="299">
        <v>55</v>
      </c>
      <c r="F2856" s="430" t="s">
        <v>3500</v>
      </c>
      <c r="G2856" s="300" t="str">
        <f t="shared" si="92"/>
        <v>MoetSaarland</v>
      </c>
    </row>
    <row r="2857" spans="1:7" ht="12" customHeight="1">
      <c r="A2857" s="298">
        <v>36284</v>
      </c>
      <c r="B2857" s="299" t="s">
        <v>3511</v>
      </c>
      <c r="C2857" s="299">
        <v>10</v>
      </c>
      <c r="D2857" s="299">
        <f t="shared" si="91"/>
        <v>5</v>
      </c>
      <c r="E2857" s="299">
        <v>56</v>
      </c>
      <c r="F2857" s="430" t="s">
        <v>3500</v>
      </c>
      <c r="G2857" s="300" t="str">
        <f t="shared" si="92"/>
        <v>MoetSaarland</v>
      </c>
    </row>
    <row r="2858" spans="1:7" ht="12" customHeight="1">
      <c r="A2858" s="298">
        <v>36295</v>
      </c>
      <c r="B2858" s="299" t="s">
        <v>3511</v>
      </c>
      <c r="C2858" s="299">
        <v>80</v>
      </c>
      <c r="D2858" s="299">
        <f t="shared" si="91"/>
        <v>5</v>
      </c>
      <c r="E2858" s="299">
        <v>55</v>
      </c>
      <c r="F2858" s="430" t="s">
        <v>3500</v>
      </c>
      <c r="G2858" s="300" t="str">
        <f t="shared" si="92"/>
        <v>MoetSaarland</v>
      </c>
    </row>
    <row r="2859" spans="1:7" ht="12" customHeight="1">
      <c r="A2859" s="298">
        <v>36297</v>
      </c>
      <c r="B2859" s="299" t="s">
        <v>3511</v>
      </c>
      <c r="C2859" s="299">
        <v>120</v>
      </c>
      <c r="D2859" s="299">
        <f t="shared" si="91"/>
        <v>5</v>
      </c>
      <c r="E2859" s="299">
        <v>64</v>
      </c>
      <c r="F2859" s="430" t="s">
        <v>3500</v>
      </c>
      <c r="G2859" s="300" t="str">
        <f t="shared" si="92"/>
        <v>MoetSaarland</v>
      </c>
    </row>
    <row r="2860" spans="1:7" ht="12" customHeight="1">
      <c r="A2860" s="298">
        <v>36300</v>
      </c>
      <c r="B2860" s="299" t="s">
        <v>3511</v>
      </c>
      <c r="C2860" s="299">
        <v>80</v>
      </c>
      <c r="D2860" s="299">
        <f t="shared" si="91"/>
        <v>5</v>
      </c>
      <c r="E2860" s="299">
        <v>64</v>
      </c>
      <c r="F2860" s="430" t="s">
        <v>3500</v>
      </c>
      <c r="G2860" s="300" t="str">
        <f t="shared" si="92"/>
        <v>MoetSaarland</v>
      </c>
    </row>
    <row r="2861" spans="1:7" ht="12" customHeight="1">
      <c r="A2861" s="298">
        <v>36305</v>
      </c>
      <c r="B2861" s="299" t="s">
        <v>3511</v>
      </c>
      <c r="C2861" s="299">
        <v>60</v>
      </c>
      <c r="D2861" s="299">
        <f t="shared" si="91"/>
        <v>5</v>
      </c>
      <c r="E2861" s="299">
        <v>60</v>
      </c>
      <c r="F2861" s="430" t="s">
        <v>3500</v>
      </c>
      <c r="G2861" s="300" t="str">
        <f t="shared" si="92"/>
        <v>MoetSaarland</v>
      </c>
    </row>
    <row r="2862" spans="1:7" ht="12" customHeight="1">
      <c r="A2862" s="298">
        <v>36354</v>
      </c>
      <c r="B2862" s="299" t="s">
        <v>3511</v>
      </c>
      <c r="C2862" s="299">
        <v>40</v>
      </c>
      <c r="D2862" s="299">
        <f t="shared" si="91"/>
        <v>7</v>
      </c>
      <c r="E2862" s="299">
        <v>60</v>
      </c>
      <c r="F2862" s="430" t="s">
        <v>3500</v>
      </c>
      <c r="G2862" s="300" t="str">
        <f t="shared" si="92"/>
        <v>MoetSaarland</v>
      </c>
    </row>
    <row r="2863" spans="1:7" ht="12" customHeight="1">
      <c r="A2863" s="298">
        <v>36400</v>
      </c>
      <c r="B2863" s="299" t="s">
        <v>3511</v>
      </c>
      <c r="C2863" s="299">
        <v>50</v>
      </c>
      <c r="D2863" s="299">
        <f t="shared" si="91"/>
        <v>8</v>
      </c>
      <c r="E2863" s="299">
        <v>55</v>
      </c>
      <c r="F2863" s="430" t="s">
        <v>3500</v>
      </c>
      <c r="G2863" s="300" t="str">
        <f t="shared" si="92"/>
        <v>MoetSaarland</v>
      </c>
    </row>
    <row r="2864" spans="1:7" ht="12" customHeight="1">
      <c r="A2864" s="298">
        <v>36432</v>
      </c>
      <c r="B2864" s="299" t="s">
        <v>3511</v>
      </c>
      <c r="C2864" s="299">
        <v>40</v>
      </c>
      <c r="D2864" s="299">
        <f t="shared" si="91"/>
        <v>9</v>
      </c>
      <c r="E2864" s="299">
        <v>59</v>
      </c>
      <c r="F2864" s="430" t="s">
        <v>3500</v>
      </c>
      <c r="G2864" s="300" t="str">
        <f t="shared" si="92"/>
        <v>MoetSaarland</v>
      </c>
    </row>
    <row r="2865" spans="1:7" ht="12" customHeight="1">
      <c r="A2865" s="298">
        <v>36442</v>
      </c>
      <c r="B2865" s="299" t="s">
        <v>3511</v>
      </c>
      <c r="C2865" s="299">
        <v>80</v>
      </c>
      <c r="D2865" s="299">
        <f t="shared" si="91"/>
        <v>10</v>
      </c>
      <c r="E2865" s="299">
        <v>64</v>
      </c>
      <c r="F2865" s="430" t="s">
        <v>3500</v>
      </c>
      <c r="G2865" s="300" t="str">
        <f t="shared" si="92"/>
        <v>MoetSaarland</v>
      </c>
    </row>
    <row r="2866" spans="1:7" ht="12" customHeight="1">
      <c r="A2866" s="298">
        <v>36454</v>
      </c>
      <c r="B2866" s="299" t="s">
        <v>3511</v>
      </c>
      <c r="C2866" s="299">
        <v>40</v>
      </c>
      <c r="D2866" s="299">
        <f t="shared" si="91"/>
        <v>10</v>
      </c>
      <c r="E2866" s="299">
        <v>56</v>
      </c>
      <c r="F2866" s="430" t="s">
        <v>3500</v>
      </c>
      <c r="G2866" s="300" t="str">
        <f t="shared" si="92"/>
        <v>MoetSaarland</v>
      </c>
    </row>
    <row r="2867" spans="1:7" ht="12" customHeight="1">
      <c r="A2867" s="298">
        <v>36455</v>
      </c>
      <c r="B2867" s="299" t="s">
        <v>3511</v>
      </c>
      <c r="C2867" s="299">
        <v>80</v>
      </c>
      <c r="D2867" s="299">
        <f t="shared" si="91"/>
        <v>10</v>
      </c>
      <c r="E2867" s="299">
        <v>55</v>
      </c>
      <c r="F2867" s="430" t="s">
        <v>3500</v>
      </c>
      <c r="G2867" s="300" t="str">
        <f t="shared" si="92"/>
        <v>MoetSaarland</v>
      </c>
    </row>
    <row r="2868" spans="1:7" ht="12" customHeight="1">
      <c r="A2868" s="298">
        <v>36499</v>
      </c>
      <c r="B2868" s="299" t="s">
        <v>3511</v>
      </c>
      <c r="C2868" s="299">
        <v>60</v>
      </c>
      <c r="D2868" s="299">
        <f t="shared" si="91"/>
        <v>12</v>
      </c>
      <c r="E2868" s="299">
        <v>59</v>
      </c>
      <c r="F2868" s="430" t="s">
        <v>3500</v>
      </c>
      <c r="G2868" s="300" t="str">
        <f t="shared" si="92"/>
        <v>MoetSaarland</v>
      </c>
    </row>
    <row r="2869" spans="1:7" ht="12" customHeight="1">
      <c r="A2869" s="298">
        <v>36168</v>
      </c>
      <c r="B2869" s="299" t="s">
        <v>3512</v>
      </c>
      <c r="C2869" s="299">
        <v>100</v>
      </c>
      <c r="D2869" s="299">
        <f t="shared" si="91"/>
        <v>1</v>
      </c>
      <c r="E2869" s="299">
        <v>55</v>
      </c>
      <c r="F2869" s="430" t="s">
        <v>3504</v>
      </c>
      <c r="G2869" s="300" t="str">
        <f t="shared" si="92"/>
        <v>MummBayern</v>
      </c>
    </row>
    <row r="2870" spans="1:7" ht="12" customHeight="1">
      <c r="A2870" s="298">
        <v>36170</v>
      </c>
      <c r="B2870" s="299" t="s">
        <v>3512</v>
      </c>
      <c r="C2870" s="299">
        <v>120</v>
      </c>
      <c r="D2870" s="299">
        <f t="shared" si="91"/>
        <v>1</v>
      </c>
      <c r="E2870" s="299">
        <v>55</v>
      </c>
      <c r="F2870" s="430" t="s">
        <v>3504</v>
      </c>
      <c r="G2870" s="300" t="str">
        <f t="shared" si="92"/>
        <v>MummBayern</v>
      </c>
    </row>
    <row r="2871" spans="1:7" ht="12" customHeight="1">
      <c r="A2871" s="298">
        <v>36292</v>
      </c>
      <c r="B2871" s="299" t="s">
        <v>3512</v>
      </c>
      <c r="C2871" s="299">
        <v>80</v>
      </c>
      <c r="D2871" s="299">
        <f t="shared" si="91"/>
        <v>5</v>
      </c>
      <c r="E2871" s="299">
        <v>55</v>
      </c>
      <c r="F2871" s="430" t="s">
        <v>3504</v>
      </c>
      <c r="G2871" s="300" t="str">
        <f t="shared" si="92"/>
        <v>MummBayern</v>
      </c>
    </row>
    <row r="2872" spans="1:7" ht="12" customHeight="1">
      <c r="A2872" s="298">
        <v>36300</v>
      </c>
      <c r="B2872" s="299" t="s">
        <v>3512</v>
      </c>
      <c r="C2872" s="299">
        <v>120</v>
      </c>
      <c r="D2872" s="299">
        <f t="shared" si="91"/>
        <v>5</v>
      </c>
      <c r="E2872" s="299">
        <v>61</v>
      </c>
      <c r="F2872" s="430" t="s">
        <v>3504</v>
      </c>
      <c r="G2872" s="300" t="str">
        <f t="shared" si="92"/>
        <v>MummBayern</v>
      </c>
    </row>
    <row r="2873" spans="1:7" ht="12" customHeight="1">
      <c r="A2873" s="298">
        <v>36308</v>
      </c>
      <c r="B2873" s="299" t="s">
        <v>3512</v>
      </c>
      <c r="C2873" s="299">
        <v>90</v>
      </c>
      <c r="D2873" s="299">
        <f t="shared" si="91"/>
        <v>5</v>
      </c>
      <c r="E2873" s="299">
        <v>61</v>
      </c>
      <c r="F2873" s="430" t="s">
        <v>3504</v>
      </c>
      <c r="G2873" s="300" t="str">
        <f t="shared" si="92"/>
        <v>MummBayern</v>
      </c>
    </row>
    <row r="2874" spans="1:7" ht="12" customHeight="1">
      <c r="A2874" s="298">
        <v>36309</v>
      </c>
      <c r="B2874" s="299" t="s">
        <v>3512</v>
      </c>
      <c r="C2874" s="299">
        <v>100</v>
      </c>
      <c r="D2874" s="299">
        <f t="shared" si="91"/>
        <v>5</v>
      </c>
      <c r="E2874" s="299">
        <v>61</v>
      </c>
      <c r="F2874" s="430" t="s">
        <v>3504</v>
      </c>
      <c r="G2874" s="300" t="str">
        <f t="shared" si="92"/>
        <v>MummBayern</v>
      </c>
    </row>
    <row r="2875" spans="1:7" ht="12" customHeight="1">
      <c r="A2875" s="298">
        <v>36317</v>
      </c>
      <c r="B2875" s="299" t="s">
        <v>3512</v>
      </c>
      <c r="C2875" s="299">
        <v>120</v>
      </c>
      <c r="D2875" s="299">
        <f t="shared" si="91"/>
        <v>6</v>
      </c>
      <c r="E2875" s="299">
        <v>55</v>
      </c>
      <c r="F2875" s="430" t="s">
        <v>3504</v>
      </c>
      <c r="G2875" s="300" t="str">
        <f t="shared" si="92"/>
        <v>MummBayern</v>
      </c>
    </row>
    <row r="2876" spans="1:7" ht="12" customHeight="1">
      <c r="A2876" s="298">
        <v>36334</v>
      </c>
      <c r="B2876" s="299" t="s">
        <v>3512</v>
      </c>
      <c r="C2876" s="299">
        <v>10</v>
      </c>
      <c r="D2876" s="299">
        <f t="shared" si="91"/>
        <v>6</v>
      </c>
      <c r="E2876" s="299">
        <v>58</v>
      </c>
      <c r="F2876" s="430" t="s">
        <v>3504</v>
      </c>
      <c r="G2876" s="300" t="str">
        <f t="shared" si="92"/>
        <v>MummBayern</v>
      </c>
    </row>
    <row r="2877" spans="1:7" ht="12" customHeight="1">
      <c r="A2877" s="298">
        <v>36378</v>
      </c>
      <c r="B2877" s="299" t="s">
        <v>3512</v>
      </c>
      <c r="C2877" s="299">
        <v>90</v>
      </c>
      <c r="D2877" s="299">
        <f t="shared" si="91"/>
        <v>8</v>
      </c>
      <c r="E2877" s="299">
        <v>60</v>
      </c>
      <c r="F2877" s="430" t="s">
        <v>3504</v>
      </c>
      <c r="G2877" s="300" t="str">
        <f t="shared" si="92"/>
        <v>MummBayern</v>
      </c>
    </row>
    <row r="2878" spans="1:7" ht="12" customHeight="1">
      <c r="A2878" s="298">
        <v>36381</v>
      </c>
      <c r="B2878" s="299" t="s">
        <v>3512</v>
      </c>
      <c r="C2878" s="299">
        <v>20</v>
      </c>
      <c r="D2878" s="299">
        <f t="shared" si="91"/>
        <v>8</v>
      </c>
      <c r="E2878" s="299">
        <v>56</v>
      </c>
      <c r="F2878" s="430" t="s">
        <v>3504</v>
      </c>
      <c r="G2878" s="300" t="str">
        <f t="shared" si="92"/>
        <v>MummBayern</v>
      </c>
    </row>
    <row r="2879" spans="1:7" ht="12" customHeight="1">
      <c r="A2879" s="298">
        <v>36399</v>
      </c>
      <c r="B2879" s="299" t="s">
        <v>3512</v>
      </c>
      <c r="C2879" s="299">
        <v>50</v>
      </c>
      <c r="D2879" s="299">
        <f t="shared" si="91"/>
        <v>8</v>
      </c>
      <c r="E2879" s="299">
        <v>60</v>
      </c>
      <c r="F2879" s="430" t="s">
        <v>3504</v>
      </c>
      <c r="G2879" s="300" t="str">
        <f t="shared" si="92"/>
        <v>MummBayern</v>
      </c>
    </row>
    <row r="2880" spans="1:7" ht="12" customHeight="1">
      <c r="A2880" s="298">
        <v>36408</v>
      </c>
      <c r="B2880" s="299" t="s">
        <v>3512</v>
      </c>
      <c r="C2880" s="299">
        <v>90</v>
      </c>
      <c r="D2880" s="299">
        <f t="shared" si="91"/>
        <v>9</v>
      </c>
      <c r="E2880" s="299">
        <v>60</v>
      </c>
      <c r="F2880" s="430" t="s">
        <v>3504</v>
      </c>
      <c r="G2880" s="300" t="str">
        <f t="shared" si="92"/>
        <v>MummBayern</v>
      </c>
    </row>
    <row r="2881" spans="1:7" ht="12" customHeight="1">
      <c r="A2881" s="298">
        <v>36429</v>
      </c>
      <c r="B2881" s="299" t="s">
        <v>3512</v>
      </c>
      <c r="C2881" s="299">
        <v>80</v>
      </c>
      <c r="D2881" s="299">
        <f t="shared" si="91"/>
        <v>9</v>
      </c>
      <c r="E2881" s="299">
        <v>55</v>
      </c>
      <c r="F2881" s="430" t="s">
        <v>3504</v>
      </c>
      <c r="G2881" s="300" t="str">
        <f t="shared" si="92"/>
        <v>MummBayern</v>
      </c>
    </row>
    <row r="2882" spans="1:7" ht="12" customHeight="1">
      <c r="A2882" s="298">
        <v>36445</v>
      </c>
      <c r="B2882" s="299" t="s">
        <v>3512</v>
      </c>
      <c r="C2882" s="299">
        <v>50</v>
      </c>
      <c r="D2882" s="299">
        <f t="shared" si="91"/>
        <v>10</v>
      </c>
      <c r="E2882" s="299">
        <v>60</v>
      </c>
      <c r="F2882" s="430" t="s">
        <v>3504</v>
      </c>
      <c r="G2882" s="300" t="str">
        <f t="shared" si="92"/>
        <v>MummBayern</v>
      </c>
    </row>
    <row r="2883" spans="1:7" ht="12" customHeight="1">
      <c r="A2883" s="298">
        <v>36474</v>
      </c>
      <c r="B2883" s="299" t="s">
        <v>3512</v>
      </c>
      <c r="C2883" s="299">
        <v>20</v>
      </c>
      <c r="D2883" s="299">
        <f t="shared" si="91"/>
        <v>11</v>
      </c>
      <c r="E2883" s="299">
        <v>60</v>
      </c>
      <c r="F2883" s="430" t="s">
        <v>3504</v>
      </c>
      <c r="G2883" s="300" t="str">
        <f t="shared" si="92"/>
        <v>MummBayern</v>
      </c>
    </row>
    <row r="2884" spans="1:7" ht="12" customHeight="1">
      <c r="A2884" s="298">
        <v>36476</v>
      </c>
      <c r="B2884" s="299" t="s">
        <v>3512</v>
      </c>
      <c r="C2884" s="299">
        <v>50</v>
      </c>
      <c r="D2884" s="299">
        <f t="shared" si="91"/>
        <v>11</v>
      </c>
      <c r="E2884" s="299">
        <v>60</v>
      </c>
      <c r="F2884" s="430" t="s">
        <v>3504</v>
      </c>
      <c r="G2884" s="300" t="str">
        <f t="shared" si="92"/>
        <v>MummBayern</v>
      </c>
    </row>
    <row r="2885" spans="1:7" ht="12" customHeight="1">
      <c r="A2885" s="298">
        <v>36493</v>
      </c>
      <c r="B2885" s="299" t="s">
        <v>3512</v>
      </c>
      <c r="C2885" s="299">
        <v>20</v>
      </c>
      <c r="D2885" s="299">
        <f t="shared" si="91"/>
        <v>11</v>
      </c>
      <c r="E2885" s="299">
        <v>55</v>
      </c>
      <c r="F2885" s="430" t="s">
        <v>3504</v>
      </c>
      <c r="G2885" s="300" t="str">
        <f t="shared" si="92"/>
        <v>MummBayern</v>
      </c>
    </row>
    <row r="2886" spans="1:7" ht="12" customHeight="1">
      <c r="A2886" s="298">
        <v>36495</v>
      </c>
      <c r="B2886" s="299" t="s">
        <v>3512</v>
      </c>
      <c r="C2886" s="299">
        <v>10</v>
      </c>
      <c r="D2886" s="299">
        <f t="shared" ref="D2886:D2949" si="93">MONTH(A2886)</f>
        <v>12</v>
      </c>
      <c r="E2886" s="299">
        <v>55</v>
      </c>
      <c r="F2886" s="430" t="s">
        <v>3504</v>
      </c>
      <c r="G2886" s="300" t="str">
        <f t="shared" ref="G2886:G2949" si="94">B2886&amp;F2886</f>
        <v>MummBayern</v>
      </c>
    </row>
    <row r="2887" spans="1:7" ht="12" customHeight="1">
      <c r="A2887" s="298">
        <v>36331</v>
      </c>
      <c r="B2887" s="299" t="s">
        <v>3512</v>
      </c>
      <c r="C2887" s="299">
        <v>100</v>
      </c>
      <c r="D2887" s="299">
        <f t="shared" si="93"/>
        <v>6</v>
      </c>
      <c r="E2887" s="299">
        <v>56</v>
      </c>
      <c r="F2887" s="430" t="s">
        <v>3501</v>
      </c>
      <c r="G2887" s="300" t="str">
        <f t="shared" si="94"/>
        <v>MummBW</v>
      </c>
    </row>
    <row r="2888" spans="1:7" ht="12" customHeight="1">
      <c r="A2888" s="298">
        <v>36333</v>
      </c>
      <c r="B2888" s="299" t="s">
        <v>3512</v>
      </c>
      <c r="C2888" s="299">
        <v>50</v>
      </c>
      <c r="D2888" s="299">
        <f t="shared" si="93"/>
        <v>6</v>
      </c>
      <c r="E2888" s="299">
        <v>56</v>
      </c>
      <c r="F2888" s="430" t="s">
        <v>3501</v>
      </c>
      <c r="G2888" s="300" t="str">
        <f t="shared" si="94"/>
        <v>MummBW</v>
      </c>
    </row>
    <row r="2889" spans="1:7" ht="12" customHeight="1">
      <c r="A2889" s="298">
        <v>36287</v>
      </c>
      <c r="B2889" s="299" t="s">
        <v>3512</v>
      </c>
      <c r="C2889" s="299">
        <v>60</v>
      </c>
      <c r="D2889" s="299">
        <f t="shared" si="93"/>
        <v>5</v>
      </c>
      <c r="E2889" s="299">
        <v>55</v>
      </c>
      <c r="F2889" s="430" t="s">
        <v>3502</v>
      </c>
      <c r="G2889" s="300" t="str">
        <f t="shared" si="94"/>
        <v>MummHessen</v>
      </c>
    </row>
    <row r="2890" spans="1:7" ht="12" customHeight="1">
      <c r="A2890" s="298">
        <v>36340</v>
      </c>
      <c r="B2890" s="299" t="s">
        <v>3512</v>
      </c>
      <c r="C2890" s="299">
        <v>10</v>
      </c>
      <c r="D2890" s="299">
        <f t="shared" si="93"/>
        <v>6</v>
      </c>
      <c r="E2890" s="299">
        <v>56</v>
      </c>
      <c r="F2890" s="430" t="s">
        <v>3502</v>
      </c>
      <c r="G2890" s="300" t="str">
        <f t="shared" si="94"/>
        <v>MummHessen</v>
      </c>
    </row>
    <row r="2891" spans="1:7" ht="12" customHeight="1">
      <c r="A2891" s="298">
        <v>36487</v>
      </c>
      <c r="B2891" s="299" t="s">
        <v>3512</v>
      </c>
      <c r="C2891" s="299">
        <v>40</v>
      </c>
      <c r="D2891" s="299">
        <f t="shared" si="93"/>
        <v>11</v>
      </c>
      <c r="E2891" s="299">
        <v>59</v>
      </c>
      <c r="F2891" s="430" t="s">
        <v>3502</v>
      </c>
      <c r="G2891" s="300" t="str">
        <f t="shared" si="94"/>
        <v>MummHessen</v>
      </c>
    </row>
    <row r="2892" spans="1:7" ht="12" customHeight="1">
      <c r="A2892" s="298">
        <v>36300</v>
      </c>
      <c r="B2892" s="299" t="s">
        <v>3512</v>
      </c>
      <c r="C2892" s="299">
        <v>40</v>
      </c>
      <c r="D2892" s="299">
        <f t="shared" si="93"/>
        <v>5</v>
      </c>
      <c r="E2892" s="299">
        <v>60</v>
      </c>
      <c r="F2892" s="430" t="s">
        <v>3503</v>
      </c>
      <c r="G2892" s="300" t="str">
        <f t="shared" si="94"/>
        <v>MummHolstein</v>
      </c>
    </row>
    <row r="2893" spans="1:7" ht="12" customHeight="1">
      <c r="A2893" s="298">
        <v>36301</v>
      </c>
      <c r="B2893" s="299" t="s">
        <v>3512</v>
      </c>
      <c r="C2893" s="299">
        <v>10</v>
      </c>
      <c r="D2893" s="299">
        <f t="shared" si="93"/>
        <v>5</v>
      </c>
      <c r="E2893" s="299">
        <v>60</v>
      </c>
      <c r="F2893" s="430" t="s">
        <v>3503</v>
      </c>
      <c r="G2893" s="300" t="str">
        <f t="shared" si="94"/>
        <v>MummHolstein</v>
      </c>
    </row>
    <row r="2894" spans="1:7" ht="12" customHeight="1">
      <c r="A2894" s="298">
        <v>36306</v>
      </c>
      <c r="B2894" s="299" t="s">
        <v>3512</v>
      </c>
      <c r="C2894" s="299">
        <v>20</v>
      </c>
      <c r="D2894" s="299">
        <f t="shared" si="93"/>
        <v>5</v>
      </c>
      <c r="E2894" s="299">
        <v>60</v>
      </c>
      <c r="F2894" s="430" t="s">
        <v>3503</v>
      </c>
      <c r="G2894" s="300" t="str">
        <f t="shared" si="94"/>
        <v>MummHolstein</v>
      </c>
    </row>
    <row r="2895" spans="1:7" ht="12" customHeight="1">
      <c r="A2895" s="298">
        <v>36166</v>
      </c>
      <c r="B2895" s="299" t="s">
        <v>3512</v>
      </c>
      <c r="C2895" s="299">
        <v>50</v>
      </c>
      <c r="D2895" s="299">
        <f t="shared" si="93"/>
        <v>1</v>
      </c>
      <c r="E2895" s="299">
        <v>60</v>
      </c>
      <c r="F2895" s="430" t="s">
        <v>3497</v>
      </c>
      <c r="G2895" s="300" t="str">
        <f t="shared" si="94"/>
        <v>MummNRW</v>
      </c>
    </row>
    <row r="2896" spans="1:7" ht="12" customHeight="1">
      <c r="A2896" s="298">
        <v>36199</v>
      </c>
      <c r="B2896" s="299" t="s">
        <v>3512</v>
      </c>
      <c r="C2896" s="299">
        <v>40</v>
      </c>
      <c r="D2896" s="299">
        <f t="shared" si="93"/>
        <v>2</v>
      </c>
      <c r="E2896" s="299">
        <v>61</v>
      </c>
      <c r="F2896" s="430" t="s">
        <v>3497</v>
      </c>
      <c r="G2896" s="300" t="str">
        <f t="shared" si="94"/>
        <v>MummNRW</v>
      </c>
    </row>
    <row r="2897" spans="1:7" ht="12" customHeight="1">
      <c r="A2897" s="298">
        <v>36225</v>
      </c>
      <c r="B2897" s="299" t="s">
        <v>3512</v>
      </c>
      <c r="C2897" s="299">
        <v>50</v>
      </c>
      <c r="D2897" s="299">
        <f t="shared" si="93"/>
        <v>3</v>
      </c>
      <c r="E2897" s="299">
        <v>61</v>
      </c>
      <c r="F2897" s="430" t="s">
        <v>3497</v>
      </c>
      <c r="G2897" s="300" t="str">
        <f t="shared" si="94"/>
        <v>MummNRW</v>
      </c>
    </row>
    <row r="2898" spans="1:7" ht="12" customHeight="1">
      <c r="A2898" s="298">
        <v>36231</v>
      </c>
      <c r="B2898" s="299" t="s">
        <v>3512</v>
      </c>
      <c r="C2898" s="299">
        <v>120</v>
      </c>
      <c r="D2898" s="299">
        <f t="shared" si="93"/>
        <v>3</v>
      </c>
      <c r="E2898" s="299">
        <v>61</v>
      </c>
      <c r="F2898" s="430" t="s">
        <v>3497</v>
      </c>
      <c r="G2898" s="300" t="str">
        <f t="shared" si="94"/>
        <v>MummNRW</v>
      </c>
    </row>
    <row r="2899" spans="1:7" ht="12" customHeight="1">
      <c r="A2899" s="298">
        <v>36233</v>
      </c>
      <c r="B2899" s="299" t="s">
        <v>3512</v>
      </c>
      <c r="C2899" s="299">
        <v>40</v>
      </c>
      <c r="D2899" s="299">
        <f t="shared" si="93"/>
        <v>3</v>
      </c>
      <c r="E2899" s="299">
        <v>61</v>
      </c>
      <c r="F2899" s="430" t="s">
        <v>3497</v>
      </c>
      <c r="G2899" s="300" t="str">
        <f t="shared" si="94"/>
        <v>MummNRW</v>
      </c>
    </row>
    <row r="2900" spans="1:7" ht="12" customHeight="1">
      <c r="A2900" s="298">
        <v>36252</v>
      </c>
      <c r="B2900" s="299" t="s">
        <v>3512</v>
      </c>
      <c r="C2900" s="299">
        <v>90</v>
      </c>
      <c r="D2900" s="299">
        <f t="shared" si="93"/>
        <v>4</v>
      </c>
      <c r="E2900" s="299">
        <v>61</v>
      </c>
      <c r="F2900" s="430" t="s">
        <v>3497</v>
      </c>
      <c r="G2900" s="300" t="str">
        <f t="shared" si="94"/>
        <v>MummNRW</v>
      </c>
    </row>
    <row r="2901" spans="1:7" ht="12" customHeight="1">
      <c r="A2901" s="298">
        <v>36252</v>
      </c>
      <c r="B2901" s="299" t="s">
        <v>3512</v>
      </c>
      <c r="C2901" s="299">
        <v>100</v>
      </c>
      <c r="D2901" s="299">
        <f t="shared" si="93"/>
        <v>4</v>
      </c>
      <c r="E2901" s="299">
        <v>60</v>
      </c>
      <c r="F2901" s="430" t="s">
        <v>3497</v>
      </c>
      <c r="G2901" s="300" t="str">
        <f t="shared" si="94"/>
        <v>MummNRW</v>
      </c>
    </row>
    <row r="2902" spans="1:7" ht="12" customHeight="1">
      <c r="A2902" s="298">
        <v>36255</v>
      </c>
      <c r="B2902" s="299" t="s">
        <v>3512</v>
      </c>
      <c r="C2902" s="299">
        <v>50</v>
      </c>
      <c r="D2902" s="299">
        <f t="shared" si="93"/>
        <v>4</v>
      </c>
      <c r="E2902" s="299">
        <v>59</v>
      </c>
      <c r="F2902" s="430" t="s">
        <v>3497</v>
      </c>
      <c r="G2902" s="300" t="str">
        <f t="shared" si="94"/>
        <v>MummNRW</v>
      </c>
    </row>
    <row r="2903" spans="1:7" ht="12" customHeight="1">
      <c r="A2903" s="298">
        <v>36288</v>
      </c>
      <c r="B2903" s="299" t="s">
        <v>3512</v>
      </c>
      <c r="C2903" s="299">
        <v>70</v>
      </c>
      <c r="D2903" s="299">
        <f t="shared" si="93"/>
        <v>5</v>
      </c>
      <c r="E2903" s="299">
        <v>58</v>
      </c>
      <c r="F2903" s="430" t="s">
        <v>3497</v>
      </c>
      <c r="G2903" s="300" t="str">
        <f t="shared" si="94"/>
        <v>MummNRW</v>
      </c>
    </row>
    <row r="2904" spans="1:7" ht="12" customHeight="1">
      <c r="A2904" s="298">
        <v>36290</v>
      </c>
      <c r="B2904" s="299" t="s">
        <v>3512</v>
      </c>
      <c r="C2904" s="299">
        <v>50</v>
      </c>
      <c r="D2904" s="299">
        <f t="shared" si="93"/>
        <v>5</v>
      </c>
      <c r="E2904" s="299">
        <v>57</v>
      </c>
      <c r="F2904" s="430" t="s">
        <v>3497</v>
      </c>
      <c r="G2904" s="300" t="str">
        <f t="shared" si="94"/>
        <v>MummNRW</v>
      </c>
    </row>
    <row r="2905" spans="1:7" ht="12" customHeight="1">
      <c r="A2905" s="298">
        <v>36309</v>
      </c>
      <c r="B2905" s="299" t="s">
        <v>3512</v>
      </c>
      <c r="C2905" s="299">
        <v>80</v>
      </c>
      <c r="D2905" s="299">
        <f t="shared" si="93"/>
        <v>5</v>
      </c>
      <c r="E2905" s="299">
        <v>58</v>
      </c>
      <c r="F2905" s="430" t="s">
        <v>3497</v>
      </c>
      <c r="G2905" s="300" t="str">
        <f t="shared" si="94"/>
        <v>MummNRW</v>
      </c>
    </row>
    <row r="2906" spans="1:7" ht="12" customHeight="1">
      <c r="A2906" s="298">
        <v>36326</v>
      </c>
      <c r="B2906" s="299" t="s">
        <v>3512</v>
      </c>
      <c r="C2906" s="299">
        <v>80</v>
      </c>
      <c r="D2906" s="299">
        <f t="shared" si="93"/>
        <v>6</v>
      </c>
      <c r="E2906" s="299">
        <v>61</v>
      </c>
      <c r="F2906" s="430" t="s">
        <v>3497</v>
      </c>
      <c r="G2906" s="300" t="str">
        <f t="shared" si="94"/>
        <v>MummNRW</v>
      </c>
    </row>
    <row r="2907" spans="1:7" ht="12" customHeight="1">
      <c r="A2907" s="298">
        <v>36329</v>
      </c>
      <c r="B2907" s="299" t="s">
        <v>3512</v>
      </c>
      <c r="C2907" s="299">
        <v>120</v>
      </c>
      <c r="D2907" s="299">
        <f t="shared" si="93"/>
        <v>6</v>
      </c>
      <c r="E2907" s="299">
        <v>61</v>
      </c>
      <c r="F2907" s="430" t="s">
        <v>3497</v>
      </c>
      <c r="G2907" s="300" t="str">
        <f t="shared" si="94"/>
        <v>MummNRW</v>
      </c>
    </row>
    <row r="2908" spans="1:7" ht="12" customHeight="1">
      <c r="A2908" s="298">
        <v>36342</v>
      </c>
      <c r="B2908" s="299" t="s">
        <v>3512</v>
      </c>
      <c r="C2908" s="299">
        <v>10</v>
      </c>
      <c r="D2908" s="299">
        <f t="shared" si="93"/>
        <v>7</v>
      </c>
      <c r="E2908" s="299">
        <v>58</v>
      </c>
      <c r="F2908" s="430" t="s">
        <v>3497</v>
      </c>
      <c r="G2908" s="300" t="str">
        <f t="shared" si="94"/>
        <v>MummNRW</v>
      </c>
    </row>
    <row r="2909" spans="1:7" ht="12" customHeight="1">
      <c r="A2909" s="298">
        <v>36344</v>
      </c>
      <c r="B2909" s="299" t="s">
        <v>3512</v>
      </c>
      <c r="C2909" s="299">
        <v>20</v>
      </c>
      <c r="D2909" s="299">
        <f t="shared" si="93"/>
        <v>7</v>
      </c>
      <c r="E2909" s="299">
        <v>55</v>
      </c>
      <c r="F2909" s="430" t="s">
        <v>3497</v>
      </c>
      <c r="G2909" s="300" t="str">
        <f t="shared" si="94"/>
        <v>MummNRW</v>
      </c>
    </row>
    <row r="2910" spans="1:7" ht="12" customHeight="1">
      <c r="A2910" s="298">
        <v>36357</v>
      </c>
      <c r="B2910" s="299" t="s">
        <v>3512</v>
      </c>
      <c r="C2910" s="299">
        <v>120</v>
      </c>
      <c r="D2910" s="299">
        <f t="shared" si="93"/>
        <v>7</v>
      </c>
      <c r="E2910" s="299">
        <v>56</v>
      </c>
      <c r="F2910" s="430" t="s">
        <v>3497</v>
      </c>
      <c r="G2910" s="300" t="str">
        <f t="shared" si="94"/>
        <v>MummNRW</v>
      </c>
    </row>
    <row r="2911" spans="1:7" ht="12" customHeight="1">
      <c r="A2911" s="298">
        <v>36357</v>
      </c>
      <c r="B2911" s="299" t="s">
        <v>3512</v>
      </c>
      <c r="C2911" s="299">
        <v>10</v>
      </c>
      <c r="D2911" s="299">
        <f t="shared" si="93"/>
        <v>7</v>
      </c>
      <c r="E2911" s="299">
        <v>56</v>
      </c>
      <c r="F2911" s="430" t="s">
        <v>3497</v>
      </c>
      <c r="G2911" s="300" t="str">
        <f t="shared" si="94"/>
        <v>MummNRW</v>
      </c>
    </row>
    <row r="2912" spans="1:7" ht="12" customHeight="1">
      <c r="A2912" s="298">
        <v>36358</v>
      </c>
      <c r="B2912" s="299" t="s">
        <v>3512</v>
      </c>
      <c r="C2912" s="299">
        <v>10</v>
      </c>
      <c r="D2912" s="299">
        <f t="shared" si="93"/>
        <v>7</v>
      </c>
      <c r="E2912" s="299">
        <v>58</v>
      </c>
      <c r="F2912" s="430" t="s">
        <v>3497</v>
      </c>
      <c r="G2912" s="300" t="str">
        <f t="shared" si="94"/>
        <v>MummNRW</v>
      </c>
    </row>
    <row r="2913" spans="1:7" ht="12" customHeight="1">
      <c r="A2913" s="298">
        <v>36360</v>
      </c>
      <c r="B2913" s="299" t="s">
        <v>3512</v>
      </c>
      <c r="C2913" s="299">
        <v>40</v>
      </c>
      <c r="D2913" s="299">
        <f t="shared" si="93"/>
        <v>7</v>
      </c>
      <c r="E2913" s="299">
        <v>57</v>
      </c>
      <c r="F2913" s="430" t="s">
        <v>3497</v>
      </c>
      <c r="G2913" s="300" t="str">
        <f t="shared" si="94"/>
        <v>MummNRW</v>
      </c>
    </row>
    <row r="2914" spans="1:7" ht="12" customHeight="1">
      <c r="A2914" s="298">
        <v>36369</v>
      </c>
      <c r="B2914" s="299" t="s">
        <v>3512</v>
      </c>
      <c r="C2914" s="299">
        <v>100</v>
      </c>
      <c r="D2914" s="299">
        <f t="shared" si="93"/>
        <v>7</v>
      </c>
      <c r="E2914" s="299">
        <v>57</v>
      </c>
      <c r="F2914" s="430" t="s">
        <v>3497</v>
      </c>
      <c r="G2914" s="300" t="str">
        <f t="shared" si="94"/>
        <v>MummNRW</v>
      </c>
    </row>
    <row r="2915" spans="1:7" ht="12" customHeight="1">
      <c r="A2915" s="298">
        <v>36373</v>
      </c>
      <c r="B2915" s="299" t="s">
        <v>3512</v>
      </c>
      <c r="C2915" s="299">
        <v>40</v>
      </c>
      <c r="D2915" s="299">
        <f t="shared" si="93"/>
        <v>8</v>
      </c>
      <c r="E2915" s="299">
        <v>57</v>
      </c>
      <c r="F2915" s="430" t="s">
        <v>3497</v>
      </c>
      <c r="G2915" s="300" t="str">
        <f t="shared" si="94"/>
        <v>MummNRW</v>
      </c>
    </row>
    <row r="2916" spans="1:7" ht="12" customHeight="1">
      <c r="A2916" s="298">
        <v>36376</v>
      </c>
      <c r="B2916" s="299" t="s">
        <v>3512</v>
      </c>
      <c r="C2916" s="299">
        <v>50</v>
      </c>
      <c r="D2916" s="299">
        <f t="shared" si="93"/>
        <v>8</v>
      </c>
      <c r="E2916" s="299">
        <v>56</v>
      </c>
      <c r="F2916" s="430" t="s">
        <v>3497</v>
      </c>
      <c r="G2916" s="300" t="str">
        <f t="shared" si="94"/>
        <v>MummNRW</v>
      </c>
    </row>
    <row r="2917" spans="1:7" ht="12" customHeight="1">
      <c r="A2917" s="298">
        <v>36383</v>
      </c>
      <c r="B2917" s="299" t="s">
        <v>3512</v>
      </c>
      <c r="C2917" s="299">
        <v>10</v>
      </c>
      <c r="D2917" s="299">
        <f t="shared" si="93"/>
        <v>8</v>
      </c>
      <c r="E2917" s="299">
        <v>55</v>
      </c>
      <c r="F2917" s="430" t="s">
        <v>3497</v>
      </c>
      <c r="G2917" s="300" t="str">
        <f t="shared" si="94"/>
        <v>MummNRW</v>
      </c>
    </row>
    <row r="2918" spans="1:7" ht="12" customHeight="1">
      <c r="A2918" s="298">
        <v>36387</v>
      </c>
      <c r="B2918" s="299" t="s">
        <v>3512</v>
      </c>
      <c r="C2918" s="299">
        <v>10</v>
      </c>
      <c r="D2918" s="299">
        <f t="shared" si="93"/>
        <v>8</v>
      </c>
      <c r="E2918" s="299">
        <v>55</v>
      </c>
      <c r="F2918" s="430" t="s">
        <v>3497</v>
      </c>
      <c r="G2918" s="300" t="str">
        <f t="shared" si="94"/>
        <v>MummNRW</v>
      </c>
    </row>
    <row r="2919" spans="1:7" ht="12" customHeight="1">
      <c r="A2919" s="298">
        <v>36387</v>
      </c>
      <c r="B2919" s="299" t="s">
        <v>3512</v>
      </c>
      <c r="C2919" s="299">
        <v>10</v>
      </c>
      <c r="D2919" s="299">
        <f t="shared" si="93"/>
        <v>8</v>
      </c>
      <c r="E2919" s="299">
        <v>55</v>
      </c>
      <c r="F2919" s="430" t="s">
        <v>3497</v>
      </c>
      <c r="G2919" s="300" t="str">
        <f t="shared" si="94"/>
        <v>MummNRW</v>
      </c>
    </row>
    <row r="2920" spans="1:7" ht="12" customHeight="1">
      <c r="A2920" s="298">
        <v>36390</v>
      </c>
      <c r="B2920" s="299" t="s">
        <v>3512</v>
      </c>
      <c r="C2920" s="299">
        <v>40</v>
      </c>
      <c r="D2920" s="299">
        <f t="shared" si="93"/>
        <v>8</v>
      </c>
      <c r="E2920" s="299">
        <v>57</v>
      </c>
      <c r="F2920" s="430" t="s">
        <v>3497</v>
      </c>
      <c r="G2920" s="300" t="str">
        <f t="shared" si="94"/>
        <v>MummNRW</v>
      </c>
    </row>
    <row r="2921" spans="1:7" ht="12" customHeight="1">
      <c r="A2921" s="298">
        <v>36390</v>
      </c>
      <c r="B2921" s="299" t="s">
        <v>3512</v>
      </c>
      <c r="C2921" s="299">
        <v>90</v>
      </c>
      <c r="D2921" s="299">
        <f t="shared" si="93"/>
        <v>8</v>
      </c>
      <c r="E2921" s="299">
        <v>57</v>
      </c>
      <c r="F2921" s="430" t="s">
        <v>3497</v>
      </c>
      <c r="G2921" s="300" t="str">
        <f t="shared" si="94"/>
        <v>MummNRW</v>
      </c>
    </row>
    <row r="2922" spans="1:7" ht="12" customHeight="1">
      <c r="A2922" s="298">
        <v>36394</v>
      </c>
      <c r="B2922" s="299" t="s">
        <v>3512</v>
      </c>
      <c r="C2922" s="299">
        <v>90</v>
      </c>
      <c r="D2922" s="299">
        <f t="shared" si="93"/>
        <v>8</v>
      </c>
      <c r="E2922" s="299">
        <v>60</v>
      </c>
      <c r="F2922" s="430" t="s">
        <v>3497</v>
      </c>
      <c r="G2922" s="300" t="str">
        <f t="shared" si="94"/>
        <v>MummNRW</v>
      </c>
    </row>
    <row r="2923" spans="1:7" ht="12" customHeight="1">
      <c r="A2923" s="298">
        <v>36410</v>
      </c>
      <c r="B2923" s="299" t="s">
        <v>3512</v>
      </c>
      <c r="C2923" s="299">
        <v>10</v>
      </c>
      <c r="D2923" s="299">
        <f t="shared" si="93"/>
        <v>9</v>
      </c>
      <c r="E2923" s="299">
        <v>57</v>
      </c>
      <c r="F2923" s="430" t="s">
        <v>3497</v>
      </c>
      <c r="G2923" s="300" t="str">
        <f t="shared" si="94"/>
        <v>MummNRW</v>
      </c>
    </row>
    <row r="2924" spans="1:7" ht="12" customHeight="1">
      <c r="A2924" s="298">
        <v>36411</v>
      </c>
      <c r="B2924" s="299" t="s">
        <v>3512</v>
      </c>
      <c r="C2924" s="299">
        <v>80</v>
      </c>
      <c r="D2924" s="299">
        <f t="shared" si="93"/>
        <v>9</v>
      </c>
      <c r="E2924" s="299">
        <v>57</v>
      </c>
      <c r="F2924" s="430" t="s">
        <v>3497</v>
      </c>
      <c r="G2924" s="300" t="str">
        <f t="shared" si="94"/>
        <v>MummNRW</v>
      </c>
    </row>
    <row r="2925" spans="1:7" ht="12" customHeight="1">
      <c r="A2925" s="298">
        <v>36416</v>
      </c>
      <c r="B2925" s="299" t="s">
        <v>3512</v>
      </c>
      <c r="C2925" s="299">
        <v>10</v>
      </c>
      <c r="D2925" s="299">
        <f t="shared" si="93"/>
        <v>9</v>
      </c>
      <c r="E2925" s="299">
        <v>57</v>
      </c>
      <c r="F2925" s="430" t="s">
        <v>3497</v>
      </c>
      <c r="G2925" s="300" t="str">
        <f t="shared" si="94"/>
        <v>MummNRW</v>
      </c>
    </row>
    <row r="2926" spans="1:7" ht="12" customHeight="1">
      <c r="A2926" s="298">
        <v>36425</v>
      </c>
      <c r="B2926" s="299" t="s">
        <v>3512</v>
      </c>
      <c r="C2926" s="299">
        <v>80</v>
      </c>
      <c r="D2926" s="299">
        <f t="shared" si="93"/>
        <v>9</v>
      </c>
      <c r="E2926" s="299">
        <v>56</v>
      </c>
      <c r="F2926" s="430" t="s">
        <v>3497</v>
      </c>
      <c r="G2926" s="300" t="str">
        <f t="shared" si="94"/>
        <v>MummNRW</v>
      </c>
    </row>
    <row r="2927" spans="1:7" ht="12" customHeight="1">
      <c r="A2927" s="298">
        <v>36447</v>
      </c>
      <c r="B2927" s="299" t="s">
        <v>3512</v>
      </c>
      <c r="C2927" s="299">
        <v>50</v>
      </c>
      <c r="D2927" s="299">
        <f t="shared" si="93"/>
        <v>10</v>
      </c>
      <c r="E2927" s="299">
        <v>61</v>
      </c>
      <c r="F2927" s="430" t="s">
        <v>3497</v>
      </c>
      <c r="G2927" s="300" t="str">
        <f t="shared" si="94"/>
        <v>MummNRW</v>
      </c>
    </row>
    <row r="2928" spans="1:7" ht="12" customHeight="1">
      <c r="A2928" s="298">
        <v>36483</v>
      </c>
      <c r="B2928" s="299" t="s">
        <v>3512</v>
      </c>
      <c r="C2928" s="299">
        <v>90</v>
      </c>
      <c r="D2928" s="299">
        <f t="shared" si="93"/>
        <v>11</v>
      </c>
      <c r="E2928" s="299">
        <v>56</v>
      </c>
      <c r="F2928" s="430" t="s">
        <v>3497</v>
      </c>
      <c r="G2928" s="300" t="str">
        <f t="shared" si="94"/>
        <v>MummNRW</v>
      </c>
    </row>
    <row r="2929" spans="1:7" ht="12" customHeight="1">
      <c r="A2929" s="298">
        <v>36490</v>
      </c>
      <c r="B2929" s="299" t="s">
        <v>3512</v>
      </c>
      <c r="C2929" s="299">
        <v>30</v>
      </c>
      <c r="D2929" s="299">
        <f t="shared" si="93"/>
        <v>11</v>
      </c>
      <c r="E2929" s="299">
        <v>58</v>
      </c>
      <c r="F2929" s="430" t="s">
        <v>3497</v>
      </c>
      <c r="G2929" s="300" t="str">
        <f t="shared" si="94"/>
        <v>MummNRW</v>
      </c>
    </row>
    <row r="2930" spans="1:7" ht="12" customHeight="1">
      <c r="A2930" s="298">
        <v>36193</v>
      </c>
      <c r="B2930" s="299" t="s">
        <v>3512</v>
      </c>
      <c r="C2930" s="299">
        <v>50</v>
      </c>
      <c r="D2930" s="299">
        <f t="shared" si="93"/>
        <v>2</v>
      </c>
      <c r="E2930" s="299">
        <v>59</v>
      </c>
      <c r="F2930" s="430" t="s">
        <v>3499</v>
      </c>
      <c r="G2930" s="300" t="str">
        <f t="shared" si="94"/>
        <v>MummPfalz</v>
      </c>
    </row>
    <row r="2931" spans="1:7" ht="12" customHeight="1">
      <c r="A2931" s="298">
        <v>36214</v>
      </c>
      <c r="B2931" s="299" t="s">
        <v>3512</v>
      </c>
      <c r="C2931" s="299">
        <v>120</v>
      </c>
      <c r="D2931" s="299">
        <f t="shared" si="93"/>
        <v>2</v>
      </c>
      <c r="E2931" s="299">
        <v>59</v>
      </c>
      <c r="F2931" s="430" t="s">
        <v>3499</v>
      </c>
      <c r="G2931" s="300" t="str">
        <f t="shared" si="94"/>
        <v>MummPfalz</v>
      </c>
    </row>
    <row r="2932" spans="1:7" ht="12" customHeight="1">
      <c r="A2932" s="298">
        <v>36243</v>
      </c>
      <c r="B2932" s="299" t="s">
        <v>3512</v>
      </c>
      <c r="C2932" s="299">
        <v>20</v>
      </c>
      <c r="D2932" s="299">
        <f t="shared" si="93"/>
        <v>3</v>
      </c>
      <c r="E2932" s="299">
        <v>55</v>
      </c>
      <c r="F2932" s="430" t="s">
        <v>3499</v>
      </c>
      <c r="G2932" s="300" t="str">
        <f t="shared" si="94"/>
        <v>MummPfalz</v>
      </c>
    </row>
    <row r="2933" spans="1:7" ht="12" customHeight="1">
      <c r="A2933" s="298">
        <v>36256</v>
      </c>
      <c r="B2933" s="299" t="s">
        <v>3512</v>
      </c>
      <c r="C2933" s="299">
        <v>70</v>
      </c>
      <c r="D2933" s="299">
        <f t="shared" si="93"/>
        <v>4</v>
      </c>
      <c r="E2933" s="299">
        <v>56</v>
      </c>
      <c r="F2933" s="430" t="s">
        <v>3499</v>
      </c>
      <c r="G2933" s="300" t="str">
        <f t="shared" si="94"/>
        <v>MummPfalz</v>
      </c>
    </row>
    <row r="2934" spans="1:7" ht="12" customHeight="1">
      <c r="A2934" s="298">
        <v>36263</v>
      </c>
      <c r="B2934" s="299" t="s">
        <v>3512</v>
      </c>
      <c r="C2934" s="299">
        <v>40</v>
      </c>
      <c r="D2934" s="299">
        <f t="shared" si="93"/>
        <v>4</v>
      </c>
      <c r="E2934" s="299">
        <v>57</v>
      </c>
      <c r="F2934" s="430" t="s">
        <v>3499</v>
      </c>
      <c r="G2934" s="300" t="str">
        <f t="shared" si="94"/>
        <v>MummPfalz</v>
      </c>
    </row>
    <row r="2935" spans="1:7" ht="12" customHeight="1">
      <c r="A2935" s="298">
        <v>36265</v>
      </c>
      <c r="B2935" s="299" t="s">
        <v>3512</v>
      </c>
      <c r="C2935" s="299">
        <v>100</v>
      </c>
      <c r="D2935" s="299">
        <f t="shared" si="93"/>
        <v>4</v>
      </c>
      <c r="E2935" s="299">
        <v>57</v>
      </c>
      <c r="F2935" s="430" t="s">
        <v>3499</v>
      </c>
      <c r="G2935" s="300" t="str">
        <f t="shared" si="94"/>
        <v>MummPfalz</v>
      </c>
    </row>
    <row r="2936" spans="1:7" ht="12" customHeight="1">
      <c r="A2936" s="298">
        <v>36277</v>
      </c>
      <c r="B2936" s="299" t="s">
        <v>3512</v>
      </c>
      <c r="C2936" s="299">
        <v>20</v>
      </c>
      <c r="D2936" s="299">
        <f t="shared" si="93"/>
        <v>4</v>
      </c>
      <c r="E2936" s="299">
        <v>57</v>
      </c>
      <c r="F2936" s="430" t="s">
        <v>3499</v>
      </c>
      <c r="G2936" s="300" t="str">
        <f t="shared" si="94"/>
        <v>MummPfalz</v>
      </c>
    </row>
    <row r="2937" spans="1:7" ht="12" customHeight="1">
      <c r="A2937" s="298">
        <v>36279</v>
      </c>
      <c r="B2937" s="299" t="s">
        <v>3512</v>
      </c>
      <c r="C2937" s="299">
        <v>70</v>
      </c>
      <c r="D2937" s="299">
        <f t="shared" si="93"/>
        <v>4</v>
      </c>
      <c r="E2937" s="299">
        <v>55</v>
      </c>
      <c r="F2937" s="430" t="s">
        <v>3499</v>
      </c>
      <c r="G2937" s="300" t="str">
        <f t="shared" si="94"/>
        <v>MummPfalz</v>
      </c>
    </row>
    <row r="2938" spans="1:7" ht="12" customHeight="1">
      <c r="A2938" s="298">
        <v>36283</v>
      </c>
      <c r="B2938" s="299" t="s">
        <v>3512</v>
      </c>
      <c r="C2938" s="299">
        <v>120</v>
      </c>
      <c r="D2938" s="299">
        <f t="shared" si="93"/>
        <v>5</v>
      </c>
      <c r="E2938" s="299">
        <v>55</v>
      </c>
      <c r="F2938" s="430" t="s">
        <v>3499</v>
      </c>
      <c r="G2938" s="300" t="str">
        <f t="shared" si="94"/>
        <v>MummPfalz</v>
      </c>
    </row>
    <row r="2939" spans="1:7" ht="12" customHeight="1">
      <c r="A2939" s="298">
        <v>36285</v>
      </c>
      <c r="B2939" s="299" t="s">
        <v>3512</v>
      </c>
      <c r="C2939" s="299">
        <v>40</v>
      </c>
      <c r="D2939" s="299">
        <f t="shared" si="93"/>
        <v>5</v>
      </c>
      <c r="E2939" s="299">
        <v>56</v>
      </c>
      <c r="F2939" s="430" t="s">
        <v>3499</v>
      </c>
      <c r="G2939" s="300" t="str">
        <f t="shared" si="94"/>
        <v>MummPfalz</v>
      </c>
    </row>
    <row r="2940" spans="1:7" ht="12" customHeight="1">
      <c r="A2940" s="298">
        <v>36295</v>
      </c>
      <c r="B2940" s="299" t="s">
        <v>3512</v>
      </c>
      <c r="C2940" s="299">
        <v>10</v>
      </c>
      <c r="D2940" s="299">
        <f t="shared" si="93"/>
        <v>5</v>
      </c>
      <c r="E2940" s="299">
        <v>56</v>
      </c>
      <c r="F2940" s="430" t="s">
        <v>3499</v>
      </c>
      <c r="G2940" s="300" t="str">
        <f t="shared" si="94"/>
        <v>MummPfalz</v>
      </c>
    </row>
    <row r="2941" spans="1:7" ht="12" customHeight="1">
      <c r="A2941" s="298">
        <v>36305</v>
      </c>
      <c r="B2941" s="299" t="s">
        <v>3512</v>
      </c>
      <c r="C2941" s="299">
        <v>50</v>
      </c>
      <c r="D2941" s="299">
        <f t="shared" si="93"/>
        <v>5</v>
      </c>
      <c r="E2941" s="299">
        <v>61</v>
      </c>
      <c r="F2941" s="430" t="s">
        <v>3499</v>
      </c>
      <c r="G2941" s="300" t="str">
        <f t="shared" si="94"/>
        <v>MummPfalz</v>
      </c>
    </row>
    <row r="2942" spans="1:7" ht="12" customHeight="1">
      <c r="A2942" s="298">
        <v>36323</v>
      </c>
      <c r="B2942" s="299" t="s">
        <v>3512</v>
      </c>
      <c r="C2942" s="299">
        <v>40</v>
      </c>
      <c r="D2942" s="299">
        <f t="shared" si="93"/>
        <v>6</v>
      </c>
      <c r="E2942" s="299">
        <v>57</v>
      </c>
      <c r="F2942" s="430" t="s">
        <v>3499</v>
      </c>
      <c r="G2942" s="300" t="str">
        <f t="shared" si="94"/>
        <v>MummPfalz</v>
      </c>
    </row>
    <row r="2943" spans="1:7" ht="12" customHeight="1">
      <c r="A2943" s="298">
        <v>36343</v>
      </c>
      <c r="B2943" s="299" t="s">
        <v>3512</v>
      </c>
      <c r="C2943" s="299">
        <v>120</v>
      </c>
      <c r="D2943" s="299">
        <f t="shared" si="93"/>
        <v>7</v>
      </c>
      <c r="E2943" s="299">
        <v>59</v>
      </c>
      <c r="F2943" s="430" t="s">
        <v>3499</v>
      </c>
      <c r="G2943" s="300" t="str">
        <f t="shared" si="94"/>
        <v>MummPfalz</v>
      </c>
    </row>
    <row r="2944" spans="1:7" ht="12" customHeight="1">
      <c r="A2944" s="298">
        <v>36349</v>
      </c>
      <c r="B2944" s="299" t="s">
        <v>3512</v>
      </c>
      <c r="C2944" s="299">
        <v>90</v>
      </c>
      <c r="D2944" s="299">
        <f t="shared" si="93"/>
        <v>7</v>
      </c>
      <c r="E2944" s="299">
        <v>55</v>
      </c>
      <c r="F2944" s="430" t="s">
        <v>3499</v>
      </c>
      <c r="G2944" s="300" t="str">
        <f t="shared" si="94"/>
        <v>MummPfalz</v>
      </c>
    </row>
    <row r="2945" spans="1:7" ht="12" customHeight="1">
      <c r="A2945" s="298">
        <v>36350</v>
      </c>
      <c r="B2945" s="299" t="s">
        <v>3512</v>
      </c>
      <c r="C2945" s="299">
        <v>120</v>
      </c>
      <c r="D2945" s="299">
        <f t="shared" si="93"/>
        <v>7</v>
      </c>
      <c r="E2945" s="299">
        <v>56</v>
      </c>
      <c r="F2945" s="430" t="s">
        <v>3499</v>
      </c>
      <c r="G2945" s="300" t="str">
        <f t="shared" si="94"/>
        <v>MummPfalz</v>
      </c>
    </row>
    <row r="2946" spans="1:7" ht="12" customHeight="1">
      <c r="A2946" s="298">
        <v>36352</v>
      </c>
      <c r="B2946" s="299" t="s">
        <v>3512</v>
      </c>
      <c r="C2946" s="299">
        <v>20</v>
      </c>
      <c r="D2946" s="299">
        <f t="shared" si="93"/>
        <v>7</v>
      </c>
      <c r="E2946" s="299">
        <v>55</v>
      </c>
      <c r="F2946" s="430" t="s">
        <v>3499</v>
      </c>
      <c r="G2946" s="300" t="str">
        <f t="shared" si="94"/>
        <v>MummPfalz</v>
      </c>
    </row>
    <row r="2947" spans="1:7" ht="12" customHeight="1">
      <c r="A2947" s="298">
        <v>36356</v>
      </c>
      <c r="B2947" s="299" t="s">
        <v>3512</v>
      </c>
      <c r="C2947" s="299">
        <v>100</v>
      </c>
      <c r="D2947" s="299">
        <f t="shared" si="93"/>
        <v>7</v>
      </c>
      <c r="E2947" s="299">
        <v>59</v>
      </c>
      <c r="F2947" s="430" t="s">
        <v>3499</v>
      </c>
      <c r="G2947" s="300" t="str">
        <f t="shared" si="94"/>
        <v>MummPfalz</v>
      </c>
    </row>
    <row r="2948" spans="1:7" ht="12" customHeight="1">
      <c r="A2948" s="298">
        <v>36361</v>
      </c>
      <c r="B2948" s="299" t="s">
        <v>3512</v>
      </c>
      <c r="C2948" s="299">
        <v>80</v>
      </c>
      <c r="D2948" s="299">
        <f t="shared" si="93"/>
        <v>7</v>
      </c>
      <c r="E2948" s="299">
        <v>56</v>
      </c>
      <c r="F2948" s="430" t="s">
        <v>3499</v>
      </c>
      <c r="G2948" s="300" t="str">
        <f t="shared" si="94"/>
        <v>MummPfalz</v>
      </c>
    </row>
    <row r="2949" spans="1:7" ht="12" customHeight="1">
      <c r="A2949" s="298">
        <v>36362</v>
      </c>
      <c r="B2949" s="299" t="s">
        <v>3512</v>
      </c>
      <c r="C2949" s="299">
        <v>80</v>
      </c>
      <c r="D2949" s="299">
        <f t="shared" si="93"/>
        <v>7</v>
      </c>
      <c r="E2949" s="299">
        <v>56</v>
      </c>
      <c r="F2949" s="430" t="s">
        <v>3499</v>
      </c>
      <c r="G2949" s="300" t="str">
        <f t="shared" si="94"/>
        <v>MummPfalz</v>
      </c>
    </row>
    <row r="2950" spans="1:7" ht="12" customHeight="1">
      <c r="A2950" s="298">
        <v>36370</v>
      </c>
      <c r="B2950" s="299" t="s">
        <v>3512</v>
      </c>
      <c r="C2950" s="299">
        <v>120</v>
      </c>
      <c r="D2950" s="299">
        <f t="shared" ref="D2950:D3013" si="95">MONTH(A2950)</f>
        <v>7</v>
      </c>
      <c r="E2950" s="299">
        <v>55</v>
      </c>
      <c r="F2950" s="430" t="s">
        <v>3499</v>
      </c>
      <c r="G2950" s="300" t="str">
        <f t="shared" ref="G2950:G3013" si="96">B2950&amp;F2950</f>
        <v>MummPfalz</v>
      </c>
    </row>
    <row r="2951" spans="1:7" ht="12" customHeight="1">
      <c r="A2951" s="298">
        <v>36375</v>
      </c>
      <c r="B2951" s="299" t="s">
        <v>3512</v>
      </c>
      <c r="C2951" s="299">
        <v>50</v>
      </c>
      <c r="D2951" s="299">
        <f t="shared" si="95"/>
        <v>8</v>
      </c>
      <c r="E2951" s="299">
        <v>55</v>
      </c>
      <c r="F2951" s="430" t="s">
        <v>3499</v>
      </c>
      <c r="G2951" s="300" t="str">
        <f t="shared" si="96"/>
        <v>MummPfalz</v>
      </c>
    </row>
    <row r="2952" spans="1:7" ht="12" customHeight="1">
      <c r="A2952" s="298">
        <v>36377</v>
      </c>
      <c r="B2952" s="299" t="s">
        <v>3512</v>
      </c>
      <c r="C2952" s="299">
        <v>120</v>
      </c>
      <c r="D2952" s="299">
        <f t="shared" si="95"/>
        <v>8</v>
      </c>
      <c r="E2952" s="299">
        <v>57</v>
      </c>
      <c r="F2952" s="430" t="s">
        <v>3499</v>
      </c>
      <c r="G2952" s="300" t="str">
        <f t="shared" si="96"/>
        <v>MummPfalz</v>
      </c>
    </row>
    <row r="2953" spans="1:7" ht="12" customHeight="1">
      <c r="A2953" s="298">
        <v>36391</v>
      </c>
      <c r="B2953" s="299" t="s">
        <v>3512</v>
      </c>
      <c r="C2953" s="299">
        <v>100</v>
      </c>
      <c r="D2953" s="299">
        <f t="shared" si="95"/>
        <v>8</v>
      </c>
      <c r="E2953" s="299">
        <v>57</v>
      </c>
      <c r="F2953" s="430" t="s">
        <v>3499</v>
      </c>
      <c r="G2953" s="300" t="str">
        <f t="shared" si="96"/>
        <v>MummPfalz</v>
      </c>
    </row>
    <row r="2954" spans="1:7" ht="12" customHeight="1">
      <c r="A2954" s="298">
        <v>36404</v>
      </c>
      <c r="B2954" s="299" t="s">
        <v>3512</v>
      </c>
      <c r="C2954" s="299">
        <v>70</v>
      </c>
      <c r="D2954" s="299">
        <f t="shared" si="95"/>
        <v>9</v>
      </c>
      <c r="E2954" s="299">
        <v>60</v>
      </c>
      <c r="F2954" s="430" t="s">
        <v>3499</v>
      </c>
      <c r="G2954" s="300" t="str">
        <f t="shared" si="96"/>
        <v>MummPfalz</v>
      </c>
    </row>
    <row r="2955" spans="1:7" ht="12" customHeight="1">
      <c r="A2955" s="298">
        <v>36419</v>
      </c>
      <c r="B2955" s="299" t="s">
        <v>3512</v>
      </c>
      <c r="C2955" s="299">
        <v>120</v>
      </c>
      <c r="D2955" s="299">
        <f t="shared" si="95"/>
        <v>9</v>
      </c>
      <c r="E2955" s="299">
        <v>57</v>
      </c>
      <c r="F2955" s="430" t="s">
        <v>3499</v>
      </c>
      <c r="G2955" s="300" t="str">
        <f t="shared" si="96"/>
        <v>MummPfalz</v>
      </c>
    </row>
    <row r="2956" spans="1:7" ht="12" customHeight="1">
      <c r="A2956" s="298">
        <v>36434</v>
      </c>
      <c r="B2956" s="299" t="s">
        <v>3512</v>
      </c>
      <c r="C2956" s="299">
        <v>20</v>
      </c>
      <c r="D2956" s="299">
        <f t="shared" si="95"/>
        <v>10</v>
      </c>
      <c r="E2956" s="299">
        <v>55</v>
      </c>
      <c r="F2956" s="430" t="s">
        <v>3499</v>
      </c>
      <c r="G2956" s="300" t="str">
        <f t="shared" si="96"/>
        <v>MummPfalz</v>
      </c>
    </row>
    <row r="2957" spans="1:7" ht="12" customHeight="1">
      <c r="A2957" s="298">
        <v>36435</v>
      </c>
      <c r="B2957" s="299" t="s">
        <v>3512</v>
      </c>
      <c r="C2957" s="299">
        <v>50</v>
      </c>
      <c r="D2957" s="299">
        <f t="shared" si="95"/>
        <v>10</v>
      </c>
      <c r="E2957" s="299">
        <v>59</v>
      </c>
      <c r="F2957" s="430" t="s">
        <v>3499</v>
      </c>
      <c r="G2957" s="300" t="str">
        <f t="shared" si="96"/>
        <v>MummPfalz</v>
      </c>
    </row>
    <row r="2958" spans="1:7" ht="12" customHeight="1">
      <c r="A2958" s="298">
        <v>36440</v>
      </c>
      <c r="B2958" s="299" t="s">
        <v>3512</v>
      </c>
      <c r="C2958" s="299">
        <v>160</v>
      </c>
      <c r="D2958" s="299">
        <f t="shared" si="95"/>
        <v>10</v>
      </c>
      <c r="E2958" s="299">
        <v>55</v>
      </c>
      <c r="F2958" s="430" t="s">
        <v>3499</v>
      </c>
      <c r="G2958" s="300" t="str">
        <f t="shared" si="96"/>
        <v>MummPfalz</v>
      </c>
    </row>
    <row r="2959" spans="1:7" ht="12" customHeight="1">
      <c r="A2959" s="298">
        <v>36447</v>
      </c>
      <c r="B2959" s="299" t="s">
        <v>3512</v>
      </c>
      <c r="C2959" s="299">
        <v>10</v>
      </c>
      <c r="D2959" s="299">
        <f t="shared" si="95"/>
        <v>10</v>
      </c>
      <c r="E2959" s="299">
        <v>61</v>
      </c>
      <c r="F2959" s="430" t="s">
        <v>3499</v>
      </c>
      <c r="G2959" s="300" t="str">
        <f t="shared" si="96"/>
        <v>MummPfalz</v>
      </c>
    </row>
    <row r="2960" spans="1:7" ht="12" customHeight="1">
      <c r="A2960" s="298">
        <v>36450</v>
      </c>
      <c r="B2960" s="299" t="s">
        <v>3512</v>
      </c>
      <c r="C2960" s="299">
        <v>20</v>
      </c>
      <c r="D2960" s="299">
        <f t="shared" si="95"/>
        <v>10</v>
      </c>
      <c r="E2960" s="299">
        <v>57</v>
      </c>
      <c r="F2960" s="430" t="s">
        <v>3499</v>
      </c>
      <c r="G2960" s="300" t="str">
        <f t="shared" si="96"/>
        <v>MummPfalz</v>
      </c>
    </row>
    <row r="2961" spans="1:7" ht="12" customHeight="1">
      <c r="A2961" s="298">
        <v>36483</v>
      </c>
      <c r="B2961" s="299" t="s">
        <v>3512</v>
      </c>
      <c r="C2961" s="299">
        <v>20</v>
      </c>
      <c r="D2961" s="299">
        <f t="shared" si="95"/>
        <v>11</v>
      </c>
      <c r="E2961" s="299">
        <v>61</v>
      </c>
      <c r="F2961" s="430" t="s">
        <v>3499</v>
      </c>
      <c r="G2961" s="300" t="str">
        <f t="shared" si="96"/>
        <v>MummPfalz</v>
      </c>
    </row>
    <row r="2962" spans="1:7" ht="12" customHeight="1">
      <c r="A2962" s="298">
        <v>36484</v>
      </c>
      <c r="B2962" s="299" t="s">
        <v>3512</v>
      </c>
      <c r="C2962" s="299">
        <v>30</v>
      </c>
      <c r="D2962" s="299">
        <f t="shared" si="95"/>
        <v>11</v>
      </c>
      <c r="E2962" s="299">
        <v>59</v>
      </c>
      <c r="F2962" s="430" t="s">
        <v>3499</v>
      </c>
      <c r="G2962" s="300" t="str">
        <f t="shared" si="96"/>
        <v>MummPfalz</v>
      </c>
    </row>
    <row r="2963" spans="1:7" ht="12" customHeight="1">
      <c r="A2963" s="298">
        <v>36489</v>
      </c>
      <c r="B2963" s="299" t="s">
        <v>3512</v>
      </c>
      <c r="C2963" s="299">
        <v>30</v>
      </c>
      <c r="D2963" s="299">
        <f t="shared" si="95"/>
        <v>11</v>
      </c>
      <c r="E2963" s="299">
        <v>59</v>
      </c>
      <c r="F2963" s="430" t="s">
        <v>3499</v>
      </c>
      <c r="G2963" s="300" t="str">
        <f t="shared" si="96"/>
        <v>MummPfalz</v>
      </c>
    </row>
    <row r="2964" spans="1:7" ht="12" customHeight="1">
      <c r="A2964" s="298">
        <v>36489</v>
      </c>
      <c r="B2964" s="299" t="s">
        <v>3512</v>
      </c>
      <c r="C2964" s="299">
        <v>80</v>
      </c>
      <c r="D2964" s="299">
        <f t="shared" si="95"/>
        <v>11</v>
      </c>
      <c r="E2964" s="299">
        <v>61</v>
      </c>
      <c r="F2964" s="430" t="s">
        <v>3499</v>
      </c>
      <c r="G2964" s="300" t="str">
        <f t="shared" si="96"/>
        <v>MummPfalz</v>
      </c>
    </row>
    <row r="2965" spans="1:7" ht="12" customHeight="1">
      <c r="A2965" s="298">
        <v>36514</v>
      </c>
      <c r="B2965" s="299" t="s">
        <v>3512</v>
      </c>
      <c r="C2965" s="299">
        <v>160</v>
      </c>
      <c r="D2965" s="299">
        <f t="shared" si="95"/>
        <v>12</v>
      </c>
      <c r="E2965" s="299">
        <v>57</v>
      </c>
      <c r="F2965" s="430" t="s">
        <v>3499</v>
      </c>
      <c r="G2965" s="300" t="str">
        <f t="shared" si="96"/>
        <v>MummPfalz</v>
      </c>
    </row>
    <row r="2966" spans="1:7" ht="12" customHeight="1">
      <c r="A2966" s="298">
        <v>36220</v>
      </c>
      <c r="B2966" s="299" t="s">
        <v>3512</v>
      </c>
      <c r="C2966" s="299">
        <v>10</v>
      </c>
      <c r="D2966" s="299">
        <f t="shared" si="95"/>
        <v>3</v>
      </c>
      <c r="E2966" s="299">
        <v>55</v>
      </c>
      <c r="F2966" s="430" t="s">
        <v>3500</v>
      </c>
      <c r="G2966" s="300" t="str">
        <f t="shared" si="96"/>
        <v>MummSaarland</v>
      </c>
    </row>
    <row r="2967" spans="1:7" ht="12" customHeight="1">
      <c r="A2967" s="298">
        <v>36261</v>
      </c>
      <c r="B2967" s="299" t="s">
        <v>3512</v>
      </c>
      <c r="C2967" s="299">
        <v>10</v>
      </c>
      <c r="D2967" s="299">
        <f t="shared" si="95"/>
        <v>4</v>
      </c>
      <c r="E2967" s="299">
        <v>55</v>
      </c>
      <c r="F2967" s="430" t="s">
        <v>3500</v>
      </c>
      <c r="G2967" s="300" t="str">
        <f t="shared" si="96"/>
        <v>MummSaarland</v>
      </c>
    </row>
    <row r="2968" spans="1:7" ht="12" customHeight="1">
      <c r="A2968" s="298">
        <v>36270</v>
      </c>
      <c r="B2968" s="299" t="s">
        <v>3512</v>
      </c>
      <c r="C2968" s="299">
        <v>10</v>
      </c>
      <c r="D2968" s="299">
        <f t="shared" si="95"/>
        <v>4</v>
      </c>
      <c r="E2968" s="299">
        <v>56</v>
      </c>
      <c r="F2968" s="430" t="s">
        <v>3500</v>
      </c>
      <c r="G2968" s="300" t="str">
        <f t="shared" si="96"/>
        <v>MummSaarland</v>
      </c>
    </row>
    <row r="2969" spans="1:7" ht="12" customHeight="1">
      <c r="A2969" s="298">
        <v>36418</v>
      </c>
      <c r="B2969" s="299" t="s">
        <v>3512</v>
      </c>
      <c r="C2969" s="299">
        <v>50</v>
      </c>
      <c r="D2969" s="299">
        <f t="shared" si="95"/>
        <v>9</v>
      </c>
      <c r="E2969" s="299">
        <v>55</v>
      </c>
      <c r="F2969" s="430" t="s">
        <v>3500</v>
      </c>
      <c r="G2969" s="300" t="str">
        <f t="shared" si="96"/>
        <v>MummSaarland</v>
      </c>
    </row>
    <row r="2970" spans="1:7" ht="12" customHeight="1">
      <c r="A2970" s="298">
        <v>36430</v>
      </c>
      <c r="B2970" s="299" t="s">
        <v>3512</v>
      </c>
      <c r="C2970" s="299">
        <v>10</v>
      </c>
      <c r="D2970" s="299">
        <f t="shared" si="95"/>
        <v>9</v>
      </c>
      <c r="E2970" s="299">
        <v>55</v>
      </c>
      <c r="F2970" s="430" t="s">
        <v>3500</v>
      </c>
      <c r="G2970" s="300" t="str">
        <f t="shared" si="96"/>
        <v>MummSaarland</v>
      </c>
    </row>
    <row r="2971" spans="1:7" ht="12" customHeight="1">
      <c r="A2971" s="298">
        <v>36432</v>
      </c>
      <c r="B2971" s="299" t="s">
        <v>3512</v>
      </c>
      <c r="C2971" s="299">
        <v>120</v>
      </c>
      <c r="D2971" s="299">
        <f t="shared" si="95"/>
        <v>9</v>
      </c>
      <c r="E2971" s="299">
        <v>55</v>
      </c>
      <c r="F2971" s="430" t="s">
        <v>3500</v>
      </c>
      <c r="G2971" s="300" t="str">
        <f t="shared" si="96"/>
        <v>MummSaarland</v>
      </c>
    </row>
    <row r="2972" spans="1:7" ht="12" customHeight="1">
      <c r="A2972" s="298">
        <v>36455</v>
      </c>
      <c r="B2972" s="299" t="s">
        <v>3512</v>
      </c>
      <c r="C2972" s="299">
        <v>20</v>
      </c>
      <c r="D2972" s="299">
        <f t="shared" si="95"/>
        <v>10</v>
      </c>
      <c r="E2972" s="299">
        <v>56</v>
      </c>
      <c r="F2972" s="430" t="s">
        <v>3500</v>
      </c>
      <c r="G2972" s="300" t="str">
        <f t="shared" si="96"/>
        <v>MummSaarland</v>
      </c>
    </row>
    <row r="2973" spans="1:7" ht="12" customHeight="1">
      <c r="A2973" s="298">
        <v>36467</v>
      </c>
      <c r="B2973" s="299" t="s">
        <v>3512</v>
      </c>
      <c r="C2973" s="299">
        <v>30</v>
      </c>
      <c r="D2973" s="299">
        <f t="shared" si="95"/>
        <v>11</v>
      </c>
      <c r="E2973" s="299">
        <v>59</v>
      </c>
      <c r="F2973" s="430" t="s">
        <v>3500</v>
      </c>
      <c r="G2973" s="300" t="str">
        <f t="shared" si="96"/>
        <v>MummSaarland</v>
      </c>
    </row>
    <row r="2974" spans="1:7" ht="12" customHeight="1">
      <c r="A2974" s="298">
        <v>36254</v>
      </c>
      <c r="B2974" s="299" t="s">
        <v>3513</v>
      </c>
      <c r="C2974" s="299">
        <v>90</v>
      </c>
      <c r="D2974" s="299">
        <f t="shared" si="95"/>
        <v>4</v>
      </c>
      <c r="E2974" s="299">
        <v>58</v>
      </c>
      <c r="F2974" s="430" t="s">
        <v>3504</v>
      </c>
      <c r="G2974" s="300" t="str">
        <f t="shared" si="96"/>
        <v>RieslingBayern</v>
      </c>
    </row>
    <row r="2975" spans="1:7" ht="12" customHeight="1">
      <c r="A2975" s="298">
        <v>36301</v>
      </c>
      <c r="B2975" s="299" t="s">
        <v>3513</v>
      </c>
      <c r="C2975" s="299">
        <v>210</v>
      </c>
      <c r="D2975" s="299">
        <f t="shared" si="95"/>
        <v>5</v>
      </c>
      <c r="E2975" s="299">
        <v>55</v>
      </c>
      <c r="F2975" s="430" t="s">
        <v>3504</v>
      </c>
      <c r="G2975" s="300" t="str">
        <f t="shared" si="96"/>
        <v>RieslingBayern</v>
      </c>
    </row>
    <row r="2976" spans="1:7" ht="12" customHeight="1">
      <c r="A2976" s="298">
        <v>36310</v>
      </c>
      <c r="B2976" s="299" t="s">
        <v>3513</v>
      </c>
      <c r="C2976" s="299">
        <v>90</v>
      </c>
      <c r="D2976" s="299">
        <f t="shared" si="95"/>
        <v>5</v>
      </c>
      <c r="E2976" s="299">
        <v>58</v>
      </c>
      <c r="F2976" s="430" t="s">
        <v>3504</v>
      </c>
      <c r="G2976" s="300" t="str">
        <f t="shared" si="96"/>
        <v>RieslingBayern</v>
      </c>
    </row>
    <row r="2977" spans="1:7" ht="12" customHeight="1">
      <c r="A2977" s="298">
        <v>36345</v>
      </c>
      <c r="B2977" s="299" t="s">
        <v>3513</v>
      </c>
      <c r="C2977" s="299">
        <v>210</v>
      </c>
      <c r="D2977" s="299">
        <f t="shared" si="95"/>
        <v>7</v>
      </c>
      <c r="E2977" s="299">
        <v>55</v>
      </c>
      <c r="F2977" s="430" t="s">
        <v>3504</v>
      </c>
      <c r="G2977" s="300" t="str">
        <f t="shared" si="96"/>
        <v>RieslingBayern</v>
      </c>
    </row>
    <row r="2978" spans="1:7" ht="12" customHeight="1">
      <c r="A2978" s="298">
        <v>36347</v>
      </c>
      <c r="B2978" s="299" t="s">
        <v>3513</v>
      </c>
      <c r="C2978" s="299">
        <v>180</v>
      </c>
      <c r="D2978" s="299">
        <f t="shared" si="95"/>
        <v>7</v>
      </c>
      <c r="E2978" s="299">
        <v>55</v>
      </c>
      <c r="F2978" s="430" t="s">
        <v>3504</v>
      </c>
      <c r="G2978" s="300" t="str">
        <f t="shared" si="96"/>
        <v>RieslingBayern</v>
      </c>
    </row>
    <row r="2979" spans="1:7" ht="12" customHeight="1">
      <c r="A2979" s="298">
        <v>36368</v>
      </c>
      <c r="B2979" s="299" t="s">
        <v>3513</v>
      </c>
      <c r="C2979" s="299">
        <v>60</v>
      </c>
      <c r="D2979" s="299">
        <f t="shared" si="95"/>
        <v>7</v>
      </c>
      <c r="E2979" s="299">
        <v>55</v>
      </c>
      <c r="F2979" s="430" t="s">
        <v>3504</v>
      </c>
      <c r="G2979" s="300" t="str">
        <f t="shared" si="96"/>
        <v>RieslingBayern</v>
      </c>
    </row>
    <row r="2980" spans="1:7" ht="12" customHeight="1">
      <c r="A2980" s="298">
        <v>36373</v>
      </c>
      <c r="B2980" s="299" t="s">
        <v>3513</v>
      </c>
      <c r="C2980" s="299">
        <v>120</v>
      </c>
      <c r="D2980" s="299">
        <f t="shared" si="95"/>
        <v>8</v>
      </c>
      <c r="E2980" s="299">
        <v>60</v>
      </c>
      <c r="F2980" s="430" t="s">
        <v>3504</v>
      </c>
      <c r="G2980" s="300" t="str">
        <f t="shared" si="96"/>
        <v>RieslingBayern</v>
      </c>
    </row>
    <row r="2981" spans="1:7" ht="12" customHeight="1">
      <c r="A2981" s="298">
        <v>36394</v>
      </c>
      <c r="B2981" s="299" t="s">
        <v>3513</v>
      </c>
      <c r="C2981" s="299">
        <v>90</v>
      </c>
      <c r="D2981" s="299">
        <f t="shared" si="95"/>
        <v>8</v>
      </c>
      <c r="E2981" s="299">
        <v>55</v>
      </c>
      <c r="F2981" s="430" t="s">
        <v>3504</v>
      </c>
      <c r="G2981" s="300" t="str">
        <f t="shared" si="96"/>
        <v>RieslingBayern</v>
      </c>
    </row>
    <row r="2982" spans="1:7" ht="12" customHeight="1">
      <c r="A2982" s="298">
        <v>36430</v>
      </c>
      <c r="B2982" s="299" t="s">
        <v>3513</v>
      </c>
      <c r="C2982" s="299">
        <v>210</v>
      </c>
      <c r="D2982" s="299">
        <f t="shared" si="95"/>
        <v>9</v>
      </c>
      <c r="E2982" s="299">
        <v>56</v>
      </c>
      <c r="F2982" s="430" t="s">
        <v>3504</v>
      </c>
      <c r="G2982" s="300" t="str">
        <f t="shared" si="96"/>
        <v>RieslingBayern</v>
      </c>
    </row>
    <row r="2983" spans="1:7" ht="12" customHeight="1">
      <c r="A2983" s="298">
        <v>36225</v>
      </c>
      <c r="B2983" s="299" t="s">
        <v>3513</v>
      </c>
      <c r="C2983" s="299">
        <v>210</v>
      </c>
      <c r="D2983" s="299">
        <f t="shared" si="95"/>
        <v>3</v>
      </c>
      <c r="E2983" s="299">
        <v>59</v>
      </c>
      <c r="F2983" s="430" t="s">
        <v>3502</v>
      </c>
      <c r="G2983" s="300" t="str">
        <f t="shared" si="96"/>
        <v>RieslingHessen</v>
      </c>
    </row>
    <row r="2984" spans="1:7" ht="12" customHeight="1">
      <c r="A2984" s="298">
        <v>36297</v>
      </c>
      <c r="B2984" s="299" t="s">
        <v>3513</v>
      </c>
      <c r="C2984" s="299">
        <v>80</v>
      </c>
      <c r="D2984" s="299">
        <f t="shared" si="95"/>
        <v>5</v>
      </c>
      <c r="E2984" s="299">
        <v>55</v>
      </c>
      <c r="F2984" s="430" t="s">
        <v>3503</v>
      </c>
      <c r="G2984" s="300" t="str">
        <f t="shared" si="96"/>
        <v>RieslingHolstein</v>
      </c>
    </row>
    <row r="2985" spans="1:7" ht="12" customHeight="1">
      <c r="A2985" s="298">
        <v>36350</v>
      </c>
      <c r="B2985" s="299" t="s">
        <v>3513</v>
      </c>
      <c r="C2985" s="299">
        <v>80</v>
      </c>
      <c r="D2985" s="299">
        <f t="shared" si="95"/>
        <v>7</v>
      </c>
      <c r="E2985" s="299">
        <v>57</v>
      </c>
      <c r="F2985" s="430" t="s">
        <v>3503</v>
      </c>
      <c r="G2985" s="300" t="str">
        <f t="shared" si="96"/>
        <v>RieslingHolstein</v>
      </c>
    </row>
    <row r="2986" spans="1:7" ht="12" customHeight="1">
      <c r="A2986" s="298">
        <v>36388</v>
      </c>
      <c r="B2986" s="299" t="s">
        <v>3513</v>
      </c>
      <c r="C2986" s="299">
        <v>120</v>
      </c>
      <c r="D2986" s="299">
        <f t="shared" si="95"/>
        <v>8</v>
      </c>
      <c r="E2986" s="299">
        <v>55</v>
      </c>
      <c r="F2986" s="430" t="s">
        <v>3503</v>
      </c>
      <c r="G2986" s="300" t="str">
        <f t="shared" si="96"/>
        <v>RieslingHolstein</v>
      </c>
    </row>
    <row r="2987" spans="1:7" ht="12" customHeight="1">
      <c r="A2987" s="298">
        <v>36395</v>
      </c>
      <c r="B2987" s="299" t="s">
        <v>3513</v>
      </c>
      <c r="C2987" s="299">
        <v>120</v>
      </c>
      <c r="D2987" s="299">
        <f t="shared" si="95"/>
        <v>8</v>
      </c>
      <c r="E2987" s="299">
        <v>55</v>
      </c>
      <c r="F2987" s="430" t="s">
        <v>3503</v>
      </c>
      <c r="G2987" s="300" t="str">
        <f t="shared" si="96"/>
        <v>RieslingHolstein</v>
      </c>
    </row>
    <row r="2988" spans="1:7" ht="12" customHeight="1">
      <c r="A2988" s="298">
        <v>36396</v>
      </c>
      <c r="B2988" s="299" t="s">
        <v>3513</v>
      </c>
      <c r="C2988" s="299">
        <v>120</v>
      </c>
      <c r="D2988" s="299">
        <f t="shared" si="95"/>
        <v>8</v>
      </c>
      <c r="E2988" s="299">
        <v>55</v>
      </c>
      <c r="F2988" s="430" t="s">
        <v>3503</v>
      </c>
      <c r="G2988" s="300" t="str">
        <f t="shared" si="96"/>
        <v>RieslingHolstein</v>
      </c>
    </row>
    <row r="2989" spans="1:7" ht="12" customHeight="1">
      <c r="A2989" s="298">
        <v>36400</v>
      </c>
      <c r="B2989" s="299" t="s">
        <v>3513</v>
      </c>
      <c r="C2989" s="299">
        <v>50</v>
      </c>
      <c r="D2989" s="299">
        <f t="shared" si="95"/>
        <v>8</v>
      </c>
      <c r="E2989" s="299">
        <v>55</v>
      </c>
      <c r="F2989" s="430" t="s">
        <v>3503</v>
      </c>
      <c r="G2989" s="300" t="str">
        <f t="shared" si="96"/>
        <v>RieslingHolstein</v>
      </c>
    </row>
    <row r="2990" spans="1:7" ht="12" customHeight="1">
      <c r="A2990" s="298">
        <v>36253</v>
      </c>
      <c r="B2990" s="299" t="s">
        <v>3513</v>
      </c>
      <c r="C2990" s="299">
        <v>90</v>
      </c>
      <c r="D2990" s="299">
        <f t="shared" si="95"/>
        <v>4</v>
      </c>
      <c r="E2990" s="299">
        <v>59</v>
      </c>
      <c r="F2990" s="430" t="s">
        <v>3497</v>
      </c>
      <c r="G2990" s="300" t="str">
        <f t="shared" si="96"/>
        <v>RieslingNRW</v>
      </c>
    </row>
    <row r="2991" spans="1:7" ht="12" customHeight="1">
      <c r="A2991" s="298">
        <v>36253</v>
      </c>
      <c r="B2991" s="299" t="s">
        <v>3513</v>
      </c>
      <c r="C2991" s="299">
        <v>150</v>
      </c>
      <c r="D2991" s="299">
        <f t="shared" si="95"/>
        <v>4</v>
      </c>
      <c r="E2991" s="299">
        <v>58</v>
      </c>
      <c r="F2991" s="430" t="s">
        <v>3497</v>
      </c>
      <c r="G2991" s="300" t="str">
        <f t="shared" si="96"/>
        <v>RieslingNRW</v>
      </c>
    </row>
    <row r="2992" spans="1:7" ht="12" customHeight="1">
      <c r="A2992" s="298">
        <v>36257</v>
      </c>
      <c r="B2992" s="299" t="s">
        <v>3513</v>
      </c>
      <c r="C2992" s="299">
        <v>20</v>
      </c>
      <c r="D2992" s="299">
        <f t="shared" si="95"/>
        <v>4</v>
      </c>
      <c r="E2992" s="299">
        <v>57</v>
      </c>
      <c r="F2992" s="430" t="s">
        <v>3497</v>
      </c>
      <c r="G2992" s="300" t="str">
        <f t="shared" si="96"/>
        <v>RieslingNRW</v>
      </c>
    </row>
    <row r="2993" spans="1:7" ht="12" customHeight="1">
      <c r="A2993" s="298">
        <v>36258</v>
      </c>
      <c r="B2993" s="299" t="s">
        <v>3513</v>
      </c>
      <c r="C2993" s="299">
        <v>90</v>
      </c>
      <c r="D2993" s="299">
        <f t="shared" si="95"/>
        <v>4</v>
      </c>
      <c r="E2993" s="299">
        <v>58</v>
      </c>
      <c r="F2993" s="430" t="s">
        <v>3497</v>
      </c>
      <c r="G2993" s="300" t="str">
        <f t="shared" si="96"/>
        <v>RieslingNRW</v>
      </c>
    </row>
    <row r="2994" spans="1:7" ht="12" customHeight="1">
      <c r="A2994" s="298">
        <v>36274</v>
      </c>
      <c r="B2994" s="299" t="s">
        <v>3513</v>
      </c>
      <c r="C2994" s="299">
        <v>210</v>
      </c>
      <c r="D2994" s="299">
        <f t="shared" si="95"/>
        <v>4</v>
      </c>
      <c r="E2994" s="299">
        <v>58</v>
      </c>
      <c r="F2994" s="430" t="s">
        <v>3497</v>
      </c>
      <c r="G2994" s="300" t="str">
        <f t="shared" si="96"/>
        <v>RieslingNRW</v>
      </c>
    </row>
    <row r="2995" spans="1:7" ht="12" customHeight="1">
      <c r="A2995" s="298">
        <v>36277</v>
      </c>
      <c r="B2995" s="299" t="s">
        <v>3513</v>
      </c>
      <c r="C2995" s="299">
        <v>90</v>
      </c>
      <c r="D2995" s="299">
        <f t="shared" si="95"/>
        <v>4</v>
      </c>
      <c r="E2995" s="299">
        <v>58</v>
      </c>
      <c r="F2995" s="430" t="s">
        <v>3497</v>
      </c>
      <c r="G2995" s="300" t="str">
        <f t="shared" si="96"/>
        <v>RieslingNRW</v>
      </c>
    </row>
    <row r="2996" spans="1:7" ht="12" customHeight="1">
      <c r="A2996" s="298">
        <v>36278</v>
      </c>
      <c r="B2996" s="299" t="s">
        <v>3513</v>
      </c>
      <c r="C2996" s="299">
        <v>30</v>
      </c>
      <c r="D2996" s="299">
        <f t="shared" si="95"/>
        <v>4</v>
      </c>
      <c r="E2996" s="299">
        <v>60</v>
      </c>
      <c r="F2996" s="430" t="s">
        <v>3497</v>
      </c>
      <c r="G2996" s="300" t="str">
        <f t="shared" si="96"/>
        <v>RieslingNRW</v>
      </c>
    </row>
    <row r="2997" spans="1:7" ht="12" customHeight="1">
      <c r="A2997" s="298">
        <v>36290</v>
      </c>
      <c r="B2997" s="299" t="s">
        <v>3513</v>
      </c>
      <c r="C2997" s="299">
        <v>50</v>
      </c>
      <c r="D2997" s="299">
        <f t="shared" si="95"/>
        <v>5</v>
      </c>
      <c r="E2997" s="299">
        <v>56</v>
      </c>
      <c r="F2997" s="430" t="s">
        <v>3497</v>
      </c>
      <c r="G2997" s="300" t="str">
        <f t="shared" si="96"/>
        <v>RieslingNRW</v>
      </c>
    </row>
    <row r="2998" spans="1:7" ht="12" customHeight="1">
      <c r="A2998" s="298">
        <v>36300</v>
      </c>
      <c r="B2998" s="299" t="s">
        <v>3513</v>
      </c>
      <c r="C2998" s="299">
        <v>150</v>
      </c>
      <c r="D2998" s="299">
        <f t="shared" si="95"/>
        <v>5</v>
      </c>
      <c r="E2998" s="299">
        <v>56</v>
      </c>
      <c r="F2998" s="430" t="s">
        <v>3497</v>
      </c>
      <c r="G2998" s="300" t="str">
        <f t="shared" si="96"/>
        <v>RieslingNRW</v>
      </c>
    </row>
    <row r="2999" spans="1:7" ht="12" customHeight="1">
      <c r="A2999" s="298">
        <v>36308</v>
      </c>
      <c r="B2999" s="299" t="s">
        <v>3513</v>
      </c>
      <c r="C2999" s="299">
        <v>120</v>
      </c>
      <c r="D2999" s="299">
        <f t="shared" si="95"/>
        <v>5</v>
      </c>
      <c r="E2999" s="299">
        <v>56</v>
      </c>
      <c r="F2999" s="430" t="s">
        <v>3497</v>
      </c>
      <c r="G2999" s="300" t="str">
        <f t="shared" si="96"/>
        <v>RieslingNRW</v>
      </c>
    </row>
    <row r="3000" spans="1:7" ht="12" customHeight="1">
      <c r="A3000" s="298">
        <v>36316</v>
      </c>
      <c r="B3000" s="299" t="s">
        <v>3513</v>
      </c>
      <c r="C3000" s="299">
        <v>60</v>
      </c>
      <c r="D3000" s="299">
        <f t="shared" si="95"/>
        <v>6</v>
      </c>
      <c r="E3000" s="299">
        <v>60</v>
      </c>
      <c r="F3000" s="430" t="s">
        <v>3497</v>
      </c>
      <c r="G3000" s="300" t="str">
        <f t="shared" si="96"/>
        <v>RieslingNRW</v>
      </c>
    </row>
    <row r="3001" spans="1:7" ht="12" customHeight="1">
      <c r="A3001" s="298">
        <v>36348</v>
      </c>
      <c r="B3001" s="299" t="s">
        <v>3513</v>
      </c>
      <c r="C3001" s="299">
        <v>150</v>
      </c>
      <c r="D3001" s="299">
        <f t="shared" si="95"/>
        <v>7</v>
      </c>
      <c r="E3001" s="299">
        <v>56</v>
      </c>
      <c r="F3001" s="430" t="s">
        <v>3497</v>
      </c>
      <c r="G3001" s="300" t="str">
        <f t="shared" si="96"/>
        <v>RieslingNRW</v>
      </c>
    </row>
    <row r="3002" spans="1:7" ht="12" customHeight="1">
      <c r="A3002" s="298">
        <v>36364</v>
      </c>
      <c r="B3002" s="299" t="s">
        <v>3513</v>
      </c>
      <c r="C3002" s="299">
        <v>30</v>
      </c>
      <c r="D3002" s="299">
        <f t="shared" si="95"/>
        <v>7</v>
      </c>
      <c r="E3002" s="299">
        <v>58</v>
      </c>
      <c r="F3002" s="430" t="s">
        <v>3497</v>
      </c>
      <c r="G3002" s="300" t="str">
        <f t="shared" si="96"/>
        <v>RieslingNRW</v>
      </c>
    </row>
    <row r="3003" spans="1:7" ht="12" customHeight="1">
      <c r="A3003" s="298">
        <v>36368</v>
      </c>
      <c r="B3003" s="299" t="s">
        <v>3513</v>
      </c>
      <c r="C3003" s="299">
        <v>30</v>
      </c>
      <c r="D3003" s="299">
        <f t="shared" si="95"/>
        <v>7</v>
      </c>
      <c r="E3003" s="299">
        <v>60</v>
      </c>
      <c r="F3003" s="430" t="s">
        <v>3497</v>
      </c>
      <c r="G3003" s="300" t="str">
        <f t="shared" si="96"/>
        <v>RieslingNRW</v>
      </c>
    </row>
    <row r="3004" spans="1:7" ht="12" customHeight="1">
      <c r="A3004" s="298">
        <v>36377</v>
      </c>
      <c r="B3004" s="299" t="s">
        <v>3513</v>
      </c>
      <c r="C3004" s="299">
        <v>150</v>
      </c>
      <c r="D3004" s="299">
        <f t="shared" si="95"/>
        <v>8</v>
      </c>
      <c r="E3004" s="299">
        <v>56</v>
      </c>
      <c r="F3004" s="430" t="s">
        <v>3497</v>
      </c>
      <c r="G3004" s="300" t="str">
        <f t="shared" si="96"/>
        <v>RieslingNRW</v>
      </c>
    </row>
    <row r="3005" spans="1:7" ht="12" customHeight="1">
      <c r="A3005" s="298">
        <v>36382</v>
      </c>
      <c r="B3005" s="299" t="s">
        <v>3513</v>
      </c>
      <c r="C3005" s="299">
        <v>20</v>
      </c>
      <c r="D3005" s="299">
        <f t="shared" si="95"/>
        <v>8</v>
      </c>
      <c r="E3005" s="299">
        <v>56</v>
      </c>
      <c r="F3005" s="430" t="s">
        <v>3497</v>
      </c>
      <c r="G3005" s="300" t="str">
        <f t="shared" si="96"/>
        <v>RieslingNRW</v>
      </c>
    </row>
    <row r="3006" spans="1:7" ht="12" customHeight="1">
      <c r="A3006" s="298">
        <v>36386</v>
      </c>
      <c r="B3006" s="299" t="s">
        <v>3513</v>
      </c>
      <c r="C3006" s="299">
        <v>10</v>
      </c>
      <c r="D3006" s="299">
        <f t="shared" si="95"/>
        <v>8</v>
      </c>
      <c r="E3006" s="299">
        <v>57</v>
      </c>
      <c r="F3006" s="430" t="s">
        <v>3497</v>
      </c>
      <c r="G3006" s="300" t="str">
        <f t="shared" si="96"/>
        <v>RieslingNRW</v>
      </c>
    </row>
    <row r="3007" spans="1:7" ht="12" customHeight="1">
      <c r="A3007" s="298">
        <v>36427</v>
      </c>
      <c r="B3007" s="299" t="s">
        <v>3513</v>
      </c>
      <c r="C3007" s="299">
        <v>100</v>
      </c>
      <c r="D3007" s="299">
        <f t="shared" si="95"/>
        <v>9</v>
      </c>
      <c r="E3007" s="299">
        <v>59</v>
      </c>
      <c r="F3007" s="430" t="s">
        <v>3497</v>
      </c>
      <c r="G3007" s="300" t="str">
        <f t="shared" si="96"/>
        <v>RieslingNRW</v>
      </c>
    </row>
    <row r="3008" spans="1:7" ht="12" customHeight="1">
      <c r="A3008" s="298">
        <v>36434</v>
      </c>
      <c r="B3008" s="299" t="s">
        <v>3513</v>
      </c>
      <c r="C3008" s="299">
        <v>60</v>
      </c>
      <c r="D3008" s="299">
        <f t="shared" si="95"/>
        <v>10</v>
      </c>
      <c r="E3008" s="299">
        <v>56</v>
      </c>
      <c r="F3008" s="430" t="s">
        <v>3497</v>
      </c>
      <c r="G3008" s="300" t="str">
        <f t="shared" si="96"/>
        <v>RieslingNRW</v>
      </c>
    </row>
    <row r="3009" spans="1:7" ht="12" customHeight="1">
      <c r="A3009" s="298">
        <v>36448</v>
      </c>
      <c r="B3009" s="299" t="s">
        <v>3513</v>
      </c>
      <c r="C3009" s="299">
        <v>60</v>
      </c>
      <c r="D3009" s="299">
        <f t="shared" si="95"/>
        <v>10</v>
      </c>
      <c r="E3009" s="299">
        <v>56</v>
      </c>
      <c r="F3009" s="430" t="s">
        <v>3497</v>
      </c>
      <c r="G3009" s="300" t="str">
        <f t="shared" si="96"/>
        <v>RieslingNRW</v>
      </c>
    </row>
    <row r="3010" spans="1:7" ht="12" customHeight="1">
      <c r="A3010" s="298">
        <v>36461</v>
      </c>
      <c r="B3010" s="299" t="s">
        <v>3513</v>
      </c>
      <c r="C3010" s="299">
        <v>100</v>
      </c>
      <c r="D3010" s="299">
        <f t="shared" si="95"/>
        <v>10</v>
      </c>
      <c r="E3010" s="299">
        <v>61</v>
      </c>
      <c r="F3010" s="430" t="s">
        <v>3497</v>
      </c>
      <c r="G3010" s="300" t="str">
        <f t="shared" si="96"/>
        <v>RieslingNRW</v>
      </c>
    </row>
    <row r="3011" spans="1:7" ht="12" customHeight="1">
      <c r="A3011" s="298">
        <v>36499</v>
      </c>
      <c r="B3011" s="299" t="s">
        <v>3513</v>
      </c>
      <c r="C3011" s="299">
        <v>90</v>
      </c>
      <c r="D3011" s="299">
        <f t="shared" si="95"/>
        <v>12</v>
      </c>
      <c r="E3011" s="299">
        <v>55</v>
      </c>
      <c r="F3011" s="430" t="s">
        <v>3497</v>
      </c>
      <c r="G3011" s="300" t="str">
        <f t="shared" si="96"/>
        <v>RieslingNRW</v>
      </c>
    </row>
    <row r="3012" spans="1:7" ht="12" customHeight="1">
      <c r="A3012" s="298">
        <v>36507</v>
      </c>
      <c r="B3012" s="299" t="s">
        <v>3513</v>
      </c>
      <c r="C3012" s="299">
        <v>60</v>
      </c>
      <c r="D3012" s="299">
        <f t="shared" si="95"/>
        <v>12</v>
      </c>
      <c r="E3012" s="299">
        <v>55</v>
      </c>
      <c r="F3012" s="430" t="s">
        <v>3497</v>
      </c>
      <c r="G3012" s="300" t="str">
        <f t="shared" si="96"/>
        <v>RieslingNRW</v>
      </c>
    </row>
    <row r="3013" spans="1:7" ht="12" customHeight="1">
      <c r="A3013" s="298">
        <v>36163</v>
      </c>
      <c r="B3013" s="299" t="s">
        <v>3513</v>
      </c>
      <c r="C3013" s="299">
        <v>80</v>
      </c>
      <c r="D3013" s="299">
        <f t="shared" si="95"/>
        <v>1</v>
      </c>
      <c r="E3013" s="299">
        <v>61</v>
      </c>
      <c r="F3013" s="430" t="s">
        <v>3499</v>
      </c>
      <c r="G3013" s="300" t="str">
        <f t="shared" si="96"/>
        <v>RieslingPfalz</v>
      </c>
    </row>
    <row r="3014" spans="1:7" ht="12" customHeight="1">
      <c r="A3014" s="298">
        <v>36216</v>
      </c>
      <c r="B3014" s="299" t="s">
        <v>3513</v>
      </c>
      <c r="C3014" s="299">
        <v>30</v>
      </c>
      <c r="D3014" s="299">
        <f t="shared" ref="D3014:D3077" si="97">MONTH(A3014)</f>
        <v>2</v>
      </c>
      <c r="E3014" s="299">
        <v>60</v>
      </c>
      <c r="F3014" s="430" t="s">
        <v>3499</v>
      </c>
      <c r="G3014" s="300" t="str">
        <f t="shared" ref="G3014:G3077" si="98">B3014&amp;F3014</f>
        <v>RieslingPfalz</v>
      </c>
    </row>
    <row r="3015" spans="1:7" ht="12" customHeight="1">
      <c r="A3015" s="298">
        <v>36232</v>
      </c>
      <c r="B3015" s="299" t="s">
        <v>3513</v>
      </c>
      <c r="C3015" s="299">
        <v>150</v>
      </c>
      <c r="D3015" s="299">
        <f t="shared" si="97"/>
        <v>3</v>
      </c>
      <c r="E3015" s="299">
        <v>61</v>
      </c>
      <c r="F3015" s="430" t="s">
        <v>3499</v>
      </c>
      <c r="G3015" s="300" t="str">
        <f t="shared" si="98"/>
        <v>RieslingPfalz</v>
      </c>
    </row>
    <row r="3016" spans="1:7" ht="12" customHeight="1">
      <c r="A3016" s="298">
        <v>36234</v>
      </c>
      <c r="B3016" s="299" t="s">
        <v>3513</v>
      </c>
      <c r="C3016" s="299">
        <v>10</v>
      </c>
      <c r="D3016" s="299">
        <f t="shared" si="97"/>
        <v>3</v>
      </c>
      <c r="E3016" s="299">
        <v>61</v>
      </c>
      <c r="F3016" s="430" t="s">
        <v>3499</v>
      </c>
      <c r="G3016" s="300" t="str">
        <f t="shared" si="98"/>
        <v>RieslingPfalz</v>
      </c>
    </row>
    <row r="3017" spans="1:7" ht="12" customHeight="1">
      <c r="A3017" s="298">
        <v>36244</v>
      </c>
      <c r="B3017" s="299" t="s">
        <v>3513</v>
      </c>
      <c r="C3017" s="299">
        <v>60</v>
      </c>
      <c r="D3017" s="299">
        <f t="shared" si="97"/>
        <v>3</v>
      </c>
      <c r="E3017" s="299">
        <v>61</v>
      </c>
      <c r="F3017" s="430" t="s">
        <v>3499</v>
      </c>
      <c r="G3017" s="300" t="str">
        <f t="shared" si="98"/>
        <v>RieslingPfalz</v>
      </c>
    </row>
    <row r="3018" spans="1:7" ht="12" customHeight="1">
      <c r="A3018" s="298">
        <v>36265</v>
      </c>
      <c r="B3018" s="299" t="s">
        <v>3513</v>
      </c>
      <c r="C3018" s="299">
        <v>150</v>
      </c>
      <c r="D3018" s="299">
        <f t="shared" si="97"/>
        <v>4</v>
      </c>
      <c r="E3018" s="299">
        <v>60</v>
      </c>
      <c r="F3018" s="430" t="s">
        <v>3499</v>
      </c>
      <c r="G3018" s="300" t="str">
        <f t="shared" si="98"/>
        <v>RieslingPfalz</v>
      </c>
    </row>
    <row r="3019" spans="1:7" ht="12" customHeight="1">
      <c r="A3019" s="298">
        <v>36269</v>
      </c>
      <c r="B3019" s="299" t="s">
        <v>3513</v>
      </c>
      <c r="C3019" s="299">
        <v>180</v>
      </c>
      <c r="D3019" s="299">
        <f t="shared" si="97"/>
        <v>4</v>
      </c>
      <c r="E3019" s="299">
        <v>60</v>
      </c>
      <c r="F3019" s="430" t="s">
        <v>3499</v>
      </c>
      <c r="G3019" s="300" t="str">
        <f t="shared" si="98"/>
        <v>RieslingPfalz</v>
      </c>
    </row>
    <row r="3020" spans="1:7" ht="12" customHeight="1">
      <c r="A3020" s="298">
        <v>36272</v>
      </c>
      <c r="B3020" s="299" t="s">
        <v>3513</v>
      </c>
      <c r="C3020" s="299">
        <v>80</v>
      </c>
      <c r="D3020" s="299">
        <f t="shared" si="97"/>
        <v>4</v>
      </c>
      <c r="E3020" s="299">
        <v>60</v>
      </c>
      <c r="F3020" s="430" t="s">
        <v>3499</v>
      </c>
      <c r="G3020" s="300" t="str">
        <f t="shared" si="98"/>
        <v>RieslingPfalz</v>
      </c>
    </row>
    <row r="3021" spans="1:7" ht="12" customHeight="1">
      <c r="A3021" s="298">
        <v>36272</v>
      </c>
      <c r="B3021" s="299" t="s">
        <v>3513</v>
      </c>
      <c r="C3021" s="299">
        <v>210</v>
      </c>
      <c r="D3021" s="299">
        <f t="shared" si="97"/>
        <v>4</v>
      </c>
      <c r="E3021" s="299">
        <v>60</v>
      </c>
      <c r="F3021" s="430" t="s">
        <v>3499</v>
      </c>
      <c r="G3021" s="300" t="str">
        <f t="shared" si="98"/>
        <v>RieslingPfalz</v>
      </c>
    </row>
    <row r="3022" spans="1:7" ht="12" customHeight="1">
      <c r="A3022" s="298">
        <v>36284</v>
      </c>
      <c r="B3022" s="299" t="s">
        <v>3513</v>
      </c>
      <c r="C3022" s="299">
        <v>90</v>
      </c>
      <c r="D3022" s="299">
        <f t="shared" si="97"/>
        <v>5</v>
      </c>
      <c r="E3022" s="299">
        <v>58</v>
      </c>
      <c r="F3022" s="430" t="s">
        <v>3499</v>
      </c>
      <c r="G3022" s="300" t="str">
        <f t="shared" si="98"/>
        <v>RieslingPfalz</v>
      </c>
    </row>
    <row r="3023" spans="1:7" ht="12" customHeight="1">
      <c r="A3023" s="298">
        <v>36286</v>
      </c>
      <c r="B3023" s="299" t="s">
        <v>3513</v>
      </c>
      <c r="C3023" s="299">
        <v>40</v>
      </c>
      <c r="D3023" s="299">
        <f t="shared" si="97"/>
        <v>5</v>
      </c>
      <c r="E3023" s="299">
        <v>58</v>
      </c>
      <c r="F3023" s="430" t="s">
        <v>3499</v>
      </c>
      <c r="G3023" s="300" t="str">
        <f t="shared" si="98"/>
        <v>RieslingPfalz</v>
      </c>
    </row>
    <row r="3024" spans="1:7" ht="12" customHeight="1">
      <c r="A3024" s="298">
        <v>36293</v>
      </c>
      <c r="B3024" s="299" t="s">
        <v>3513</v>
      </c>
      <c r="C3024" s="299">
        <v>150</v>
      </c>
      <c r="D3024" s="299">
        <f t="shared" si="97"/>
        <v>5</v>
      </c>
      <c r="E3024" s="299">
        <v>58</v>
      </c>
      <c r="F3024" s="430" t="s">
        <v>3499</v>
      </c>
      <c r="G3024" s="300" t="str">
        <f t="shared" si="98"/>
        <v>RieslingPfalz</v>
      </c>
    </row>
    <row r="3025" spans="1:7" ht="12" customHeight="1">
      <c r="A3025" s="298">
        <v>36297</v>
      </c>
      <c r="B3025" s="299" t="s">
        <v>3513</v>
      </c>
      <c r="C3025" s="299">
        <v>210</v>
      </c>
      <c r="D3025" s="299">
        <f t="shared" si="97"/>
        <v>5</v>
      </c>
      <c r="E3025" s="299">
        <v>55</v>
      </c>
      <c r="F3025" s="430" t="s">
        <v>3499</v>
      </c>
      <c r="G3025" s="300" t="str">
        <f t="shared" si="98"/>
        <v>RieslingPfalz</v>
      </c>
    </row>
    <row r="3026" spans="1:7" ht="12" customHeight="1">
      <c r="A3026" s="298">
        <v>36302</v>
      </c>
      <c r="B3026" s="299" t="s">
        <v>3513</v>
      </c>
      <c r="C3026" s="299">
        <v>100</v>
      </c>
      <c r="D3026" s="299">
        <f t="shared" si="97"/>
        <v>5</v>
      </c>
      <c r="E3026" s="299">
        <v>61</v>
      </c>
      <c r="F3026" s="430" t="s">
        <v>3499</v>
      </c>
      <c r="G3026" s="300" t="str">
        <f t="shared" si="98"/>
        <v>RieslingPfalz</v>
      </c>
    </row>
    <row r="3027" spans="1:7" ht="12" customHeight="1">
      <c r="A3027" s="298">
        <v>36302</v>
      </c>
      <c r="B3027" s="299" t="s">
        <v>3513</v>
      </c>
      <c r="C3027" s="299">
        <v>100</v>
      </c>
      <c r="D3027" s="299">
        <f t="shared" si="97"/>
        <v>5</v>
      </c>
      <c r="E3027" s="299">
        <v>55</v>
      </c>
      <c r="F3027" s="430" t="s">
        <v>3499</v>
      </c>
      <c r="G3027" s="300" t="str">
        <f t="shared" si="98"/>
        <v>RieslingPfalz</v>
      </c>
    </row>
    <row r="3028" spans="1:7" ht="12" customHeight="1">
      <c r="A3028" s="298">
        <v>36306</v>
      </c>
      <c r="B3028" s="299" t="s">
        <v>3513</v>
      </c>
      <c r="C3028" s="299">
        <v>210</v>
      </c>
      <c r="D3028" s="299">
        <f t="shared" si="97"/>
        <v>5</v>
      </c>
      <c r="E3028" s="299">
        <v>61</v>
      </c>
      <c r="F3028" s="430" t="s">
        <v>3499</v>
      </c>
      <c r="G3028" s="300" t="str">
        <f t="shared" si="98"/>
        <v>RieslingPfalz</v>
      </c>
    </row>
    <row r="3029" spans="1:7" ht="12" customHeight="1">
      <c r="A3029" s="298">
        <v>36310</v>
      </c>
      <c r="B3029" s="299" t="s">
        <v>3513</v>
      </c>
      <c r="C3029" s="299">
        <v>10</v>
      </c>
      <c r="D3029" s="299">
        <f t="shared" si="97"/>
        <v>5</v>
      </c>
      <c r="E3029" s="299">
        <v>61</v>
      </c>
      <c r="F3029" s="430" t="s">
        <v>3499</v>
      </c>
      <c r="G3029" s="300" t="str">
        <f t="shared" si="98"/>
        <v>RieslingPfalz</v>
      </c>
    </row>
    <row r="3030" spans="1:7" ht="12" customHeight="1">
      <c r="A3030" s="298">
        <v>36323</v>
      </c>
      <c r="B3030" s="299" t="s">
        <v>3513</v>
      </c>
      <c r="C3030" s="299">
        <v>120</v>
      </c>
      <c r="D3030" s="299">
        <f t="shared" si="97"/>
        <v>6</v>
      </c>
      <c r="E3030" s="299">
        <v>57</v>
      </c>
      <c r="F3030" s="430" t="s">
        <v>3499</v>
      </c>
      <c r="G3030" s="300" t="str">
        <f t="shared" si="98"/>
        <v>RieslingPfalz</v>
      </c>
    </row>
    <row r="3031" spans="1:7" ht="12" customHeight="1">
      <c r="A3031" s="298">
        <v>36324</v>
      </c>
      <c r="B3031" s="299" t="s">
        <v>3513</v>
      </c>
      <c r="C3031" s="299">
        <v>60</v>
      </c>
      <c r="D3031" s="299">
        <f t="shared" si="97"/>
        <v>6</v>
      </c>
      <c r="E3031" s="299">
        <v>57</v>
      </c>
      <c r="F3031" s="430" t="s">
        <v>3499</v>
      </c>
      <c r="G3031" s="300" t="str">
        <f t="shared" si="98"/>
        <v>RieslingPfalz</v>
      </c>
    </row>
    <row r="3032" spans="1:7" ht="12" customHeight="1">
      <c r="A3032" s="298">
        <v>36331</v>
      </c>
      <c r="B3032" s="299" t="s">
        <v>3513</v>
      </c>
      <c r="C3032" s="299">
        <v>90</v>
      </c>
      <c r="D3032" s="299">
        <f t="shared" si="97"/>
        <v>6</v>
      </c>
      <c r="E3032" s="299">
        <v>57</v>
      </c>
      <c r="F3032" s="430" t="s">
        <v>3499</v>
      </c>
      <c r="G3032" s="300" t="str">
        <f t="shared" si="98"/>
        <v>RieslingPfalz</v>
      </c>
    </row>
    <row r="3033" spans="1:7" ht="12" customHeight="1">
      <c r="A3033" s="298">
        <v>36332</v>
      </c>
      <c r="B3033" s="299" t="s">
        <v>3513</v>
      </c>
      <c r="C3033" s="299">
        <v>240</v>
      </c>
      <c r="D3033" s="299">
        <f t="shared" si="97"/>
        <v>6</v>
      </c>
      <c r="E3033" s="299">
        <v>57</v>
      </c>
      <c r="F3033" s="430" t="s">
        <v>3499</v>
      </c>
      <c r="G3033" s="300" t="str">
        <f t="shared" si="98"/>
        <v>RieslingPfalz</v>
      </c>
    </row>
    <row r="3034" spans="1:7" ht="12" customHeight="1">
      <c r="A3034" s="298">
        <v>36338</v>
      </c>
      <c r="B3034" s="299" t="s">
        <v>3513</v>
      </c>
      <c r="C3034" s="299">
        <v>90</v>
      </c>
      <c r="D3034" s="299">
        <f t="shared" si="97"/>
        <v>6</v>
      </c>
      <c r="E3034" s="299">
        <v>58</v>
      </c>
      <c r="F3034" s="430" t="s">
        <v>3499</v>
      </c>
      <c r="G3034" s="300" t="str">
        <f t="shared" si="98"/>
        <v>RieslingPfalz</v>
      </c>
    </row>
    <row r="3035" spans="1:7" ht="12" customHeight="1">
      <c r="A3035" s="298">
        <v>36345</v>
      </c>
      <c r="B3035" s="299" t="s">
        <v>3513</v>
      </c>
      <c r="C3035" s="299">
        <v>80</v>
      </c>
      <c r="D3035" s="299">
        <f t="shared" si="97"/>
        <v>7</v>
      </c>
      <c r="E3035" s="299">
        <v>57</v>
      </c>
      <c r="F3035" s="430" t="s">
        <v>3499</v>
      </c>
      <c r="G3035" s="300" t="str">
        <f t="shared" si="98"/>
        <v>RieslingPfalz</v>
      </c>
    </row>
    <row r="3036" spans="1:7" ht="12" customHeight="1">
      <c r="A3036" s="298">
        <v>36380</v>
      </c>
      <c r="B3036" s="299" t="s">
        <v>3513</v>
      </c>
      <c r="C3036" s="299">
        <v>120</v>
      </c>
      <c r="D3036" s="299">
        <f t="shared" si="97"/>
        <v>8</v>
      </c>
      <c r="E3036" s="299">
        <v>61</v>
      </c>
      <c r="F3036" s="430" t="s">
        <v>3499</v>
      </c>
      <c r="G3036" s="300" t="str">
        <f t="shared" si="98"/>
        <v>RieslingPfalz</v>
      </c>
    </row>
    <row r="3037" spans="1:7" ht="12" customHeight="1">
      <c r="A3037" s="298">
        <v>36387</v>
      </c>
      <c r="B3037" s="299" t="s">
        <v>3513</v>
      </c>
      <c r="C3037" s="299">
        <v>120</v>
      </c>
      <c r="D3037" s="299">
        <f t="shared" si="97"/>
        <v>8</v>
      </c>
      <c r="E3037" s="299">
        <v>61</v>
      </c>
      <c r="F3037" s="430" t="s">
        <v>3499</v>
      </c>
      <c r="G3037" s="300" t="str">
        <f t="shared" si="98"/>
        <v>RieslingPfalz</v>
      </c>
    </row>
    <row r="3038" spans="1:7" ht="12" customHeight="1">
      <c r="A3038" s="298">
        <v>36393</v>
      </c>
      <c r="B3038" s="299" t="s">
        <v>3513</v>
      </c>
      <c r="C3038" s="299">
        <v>10</v>
      </c>
      <c r="D3038" s="299">
        <f t="shared" si="97"/>
        <v>8</v>
      </c>
      <c r="E3038" s="299">
        <v>61</v>
      </c>
      <c r="F3038" s="430" t="s">
        <v>3499</v>
      </c>
      <c r="G3038" s="300" t="str">
        <f t="shared" si="98"/>
        <v>RieslingPfalz</v>
      </c>
    </row>
    <row r="3039" spans="1:7" ht="12" customHeight="1">
      <c r="A3039" s="298">
        <v>36399</v>
      </c>
      <c r="B3039" s="299" t="s">
        <v>3513</v>
      </c>
      <c r="C3039" s="299">
        <v>180</v>
      </c>
      <c r="D3039" s="299">
        <f t="shared" si="97"/>
        <v>8</v>
      </c>
      <c r="E3039" s="299">
        <v>61</v>
      </c>
      <c r="F3039" s="430" t="s">
        <v>3499</v>
      </c>
      <c r="G3039" s="300" t="str">
        <f t="shared" si="98"/>
        <v>RieslingPfalz</v>
      </c>
    </row>
    <row r="3040" spans="1:7" ht="12" customHeight="1">
      <c r="A3040" s="298">
        <v>36402</v>
      </c>
      <c r="B3040" s="299" t="s">
        <v>3513</v>
      </c>
      <c r="C3040" s="299">
        <v>210</v>
      </c>
      <c r="D3040" s="299">
        <f t="shared" si="97"/>
        <v>8</v>
      </c>
      <c r="E3040" s="299">
        <v>61</v>
      </c>
      <c r="F3040" s="430" t="s">
        <v>3499</v>
      </c>
      <c r="G3040" s="300" t="str">
        <f t="shared" si="98"/>
        <v>RieslingPfalz</v>
      </c>
    </row>
    <row r="3041" spans="1:7" ht="12" customHeight="1">
      <c r="A3041" s="298">
        <v>36408</v>
      </c>
      <c r="B3041" s="299" t="s">
        <v>3513</v>
      </c>
      <c r="C3041" s="299">
        <v>210</v>
      </c>
      <c r="D3041" s="299">
        <f t="shared" si="97"/>
        <v>9</v>
      </c>
      <c r="E3041" s="299">
        <v>57</v>
      </c>
      <c r="F3041" s="430" t="s">
        <v>3499</v>
      </c>
      <c r="G3041" s="300" t="str">
        <f t="shared" si="98"/>
        <v>RieslingPfalz</v>
      </c>
    </row>
    <row r="3042" spans="1:7" ht="12" customHeight="1">
      <c r="A3042" s="298">
        <v>36439</v>
      </c>
      <c r="B3042" s="299" t="s">
        <v>3513</v>
      </c>
      <c r="C3042" s="299">
        <v>150</v>
      </c>
      <c r="D3042" s="299">
        <f t="shared" si="97"/>
        <v>10</v>
      </c>
      <c r="E3042" s="299">
        <v>58</v>
      </c>
      <c r="F3042" s="430" t="s">
        <v>3499</v>
      </c>
      <c r="G3042" s="300" t="str">
        <f t="shared" si="98"/>
        <v>RieslingPfalz</v>
      </c>
    </row>
    <row r="3043" spans="1:7" ht="12" customHeight="1">
      <c r="A3043" s="298">
        <v>36443</v>
      </c>
      <c r="B3043" s="299" t="s">
        <v>3513</v>
      </c>
      <c r="C3043" s="299">
        <v>40</v>
      </c>
      <c r="D3043" s="299">
        <f t="shared" si="97"/>
        <v>10</v>
      </c>
      <c r="E3043" s="299">
        <v>61</v>
      </c>
      <c r="F3043" s="430" t="s">
        <v>3499</v>
      </c>
      <c r="G3043" s="300" t="str">
        <f t="shared" si="98"/>
        <v>RieslingPfalz</v>
      </c>
    </row>
    <row r="3044" spans="1:7" ht="12" customHeight="1">
      <c r="A3044" s="298">
        <v>36455</v>
      </c>
      <c r="B3044" s="299" t="s">
        <v>3513</v>
      </c>
      <c r="C3044" s="299">
        <v>110</v>
      </c>
      <c r="D3044" s="299">
        <f t="shared" si="97"/>
        <v>10</v>
      </c>
      <c r="E3044" s="299">
        <v>56</v>
      </c>
      <c r="F3044" s="430" t="s">
        <v>3499</v>
      </c>
      <c r="G3044" s="300" t="str">
        <f t="shared" si="98"/>
        <v>RieslingPfalz</v>
      </c>
    </row>
    <row r="3045" spans="1:7" ht="12" customHeight="1">
      <c r="A3045" s="298">
        <v>36457</v>
      </c>
      <c r="B3045" s="299" t="s">
        <v>3513</v>
      </c>
      <c r="C3045" s="299">
        <v>60</v>
      </c>
      <c r="D3045" s="299">
        <f t="shared" si="97"/>
        <v>10</v>
      </c>
      <c r="E3045" s="299">
        <v>56</v>
      </c>
      <c r="F3045" s="430" t="s">
        <v>3499</v>
      </c>
      <c r="G3045" s="300" t="str">
        <f t="shared" si="98"/>
        <v>RieslingPfalz</v>
      </c>
    </row>
    <row r="3046" spans="1:7" ht="12" customHeight="1">
      <c r="A3046" s="298">
        <v>36463</v>
      </c>
      <c r="B3046" s="299" t="s">
        <v>3513</v>
      </c>
      <c r="C3046" s="299">
        <v>150</v>
      </c>
      <c r="D3046" s="299">
        <f t="shared" si="97"/>
        <v>10</v>
      </c>
      <c r="E3046" s="299">
        <v>59</v>
      </c>
      <c r="F3046" s="430" t="s">
        <v>3499</v>
      </c>
      <c r="G3046" s="300" t="str">
        <f t="shared" si="98"/>
        <v>RieslingPfalz</v>
      </c>
    </row>
    <row r="3047" spans="1:7" ht="12" customHeight="1">
      <c r="A3047" s="298">
        <v>36478</v>
      </c>
      <c r="B3047" s="299" t="s">
        <v>3513</v>
      </c>
      <c r="C3047" s="299">
        <v>150</v>
      </c>
      <c r="D3047" s="299">
        <f t="shared" si="97"/>
        <v>11</v>
      </c>
      <c r="E3047" s="299">
        <v>59</v>
      </c>
      <c r="F3047" s="430" t="s">
        <v>3499</v>
      </c>
      <c r="G3047" s="300" t="str">
        <f t="shared" si="98"/>
        <v>RieslingPfalz</v>
      </c>
    </row>
    <row r="3048" spans="1:7" ht="12" customHeight="1">
      <c r="A3048" s="298">
        <v>36478</v>
      </c>
      <c r="B3048" s="299" t="s">
        <v>3513</v>
      </c>
      <c r="C3048" s="299">
        <v>120</v>
      </c>
      <c r="D3048" s="299">
        <f t="shared" si="97"/>
        <v>11</v>
      </c>
      <c r="E3048" s="299">
        <v>59</v>
      </c>
      <c r="F3048" s="430" t="s">
        <v>3499</v>
      </c>
      <c r="G3048" s="300" t="str">
        <f t="shared" si="98"/>
        <v>RieslingPfalz</v>
      </c>
    </row>
    <row r="3049" spans="1:7" ht="12" customHeight="1">
      <c r="A3049" s="298">
        <v>36479</v>
      </c>
      <c r="B3049" s="299" t="s">
        <v>3513</v>
      </c>
      <c r="C3049" s="299">
        <v>10</v>
      </c>
      <c r="D3049" s="299">
        <f t="shared" si="97"/>
        <v>11</v>
      </c>
      <c r="E3049" s="299">
        <v>57</v>
      </c>
      <c r="F3049" s="430" t="s">
        <v>3499</v>
      </c>
      <c r="G3049" s="300" t="str">
        <f t="shared" si="98"/>
        <v>RieslingPfalz</v>
      </c>
    </row>
    <row r="3050" spans="1:7" ht="12" customHeight="1">
      <c r="A3050" s="298">
        <v>36484</v>
      </c>
      <c r="B3050" s="299" t="s">
        <v>3513</v>
      </c>
      <c r="C3050" s="299">
        <v>180</v>
      </c>
      <c r="D3050" s="299">
        <f t="shared" si="97"/>
        <v>11</v>
      </c>
      <c r="E3050" s="299">
        <v>60</v>
      </c>
      <c r="F3050" s="430" t="s">
        <v>3499</v>
      </c>
      <c r="G3050" s="300" t="str">
        <f t="shared" si="98"/>
        <v>RieslingPfalz</v>
      </c>
    </row>
    <row r="3051" spans="1:7" ht="12" customHeight="1">
      <c r="A3051" s="298">
        <v>36485</v>
      </c>
      <c r="B3051" s="299" t="s">
        <v>3513</v>
      </c>
      <c r="C3051" s="299">
        <v>10</v>
      </c>
      <c r="D3051" s="299">
        <f t="shared" si="97"/>
        <v>11</v>
      </c>
      <c r="E3051" s="299">
        <v>57</v>
      </c>
      <c r="F3051" s="430" t="s">
        <v>3499</v>
      </c>
      <c r="G3051" s="300" t="str">
        <f t="shared" si="98"/>
        <v>RieslingPfalz</v>
      </c>
    </row>
    <row r="3052" spans="1:7" ht="12" customHeight="1">
      <c r="A3052" s="298">
        <v>36487</v>
      </c>
      <c r="B3052" s="299" t="s">
        <v>3513</v>
      </c>
      <c r="C3052" s="299">
        <v>10</v>
      </c>
      <c r="D3052" s="299">
        <f t="shared" si="97"/>
        <v>11</v>
      </c>
      <c r="E3052" s="299">
        <v>58</v>
      </c>
      <c r="F3052" s="430" t="s">
        <v>3499</v>
      </c>
      <c r="G3052" s="300" t="str">
        <f t="shared" si="98"/>
        <v>RieslingPfalz</v>
      </c>
    </row>
    <row r="3053" spans="1:7" ht="12" customHeight="1">
      <c r="A3053" s="298">
        <v>36490</v>
      </c>
      <c r="B3053" s="299" t="s">
        <v>3513</v>
      </c>
      <c r="C3053" s="299">
        <v>150</v>
      </c>
      <c r="D3053" s="299">
        <f t="shared" si="97"/>
        <v>11</v>
      </c>
      <c r="E3053" s="299">
        <v>60</v>
      </c>
      <c r="F3053" s="430" t="s">
        <v>3499</v>
      </c>
      <c r="G3053" s="300" t="str">
        <f t="shared" si="98"/>
        <v>RieslingPfalz</v>
      </c>
    </row>
    <row r="3054" spans="1:7" ht="12" customHeight="1">
      <c r="A3054" s="298">
        <v>36494</v>
      </c>
      <c r="B3054" s="299" t="s">
        <v>3513</v>
      </c>
      <c r="C3054" s="299">
        <v>210</v>
      </c>
      <c r="D3054" s="299">
        <f t="shared" si="97"/>
        <v>11</v>
      </c>
      <c r="E3054" s="299">
        <v>57</v>
      </c>
      <c r="F3054" s="430" t="s">
        <v>3499</v>
      </c>
      <c r="G3054" s="300" t="str">
        <f t="shared" si="98"/>
        <v>RieslingPfalz</v>
      </c>
    </row>
    <row r="3055" spans="1:7" ht="12" customHeight="1">
      <c r="A3055" s="298">
        <v>36495</v>
      </c>
      <c r="B3055" s="299" t="s">
        <v>3513</v>
      </c>
      <c r="C3055" s="299">
        <v>80</v>
      </c>
      <c r="D3055" s="299">
        <f t="shared" si="97"/>
        <v>12</v>
      </c>
      <c r="E3055" s="299">
        <v>57</v>
      </c>
      <c r="F3055" s="430" t="s">
        <v>3499</v>
      </c>
      <c r="G3055" s="300" t="str">
        <f t="shared" si="98"/>
        <v>RieslingPfalz</v>
      </c>
    </row>
    <row r="3056" spans="1:7" ht="12" customHeight="1">
      <c r="A3056" s="298">
        <v>36495</v>
      </c>
      <c r="B3056" s="299" t="s">
        <v>3513</v>
      </c>
      <c r="C3056" s="299">
        <v>50</v>
      </c>
      <c r="D3056" s="299">
        <f t="shared" si="97"/>
        <v>12</v>
      </c>
      <c r="E3056" s="299">
        <v>56</v>
      </c>
      <c r="F3056" s="430" t="s">
        <v>3499</v>
      </c>
      <c r="G3056" s="300" t="str">
        <f t="shared" si="98"/>
        <v>RieslingPfalz</v>
      </c>
    </row>
    <row r="3057" spans="1:7" ht="12" customHeight="1">
      <c r="A3057" s="298">
        <v>36505</v>
      </c>
      <c r="B3057" s="299" t="s">
        <v>3513</v>
      </c>
      <c r="C3057" s="299">
        <v>70</v>
      </c>
      <c r="D3057" s="299">
        <f t="shared" si="97"/>
        <v>12</v>
      </c>
      <c r="E3057" s="299">
        <v>56</v>
      </c>
      <c r="F3057" s="430" t="s">
        <v>3499</v>
      </c>
      <c r="G3057" s="300" t="str">
        <f t="shared" si="98"/>
        <v>RieslingPfalz</v>
      </c>
    </row>
    <row r="3058" spans="1:7" ht="12" customHeight="1">
      <c r="A3058" s="298">
        <v>36507</v>
      </c>
      <c r="B3058" s="299" t="s">
        <v>3513</v>
      </c>
      <c r="C3058" s="299">
        <v>100</v>
      </c>
      <c r="D3058" s="299">
        <f t="shared" si="97"/>
        <v>12</v>
      </c>
      <c r="E3058" s="299">
        <v>57</v>
      </c>
      <c r="F3058" s="430" t="s">
        <v>3499</v>
      </c>
      <c r="G3058" s="300" t="str">
        <f t="shared" si="98"/>
        <v>RieslingPfalz</v>
      </c>
    </row>
    <row r="3059" spans="1:7" ht="12" customHeight="1">
      <c r="A3059" s="298">
        <v>36510</v>
      </c>
      <c r="B3059" s="299" t="s">
        <v>3513</v>
      </c>
      <c r="C3059" s="299">
        <v>80</v>
      </c>
      <c r="D3059" s="299">
        <f t="shared" si="97"/>
        <v>12</v>
      </c>
      <c r="E3059" s="299">
        <v>60</v>
      </c>
      <c r="F3059" s="430" t="s">
        <v>3499</v>
      </c>
      <c r="G3059" s="300" t="str">
        <f t="shared" si="98"/>
        <v>RieslingPfalz</v>
      </c>
    </row>
    <row r="3060" spans="1:7" ht="12" customHeight="1">
      <c r="A3060" s="298">
        <v>36513</v>
      </c>
      <c r="B3060" s="299" t="s">
        <v>3513</v>
      </c>
      <c r="C3060" s="299">
        <v>20</v>
      </c>
      <c r="D3060" s="299">
        <f t="shared" si="97"/>
        <v>12</v>
      </c>
      <c r="E3060" s="299">
        <v>56</v>
      </c>
      <c r="F3060" s="430" t="s">
        <v>3499</v>
      </c>
      <c r="G3060" s="300" t="str">
        <f t="shared" si="98"/>
        <v>RieslingPfalz</v>
      </c>
    </row>
    <row r="3061" spans="1:7" ht="12" customHeight="1">
      <c r="A3061" s="298">
        <v>36177</v>
      </c>
      <c r="B3061" s="299" t="s">
        <v>3513</v>
      </c>
      <c r="C3061" s="299">
        <v>90</v>
      </c>
      <c r="D3061" s="299">
        <f t="shared" si="97"/>
        <v>1</v>
      </c>
      <c r="E3061" s="299">
        <v>58</v>
      </c>
      <c r="F3061" s="430" t="s">
        <v>3500</v>
      </c>
      <c r="G3061" s="300" t="str">
        <f t="shared" si="98"/>
        <v>RieslingSaarland</v>
      </c>
    </row>
    <row r="3062" spans="1:7" ht="12" customHeight="1">
      <c r="A3062" s="298">
        <v>36180</v>
      </c>
      <c r="B3062" s="299" t="s">
        <v>3513</v>
      </c>
      <c r="C3062" s="299">
        <v>10</v>
      </c>
      <c r="D3062" s="299">
        <f t="shared" si="97"/>
        <v>1</v>
      </c>
      <c r="E3062" s="299">
        <v>58</v>
      </c>
      <c r="F3062" s="430" t="s">
        <v>3500</v>
      </c>
      <c r="G3062" s="300" t="str">
        <f t="shared" si="98"/>
        <v>RieslingSaarland</v>
      </c>
    </row>
    <row r="3063" spans="1:7" ht="12" customHeight="1">
      <c r="A3063" s="298">
        <v>36190</v>
      </c>
      <c r="B3063" s="299" t="s">
        <v>3513</v>
      </c>
      <c r="C3063" s="299">
        <v>60</v>
      </c>
      <c r="D3063" s="299">
        <f t="shared" si="97"/>
        <v>1</v>
      </c>
      <c r="E3063" s="299">
        <v>58</v>
      </c>
      <c r="F3063" s="430" t="s">
        <v>3500</v>
      </c>
      <c r="G3063" s="300" t="str">
        <f t="shared" si="98"/>
        <v>RieslingSaarland</v>
      </c>
    </row>
    <row r="3064" spans="1:7" ht="12" customHeight="1">
      <c r="A3064" s="298">
        <v>36198</v>
      </c>
      <c r="B3064" s="299" t="s">
        <v>3513</v>
      </c>
      <c r="C3064" s="299">
        <v>30</v>
      </c>
      <c r="D3064" s="299">
        <f t="shared" si="97"/>
        <v>2</v>
      </c>
      <c r="E3064" s="299">
        <v>56</v>
      </c>
      <c r="F3064" s="430" t="s">
        <v>3500</v>
      </c>
      <c r="G3064" s="300" t="str">
        <f t="shared" si="98"/>
        <v>RieslingSaarland</v>
      </c>
    </row>
    <row r="3065" spans="1:7" ht="12" customHeight="1">
      <c r="A3065" s="298">
        <v>36220</v>
      </c>
      <c r="B3065" s="299" t="s">
        <v>3513</v>
      </c>
      <c r="C3065" s="299">
        <v>80</v>
      </c>
      <c r="D3065" s="299">
        <f t="shared" si="97"/>
        <v>3</v>
      </c>
      <c r="E3065" s="299">
        <v>56</v>
      </c>
      <c r="F3065" s="430" t="s">
        <v>3500</v>
      </c>
      <c r="G3065" s="300" t="str">
        <f t="shared" si="98"/>
        <v>RieslingSaarland</v>
      </c>
    </row>
    <row r="3066" spans="1:7" ht="12" customHeight="1">
      <c r="A3066" s="298">
        <v>36221</v>
      </c>
      <c r="B3066" s="299" t="s">
        <v>3513</v>
      </c>
      <c r="C3066" s="299">
        <v>120</v>
      </c>
      <c r="D3066" s="299">
        <f t="shared" si="97"/>
        <v>3</v>
      </c>
      <c r="E3066" s="299">
        <v>55</v>
      </c>
      <c r="F3066" s="430" t="s">
        <v>3500</v>
      </c>
      <c r="G3066" s="300" t="str">
        <f t="shared" si="98"/>
        <v>RieslingSaarland</v>
      </c>
    </row>
    <row r="3067" spans="1:7" ht="12" customHeight="1">
      <c r="A3067" s="298">
        <v>36227</v>
      </c>
      <c r="B3067" s="299" t="s">
        <v>3513</v>
      </c>
      <c r="C3067" s="299">
        <v>90</v>
      </c>
      <c r="D3067" s="299">
        <f t="shared" si="97"/>
        <v>3</v>
      </c>
      <c r="E3067" s="299">
        <v>55</v>
      </c>
      <c r="F3067" s="430" t="s">
        <v>3500</v>
      </c>
      <c r="G3067" s="300" t="str">
        <f t="shared" si="98"/>
        <v>RieslingSaarland</v>
      </c>
    </row>
    <row r="3068" spans="1:7" ht="12" customHeight="1">
      <c r="A3068" s="298">
        <v>36232</v>
      </c>
      <c r="B3068" s="299" t="s">
        <v>3513</v>
      </c>
      <c r="C3068" s="299">
        <v>110</v>
      </c>
      <c r="D3068" s="299">
        <f t="shared" si="97"/>
        <v>3</v>
      </c>
      <c r="E3068" s="299">
        <v>64</v>
      </c>
      <c r="F3068" s="430" t="s">
        <v>3500</v>
      </c>
      <c r="G3068" s="300" t="str">
        <f t="shared" si="98"/>
        <v>RieslingSaarland</v>
      </c>
    </row>
    <row r="3069" spans="1:7" ht="12" customHeight="1">
      <c r="A3069" s="298">
        <v>36238</v>
      </c>
      <c r="B3069" s="299" t="s">
        <v>3513</v>
      </c>
      <c r="C3069" s="299">
        <v>30</v>
      </c>
      <c r="D3069" s="299">
        <f t="shared" si="97"/>
        <v>3</v>
      </c>
      <c r="E3069" s="299">
        <v>56</v>
      </c>
      <c r="F3069" s="430" t="s">
        <v>3500</v>
      </c>
      <c r="G3069" s="300" t="str">
        <f t="shared" si="98"/>
        <v>RieslingSaarland</v>
      </c>
    </row>
    <row r="3070" spans="1:7" ht="12" customHeight="1">
      <c r="A3070" s="298">
        <v>36239</v>
      </c>
      <c r="B3070" s="299" t="s">
        <v>3513</v>
      </c>
      <c r="C3070" s="299">
        <v>40</v>
      </c>
      <c r="D3070" s="299">
        <f t="shared" si="97"/>
        <v>3</v>
      </c>
      <c r="E3070" s="299">
        <v>56</v>
      </c>
      <c r="F3070" s="430" t="s">
        <v>3500</v>
      </c>
      <c r="G3070" s="300" t="str">
        <f t="shared" si="98"/>
        <v>RieslingSaarland</v>
      </c>
    </row>
    <row r="3071" spans="1:7" ht="12" customHeight="1">
      <c r="A3071" s="298">
        <v>36260</v>
      </c>
      <c r="B3071" s="299" t="s">
        <v>3513</v>
      </c>
      <c r="C3071" s="299">
        <v>100</v>
      </c>
      <c r="D3071" s="299">
        <f t="shared" si="97"/>
        <v>4</v>
      </c>
      <c r="E3071" s="299">
        <v>60</v>
      </c>
      <c r="F3071" s="430" t="s">
        <v>3500</v>
      </c>
      <c r="G3071" s="300" t="str">
        <f t="shared" si="98"/>
        <v>RieslingSaarland</v>
      </c>
    </row>
    <row r="3072" spans="1:7" ht="12" customHeight="1">
      <c r="A3072" s="298">
        <v>36266</v>
      </c>
      <c r="B3072" s="299" t="s">
        <v>3513</v>
      </c>
      <c r="C3072" s="299">
        <v>10</v>
      </c>
      <c r="D3072" s="299">
        <f t="shared" si="97"/>
        <v>4</v>
      </c>
      <c r="E3072" s="299">
        <v>55</v>
      </c>
      <c r="F3072" s="430" t="s">
        <v>3500</v>
      </c>
      <c r="G3072" s="300" t="str">
        <f t="shared" si="98"/>
        <v>RieslingSaarland</v>
      </c>
    </row>
    <row r="3073" spans="1:7" ht="12" customHeight="1">
      <c r="A3073" s="298">
        <v>36289</v>
      </c>
      <c r="B3073" s="299" t="s">
        <v>3513</v>
      </c>
      <c r="C3073" s="299">
        <v>50</v>
      </c>
      <c r="D3073" s="299">
        <f t="shared" si="97"/>
        <v>5</v>
      </c>
      <c r="E3073" s="299">
        <v>58</v>
      </c>
      <c r="F3073" s="430" t="s">
        <v>3500</v>
      </c>
      <c r="G3073" s="300" t="str">
        <f t="shared" si="98"/>
        <v>RieslingSaarland</v>
      </c>
    </row>
    <row r="3074" spans="1:7" ht="12" customHeight="1">
      <c r="A3074" s="298">
        <v>36291</v>
      </c>
      <c r="B3074" s="299" t="s">
        <v>3513</v>
      </c>
      <c r="C3074" s="299">
        <v>30</v>
      </c>
      <c r="D3074" s="299">
        <f t="shared" si="97"/>
        <v>5</v>
      </c>
      <c r="E3074" s="299">
        <v>58</v>
      </c>
      <c r="F3074" s="430" t="s">
        <v>3500</v>
      </c>
      <c r="G3074" s="300" t="str">
        <f t="shared" si="98"/>
        <v>RieslingSaarland</v>
      </c>
    </row>
    <row r="3075" spans="1:7" ht="12" customHeight="1">
      <c r="A3075" s="298">
        <v>36293</v>
      </c>
      <c r="B3075" s="299" t="s">
        <v>3513</v>
      </c>
      <c r="C3075" s="299">
        <v>150</v>
      </c>
      <c r="D3075" s="299">
        <f t="shared" si="97"/>
        <v>5</v>
      </c>
      <c r="E3075" s="299">
        <v>58</v>
      </c>
      <c r="F3075" s="430" t="s">
        <v>3500</v>
      </c>
      <c r="G3075" s="300" t="str">
        <f t="shared" si="98"/>
        <v>RieslingSaarland</v>
      </c>
    </row>
    <row r="3076" spans="1:7" ht="12" customHeight="1">
      <c r="A3076" s="298">
        <v>36312</v>
      </c>
      <c r="B3076" s="299" t="s">
        <v>3513</v>
      </c>
      <c r="C3076" s="299">
        <v>110</v>
      </c>
      <c r="D3076" s="299">
        <f t="shared" si="97"/>
        <v>6</v>
      </c>
      <c r="E3076" s="299">
        <v>55</v>
      </c>
      <c r="F3076" s="430" t="s">
        <v>3500</v>
      </c>
      <c r="G3076" s="300" t="str">
        <f t="shared" si="98"/>
        <v>RieslingSaarland</v>
      </c>
    </row>
    <row r="3077" spans="1:7" ht="12" customHeight="1">
      <c r="A3077" s="298">
        <v>36355</v>
      </c>
      <c r="B3077" s="299" t="s">
        <v>3513</v>
      </c>
      <c r="C3077" s="299">
        <v>90</v>
      </c>
      <c r="D3077" s="299">
        <f t="shared" si="97"/>
        <v>7</v>
      </c>
      <c r="E3077" s="299">
        <v>56</v>
      </c>
      <c r="F3077" s="430" t="s">
        <v>3500</v>
      </c>
      <c r="G3077" s="300" t="str">
        <f t="shared" si="98"/>
        <v>RieslingSaarland</v>
      </c>
    </row>
    <row r="3078" spans="1:7" ht="12" customHeight="1">
      <c r="A3078" s="298">
        <v>36358</v>
      </c>
      <c r="B3078" s="299" t="s">
        <v>3513</v>
      </c>
      <c r="C3078" s="299">
        <v>90</v>
      </c>
      <c r="D3078" s="299">
        <f t="shared" ref="D3078:D3141" si="99">MONTH(A3078)</f>
        <v>7</v>
      </c>
      <c r="E3078" s="299">
        <v>56</v>
      </c>
      <c r="F3078" s="430" t="s">
        <v>3500</v>
      </c>
      <c r="G3078" s="300" t="str">
        <f t="shared" ref="G3078:G3141" si="100">B3078&amp;F3078</f>
        <v>RieslingSaarland</v>
      </c>
    </row>
    <row r="3079" spans="1:7" ht="12" customHeight="1">
      <c r="A3079" s="298">
        <v>36380</v>
      </c>
      <c r="B3079" s="299" t="s">
        <v>3513</v>
      </c>
      <c r="C3079" s="299">
        <v>70</v>
      </c>
      <c r="D3079" s="299">
        <f t="shared" si="99"/>
        <v>8</v>
      </c>
      <c r="E3079" s="299">
        <v>64</v>
      </c>
      <c r="F3079" s="430" t="s">
        <v>3500</v>
      </c>
      <c r="G3079" s="300" t="str">
        <f t="shared" si="100"/>
        <v>RieslingSaarland</v>
      </c>
    </row>
    <row r="3080" spans="1:7" ht="12" customHeight="1">
      <c r="A3080" s="298">
        <v>36382</v>
      </c>
      <c r="B3080" s="299" t="s">
        <v>3513</v>
      </c>
      <c r="C3080" s="299">
        <v>80</v>
      </c>
      <c r="D3080" s="299">
        <f t="shared" si="99"/>
        <v>8</v>
      </c>
      <c r="E3080" s="299">
        <v>55</v>
      </c>
      <c r="F3080" s="430" t="s">
        <v>3500</v>
      </c>
      <c r="G3080" s="300" t="str">
        <f t="shared" si="100"/>
        <v>RieslingSaarland</v>
      </c>
    </row>
    <row r="3081" spans="1:7" ht="12" customHeight="1">
      <c r="A3081" s="298">
        <v>36384</v>
      </c>
      <c r="B3081" s="299" t="s">
        <v>3513</v>
      </c>
      <c r="C3081" s="299">
        <v>40</v>
      </c>
      <c r="D3081" s="299">
        <f t="shared" si="99"/>
        <v>8</v>
      </c>
      <c r="E3081" s="299">
        <v>55</v>
      </c>
      <c r="F3081" s="430" t="s">
        <v>3500</v>
      </c>
      <c r="G3081" s="300" t="str">
        <f t="shared" si="100"/>
        <v>RieslingSaarland</v>
      </c>
    </row>
    <row r="3082" spans="1:7" ht="12" customHeight="1">
      <c r="A3082" s="298">
        <v>36401</v>
      </c>
      <c r="B3082" s="299" t="s">
        <v>3513</v>
      </c>
      <c r="C3082" s="299">
        <v>240</v>
      </c>
      <c r="D3082" s="299">
        <f t="shared" si="99"/>
        <v>8</v>
      </c>
      <c r="E3082" s="299">
        <v>55</v>
      </c>
      <c r="F3082" s="430" t="s">
        <v>3500</v>
      </c>
      <c r="G3082" s="300" t="str">
        <f t="shared" si="100"/>
        <v>RieslingSaarland</v>
      </c>
    </row>
    <row r="3083" spans="1:7" ht="12" customHeight="1">
      <c r="A3083" s="298">
        <v>36402</v>
      </c>
      <c r="B3083" s="299" t="s">
        <v>3513</v>
      </c>
      <c r="C3083" s="299">
        <v>80</v>
      </c>
      <c r="D3083" s="299">
        <f t="shared" si="99"/>
        <v>8</v>
      </c>
      <c r="E3083" s="299">
        <v>59</v>
      </c>
      <c r="F3083" s="430" t="s">
        <v>3500</v>
      </c>
      <c r="G3083" s="300" t="str">
        <f t="shared" si="100"/>
        <v>RieslingSaarland</v>
      </c>
    </row>
    <row r="3084" spans="1:7" ht="12" customHeight="1">
      <c r="A3084" s="298">
        <v>36446</v>
      </c>
      <c r="B3084" s="299" t="s">
        <v>3513</v>
      </c>
      <c r="C3084" s="299">
        <v>90</v>
      </c>
      <c r="D3084" s="299">
        <f t="shared" si="99"/>
        <v>10</v>
      </c>
      <c r="E3084" s="299">
        <v>55</v>
      </c>
      <c r="F3084" s="430" t="s">
        <v>3500</v>
      </c>
      <c r="G3084" s="300" t="str">
        <f t="shared" si="100"/>
        <v>RieslingSaarland</v>
      </c>
    </row>
    <row r="3085" spans="1:7" ht="12" customHeight="1">
      <c r="A3085" s="298">
        <v>36479</v>
      </c>
      <c r="B3085" s="299" t="s">
        <v>3513</v>
      </c>
      <c r="C3085" s="299">
        <v>80</v>
      </c>
      <c r="D3085" s="299">
        <f t="shared" si="99"/>
        <v>11</v>
      </c>
      <c r="E3085" s="299">
        <v>60</v>
      </c>
      <c r="F3085" s="430" t="s">
        <v>3500</v>
      </c>
      <c r="G3085" s="300" t="str">
        <f t="shared" si="100"/>
        <v>RieslingSaarland</v>
      </c>
    </row>
    <row r="3086" spans="1:7" ht="12" customHeight="1">
      <c r="A3086" s="298">
        <v>36481</v>
      </c>
      <c r="B3086" s="299" t="s">
        <v>3513</v>
      </c>
      <c r="C3086" s="299">
        <v>40</v>
      </c>
      <c r="D3086" s="299">
        <f t="shared" si="99"/>
        <v>11</v>
      </c>
      <c r="E3086" s="299">
        <v>60</v>
      </c>
      <c r="F3086" s="430" t="s">
        <v>3500</v>
      </c>
      <c r="G3086" s="300" t="str">
        <f t="shared" si="100"/>
        <v>RieslingSaarland</v>
      </c>
    </row>
    <row r="3087" spans="1:7" ht="12" customHeight="1">
      <c r="A3087" s="298">
        <v>36493</v>
      </c>
      <c r="B3087" s="299" t="s">
        <v>3513</v>
      </c>
      <c r="C3087" s="299">
        <v>150</v>
      </c>
      <c r="D3087" s="299">
        <f t="shared" si="99"/>
        <v>11</v>
      </c>
      <c r="E3087" s="299">
        <v>59</v>
      </c>
      <c r="F3087" s="430" t="s">
        <v>3500</v>
      </c>
      <c r="G3087" s="300" t="str">
        <f t="shared" si="100"/>
        <v>RieslingSaarland</v>
      </c>
    </row>
    <row r="3088" spans="1:7" ht="12" customHeight="1">
      <c r="A3088" s="298">
        <v>36496</v>
      </c>
      <c r="B3088" s="299" t="s">
        <v>3513</v>
      </c>
      <c r="C3088" s="299">
        <v>180</v>
      </c>
      <c r="D3088" s="299">
        <f t="shared" si="99"/>
        <v>12</v>
      </c>
      <c r="E3088" s="299">
        <v>60</v>
      </c>
      <c r="F3088" s="430" t="s">
        <v>3500</v>
      </c>
      <c r="G3088" s="300" t="str">
        <f t="shared" si="100"/>
        <v>RieslingSaarland</v>
      </c>
    </row>
    <row r="3089" spans="1:7" ht="12" customHeight="1">
      <c r="A3089" s="298">
        <v>36504</v>
      </c>
      <c r="B3089" s="299" t="s">
        <v>3513</v>
      </c>
      <c r="C3089" s="299">
        <v>90</v>
      </c>
      <c r="D3089" s="299">
        <f t="shared" si="99"/>
        <v>12</v>
      </c>
      <c r="E3089" s="299">
        <v>60</v>
      </c>
      <c r="F3089" s="430" t="s">
        <v>3500</v>
      </c>
      <c r="G3089" s="300" t="str">
        <f t="shared" si="100"/>
        <v>RieslingSaarland</v>
      </c>
    </row>
    <row r="3090" spans="1:7" ht="12" customHeight="1">
      <c r="A3090" s="298">
        <v>36524</v>
      </c>
      <c r="B3090" s="299" t="s">
        <v>3513</v>
      </c>
      <c r="C3090" s="299">
        <v>60</v>
      </c>
      <c r="D3090" s="299">
        <f t="shared" si="99"/>
        <v>12</v>
      </c>
      <c r="E3090" s="299">
        <v>60</v>
      </c>
      <c r="F3090" s="430" t="s">
        <v>3500</v>
      </c>
      <c r="G3090" s="300" t="str">
        <f t="shared" si="100"/>
        <v>RieslingSaarland</v>
      </c>
    </row>
    <row r="3091" spans="1:7" ht="12" customHeight="1">
      <c r="A3091" s="298">
        <v>36284</v>
      </c>
      <c r="B3091" s="299" t="s">
        <v>3514</v>
      </c>
      <c r="C3091" s="299">
        <v>10</v>
      </c>
      <c r="D3091" s="299">
        <f t="shared" si="99"/>
        <v>5</v>
      </c>
      <c r="E3091" s="299">
        <v>58</v>
      </c>
      <c r="F3091" s="430" t="s">
        <v>3504</v>
      </c>
      <c r="G3091" s="300" t="str">
        <f t="shared" si="100"/>
        <v>RiojaBayern</v>
      </c>
    </row>
    <row r="3092" spans="1:7" ht="12" customHeight="1">
      <c r="A3092" s="298">
        <v>36288</v>
      </c>
      <c r="B3092" s="299" t="s">
        <v>3514</v>
      </c>
      <c r="C3092" s="299">
        <v>90</v>
      </c>
      <c r="D3092" s="299">
        <f t="shared" si="99"/>
        <v>5</v>
      </c>
      <c r="E3092" s="299">
        <v>58</v>
      </c>
      <c r="F3092" s="430" t="s">
        <v>3504</v>
      </c>
      <c r="G3092" s="300" t="str">
        <f t="shared" si="100"/>
        <v>RiojaBayern</v>
      </c>
    </row>
    <row r="3093" spans="1:7" ht="12" customHeight="1">
      <c r="A3093" s="298">
        <v>36339</v>
      </c>
      <c r="B3093" s="299" t="s">
        <v>3514</v>
      </c>
      <c r="C3093" s="299">
        <v>100</v>
      </c>
      <c r="D3093" s="299">
        <f t="shared" si="99"/>
        <v>6</v>
      </c>
      <c r="E3093" s="299">
        <v>56</v>
      </c>
      <c r="F3093" s="430" t="s">
        <v>3504</v>
      </c>
      <c r="G3093" s="300" t="str">
        <f t="shared" si="100"/>
        <v>RiojaBayern</v>
      </c>
    </row>
    <row r="3094" spans="1:7" ht="12" customHeight="1">
      <c r="A3094" s="298">
        <v>36508</v>
      </c>
      <c r="B3094" s="299" t="s">
        <v>3514</v>
      </c>
      <c r="C3094" s="299">
        <v>180</v>
      </c>
      <c r="D3094" s="299">
        <f t="shared" si="99"/>
        <v>12</v>
      </c>
      <c r="E3094" s="299">
        <v>55</v>
      </c>
      <c r="F3094" s="430" t="s">
        <v>3504</v>
      </c>
      <c r="G3094" s="300" t="str">
        <f t="shared" si="100"/>
        <v>RiojaBayern</v>
      </c>
    </row>
    <row r="3095" spans="1:7" ht="12" customHeight="1">
      <c r="A3095" s="298">
        <v>36514</v>
      </c>
      <c r="B3095" s="299" t="s">
        <v>3514</v>
      </c>
      <c r="C3095" s="299">
        <v>150</v>
      </c>
      <c r="D3095" s="299">
        <f t="shared" si="99"/>
        <v>12</v>
      </c>
      <c r="E3095" s="299">
        <v>55</v>
      </c>
      <c r="F3095" s="430" t="s">
        <v>3504</v>
      </c>
      <c r="G3095" s="300" t="str">
        <f t="shared" si="100"/>
        <v>RiojaBayern</v>
      </c>
    </row>
    <row r="3096" spans="1:7" ht="12" customHeight="1">
      <c r="A3096" s="298">
        <v>36498</v>
      </c>
      <c r="B3096" s="299" t="s">
        <v>3514</v>
      </c>
      <c r="C3096" s="299">
        <v>30</v>
      </c>
      <c r="D3096" s="299">
        <f t="shared" si="99"/>
        <v>12</v>
      </c>
      <c r="E3096" s="299">
        <v>56</v>
      </c>
      <c r="F3096" s="430" t="s">
        <v>3501</v>
      </c>
      <c r="G3096" s="300" t="str">
        <f t="shared" si="100"/>
        <v>RiojaBW</v>
      </c>
    </row>
    <row r="3097" spans="1:7" ht="12" customHeight="1">
      <c r="A3097" s="298">
        <v>36184</v>
      </c>
      <c r="B3097" s="299" t="s">
        <v>3514</v>
      </c>
      <c r="C3097" s="299">
        <v>90</v>
      </c>
      <c r="D3097" s="299">
        <f t="shared" si="99"/>
        <v>1</v>
      </c>
      <c r="E3097" s="299">
        <v>55</v>
      </c>
      <c r="F3097" s="430" t="s">
        <v>3502</v>
      </c>
      <c r="G3097" s="300" t="str">
        <f t="shared" si="100"/>
        <v>RiojaHessen</v>
      </c>
    </row>
    <row r="3098" spans="1:7" ht="12" customHeight="1">
      <c r="A3098" s="298">
        <v>36198</v>
      </c>
      <c r="B3098" s="299" t="s">
        <v>3514</v>
      </c>
      <c r="C3098" s="299">
        <v>40</v>
      </c>
      <c r="D3098" s="299">
        <f t="shared" si="99"/>
        <v>2</v>
      </c>
      <c r="E3098" s="299">
        <v>56</v>
      </c>
      <c r="F3098" s="430" t="s">
        <v>3502</v>
      </c>
      <c r="G3098" s="300" t="str">
        <f t="shared" si="100"/>
        <v>RiojaHessen</v>
      </c>
    </row>
    <row r="3099" spans="1:7" ht="12" customHeight="1">
      <c r="A3099" s="298">
        <v>36200</v>
      </c>
      <c r="B3099" s="299" t="s">
        <v>3514</v>
      </c>
      <c r="C3099" s="299">
        <v>90</v>
      </c>
      <c r="D3099" s="299">
        <f t="shared" si="99"/>
        <v>2</v>
      </c>
      <c r="E3099" s="299">
        <v>56</v>
      </c>
      <c r="F3099" s="430" t="s">
        <v>3502</v>
      </c>
      <c r="G3099" s="300" t="str">
        <f t="shared" si="100"/>
        <v>RiojaHessen</v>
      </c>
    </row>
    <row r="3100" spans="1:7" ht="12" customHeight="1">
      <c r="A3100" s="298">
        <v>36206</v>
      </c>
      <c r="B3100" s="299" t="s">
        <v>3514</v>
      </c>
      <c r="C3100" s="299">
        <v>40</v>
      </c>
      <c r="D3100" s="299">
        <f t="shared" si="99"/>
        <v>2</v>
      </c>
      <c r="E3100" s="299">
        <v>56</v>
      </c>
      <c r="F3100" s="430" t="s">
        <v>3502</v>
      </c>
      <c r="G3100" s="300" t="str">
        <f t="shared" si="100"/>
        <v>RiojaHessen</v>
      </c>
    </row>
    <row r="3101" spans="1:7" ht="12" customHeight="1">
      <c r="A3101" s="298">
        <v>36213</v>
      </c>
      <c r="B3101" s="299" t="s">
        <v>3514</v>
      </c>
      <c r="C3101" s="299">
        <v>90</v>
      </c>
      <c r="D3101" s="299">
        <f t="shared" si="99"/>
        <v>2</v>
      </c>
      <c r="E3101" s="299">
        <v>56</v>
      </c>
      <c r="F3101" s="430" t="s">
        <v>3502</v>
      </c>
      <c r="G3101" s="300" t="str">
        <f t="shared" si="100"/>
        <v>RiojaHessen</v>
      </c>
    </row>
    <row r="3102" spans="1:7" ht="12" customHeight="1">
      <c r="A3102" s="298">
        <v>36217</v>
      </c>
      <c r="B3102" s="299" t="s">
        <v>3514</v>
      </c>
      <c r="C3102" s="299">
        <v>240</v>
      </c>
      <c r="D3102" s="299">
        <f t="shared" si="99"/>
        <v>2</v>
      </c>
      <c r="E3102" s="299">
        <v>56</v>
      </c>
      <c r="F3102" s="430" t="s">
        <v>3502</v>
      </c>
      <c r="G3102" s="300" t="str">
        <f t="shared" si="100"/>
        <v>RiojaHessen</v>
      </c>
    </row>
    <row r="3103" spans="1:7" ht="12" customHeight="1">
      <c r="A3103" s="298">
        <v>36220</v>
      </c>
      <c r="B3103" s="299" t="s">
        <v>3514</v>
      </c>
      <c r="C3103" s="299">
        <v>120</v>
      </c>
      <c r="D3103" s="299">
        <f t="shared" si="99"/>
        <v>3</v>
      </c>
      <c r="E3103" s="299">
        <v>56</v>
      </c>
      <c r="F3103" s="430" t="s">
        <v>3502</v>
      </c>
      <c r="G3103" s="300" t="str">
        <f t="shared" si="100"/>
        <v>RiojaHessen</v>
      </c>
    </row>
    <row r="3104" spans="1:7" ht="12" customHeight="1">
      <c r="A3104" s="298">
        <v>36229</v>
      </c>
      <c r="B3104" s="299" t="s">
        <v>3514</v>
      </c>
      <c r="C3104" s="299">
        <v>60</v>
      </c>
      <c r="D3104" s="299">
        <f t="shared" si="99"/>
        <v>3</v>
      </c>
      <c r="E3104" s="299">
        <v>59</v>
      </c>
      <c r="F3104" s="430" t="s">
        <v>3502</v>
      </c>
      <c r="G3104" s="300" t="str">
        <f t="shared" si="100"/>
        <v>RiojaHessen</v>
      </c>
    </row>
    <row r="3105" spans="1:7" ht="12" customHeight="1">
      <c r="A3105" s="298">
        <v>36230</v>
      </c>
      <c r="B3105" s="299" t="s">
        <v>3514</v>
      </c>
      <c r="C3105" s="299">
        <v>150</v>
      </c>
      <c r="D3105" s="299">
        <f t="shared" si="99"/>
        <v>3</v>
      </c>
      <c r="E3105" s="299">
        <v>59</v>
      </c>
      <c r="F3105" s="430" t="s">
        <v>3502</v>
      </c>
      <c r="G3105" s="300" t="str">
        <f t="shared" si="100"/>
        <v>RiojaHessen</v>
      </c>
    </row>
    <row r="3106" spans="1:7" ht="12" customHeight="1">
      <c r="A3106" s="298">
        <v>36246</v>
      </c>
      <c r="B3106" s="299" t="s">
        <v>3514</v>
      </c>
      <c r="C3106" s="299">
        <v>70</v>
      </c>
      <c r="D3106" s="299">
        <f t="shared" si="99"/>
        <v>3</v>
      </c>
      <c r="E3106" s="299">
        <v>59</v>
      </c>
      <c r="F3106" s="430" t="s">
        <v>3502</v>
      </c>
      <c r="G3106" s="300" t="str">
        <f t="shared" si="100"/>
        <v>RiojaHessen</v>
      </c>
    </row>
    <row r="3107" spans="1:7" ht="12" customHeight="1">
      <c r="A3107" s="298">
        <v>36257</v>
      </c>
      <c r="B3107" s="299" t="s">
        <v>3514</v>
      </c>
      <c r="C3107" s="299">
        <v>90</v>
      </c>
      <c r="D3107" s="299">
        <f t="shared" si="99"/>
        <v>4</v>
      </c>
      <c r="E3107" s="299">
        <v>60</v>
      </c>
      <c r="F3107" s="430" t="s">
        <v>3502</v>
      </c>
      <c r="G3107" s="300" t="str">
        <f t="shared" si="100"/>
        <v>RiojaHessen</v>
      </c>
    </row>
    <row r="3108" spans="1:7" ht="12" customHeight="1">
      <c r="A3108" s="298">
        <v>36279</v>
      </c>
      <c r="B3108" s="299" t="s">
        <v>3514</v>
      </c>
      <c r="C3108" s="299">
        <v>50</v>
      </c>
      <c r="D3108" s="299">
        <f t="shared" si="99"/>
        <v>4</v>
      </c>
      <c r="E3108" s="299">
        <v>60</v>
      </c>
      <c r="F3108" s="430" t="s">
        <v>3502</v>
      </c>
      <c r="G3108" s="300" t="str">
        <f t="shared" si="100"/>
        <v>RiojaHessen</v>
      </c>
    </row>
    <row r="3109" spans="1:7" ht="12" customHeight="1">
      <c r="A3109" s="298">
        <v>36288</v>
      </c>
      <c r="B3109" s="299" t="s">
        <v>3514</v>
      </c>
      <c r="C3109" s="299">
        <v>120</v>
      </c>
      <c r="D3109" s="299">
        <f t="shared" si="99"/>
        <v>5</v>
      </c>
      <c r="E3109" s="299">
        <v>56</v>
      </c>
      <c r="F3109" s="430" t="s">
        <v>3502</v>
      </c>
      <c r="G3109" s="300" t="str">
        <f t="shared" si="100"/>
        <v>RiojaHessen</v>
      </c>
    </row>
    <row r="3110" spans="1:7" ht="12" customHeight="1">
      <c r="A3110" s="298">
        <v>36297</v>
      </c>
      <c r="B3110" s="299" t="s">
        <v>3514</v>
      </c>
      <c r="C3110" s="299">
        <v>30</v>
      </c>
      <c r="D3110" s="299">
        <f t="shared" si="99"/>
        <v>5</v>
      </c>
      <c r="E3110" s="299">
        <v>59</v>
      </c>
      <c r="F3110" s="430" t="s">
        <v>3502</v>
      </c>
      <c r="G3110" s="300" t="str">
        <f t="shared" si="100"/>
        <v>RiojaHessen</v>
      </c>
    </row>
    <row r="3111" spans="1:7" ht="12" customHeight="1">
      <c r="A3111" s="298">
        <v>36358</v>
      </c>
      <c r="B3111" s="299" t="s">
        <v>3514</v>
      </c>
      <c r="C3111" s="299">
        <v>20</v>
      </c>
      <c r="D3111" s="299">
        <f t="shared" si="99"/>
        <v>7</v>
      </c>
      <c r="E3111" s="299">
        <v>56</v>
      </c>
      <c r="F3111" s="430" t="s">
        <v>3502</v>
      </c>
      <c r="G3111" s="300" t="str">
        <f t="shared" si="100"/>
        <v>RiojaHessen</v>
      </c>
    </row>
    <row r="3112" spans="1:7" ht="12" customHeight="1">
      <c r="A3112" s="298">
        <v>36382</v>
      </c>
      <c r="B3112" s="299" t="s">
        <v>3514</v>
      </c>
      <c r="C3112" s="299">
        <v>40</v>
      </c>
      <c r="D3112" s="299">
        <f t="shared" si="99"/>
        <v>8</v>
      </c>
      <c r="E3112" s="299">
        <v>55</v>
      </c>
      <c r="F3112" s="430" t="s">
        <v>3502</v>
      </c>
      <c r="G3112" s="300" t="str">
        <f t="shared" si="100"/>
        <v>RiojaHessen</v>
      </c>
    </row>
    <row r="3113" spans="1:7" ht="12" customHeight="1">
      <c r="A3113" s="298">
        <v>36402</v>
      </c>
      <c r="B3113" s="299" t="s">
        <v>3514</v>
      </c>
      <c r="C3113" s="299">
        <v>60</v>
      </c>
      <c r="D3113" s="299">
        <f t="shared" si="99"/>
        <v>8</v>
      </c>
      <c r="E3113" s="299">
        <v>55</v>
      </c>
      <c r="F3113" s="430" t="s">
        <v>3502</v>
      </c>
      <c r="G3113" s="300" t="str">
        <f t="shared" si="100"/>
        <v>RiojaHessen</v>
      </c>
    </row>
    <row r="3114" spans="1:7" ht="12" customHeight="1">
      <c r="A3114" s="298">
        <v>36425</v>
      </c>
      <c r="B3114" s="299" t="s">
        <v>3514</v>
      </c>
      <c r="C3114" s="299">
        <v>10</v>
      </c>
      <c r="D3114" s="299">
        <f t="shared" si="99"/>
        <v>9</v>
      </c>
      <c r="E3114" s="299">
        <v>59</v>
      </c>
      <c r="F3114" s="430" t="s">
        <v>3502</v>
      </c>
      <c r="G3114" s="300" t="str">
        <f t="shared" si="100"/>
        <v>RiojaHessen</v>
      </c>
    </row>
    <row r="3115" spans="1:7" ht="12" customHeight="1">
      <c r="A3115" s="298">
        <v>36430</v>
      </c>
      <c r="B3115" s="299" t="s">
        <v>3514</v>
      </c>
      <c r="C3115" s="299">
        <v>210</v>
      </c>
      <c r="D3115" s="299">
        <f t="shared" si="99"/>
        <v>9</v>
      </c>
      <c r="E3115" s="299">
        <v>55</v>
      </c>
      <c r="F3115" s="430" t="s">
        <v>3502</v>
      </c>
      <c r="G3115" s="300" t="str">
        <f t="shared" si="100"/>
        <v>RiojaHessen</v>
      </c>
    </row>
    <row r="3116" spans="1:7" ht="12" customHeight="1">
      <c r="A3116" s="298">
        <v>36435</v>
      </c>
      <c r="B3116" s="299" t="s">
        <v>3514</v>
      </c>
      <c r="C3116" s="299">
        <v>210</v>
      </c>
      <c r="D3116" s="299">
        <f t="shared" si="99"/>
        <v>10</v>
      </c>
      <c r="E3116" s="299">
        <v>56</v>
      </c>
      <c r="F3116" s="430" t="s">
        <v>3502</v>
      </c>
      <c r="G3116" s="300" t="str">
        <f t="shared" si="100"/>
        <v>RiojaHessen</v>
      </c>
    </row>
    <row r="3117" spans="1:7" ht="12" customHeight="1">
      <c r="A3117" s="298">
        <v>36439</v>
      </c>
      <c r="B3117" s="299" t="s">
        <v>3514</v>
      </c>
      <c r="C3117" s="299">
        <v>210</v>
      </c>
      <c r="D3117" s="299">
        <f t="shared" si="99"/>
        <v>10</v>
      </c>
      <c r="E3117" s="299">
        <v>55</v>
      </c>
      <c r="F3117" s="430" t="s">
        <v>3502</v>
      </c>
      <c r="G3117" s="300" t="str">
        <f t="shared" si="100"/>
        <v>RiojaHessen</v>
      </c>
    </row>
    <row r="3118" spans="1:7" ht="12" customHeight="1">
      <c r="A3118" s="298">
        <v>36443</v>
      </c>
      <c r="B3118" s="299" t="s">
        <v>3514</v>
      </c>
      <c r="C3118" s="299">
        <v>30</v>
      </c>
      <c r="D3118" s="299">
        <f t="shared" si="99"/>
        <v>10</v>
      </c>
      <c r="E3118" s="299">
        <v>55</v>
      </c>
      <c r="F3118" s="430" t="s">
        <v>3502</v>
      </c>
      <c r="G3118" s="300" t="str">
        <f t="shared" si="100"/>
        <v>RiojaHessen</v>
      </c>
    </row>
    <row r="3119" spans="1:7" ht="12" customHeight="1">
      <c r="A3119" s="298">
        <v>36476</v>
      </c>
      <c r="B3119" s="299" t="s">
        <v>3514</v>
      </c>
      <c r="C3119" s="299">
        <v>180</v>
      </c>
      <c r="D3119" s="299">
        <f t="shared" si="99"/>
        <v>11</v>
      </c>
      <c r="E3119" s="299">
        <v>56</v>
      </c>
      <c r="F3119" s="430" t="s">
        <v>3502</v>
      </c>
      <c r="G3119" s="300" t="str">
        <f t="shared" si="100"/>
        <v>RiojaHessen</v>
      </c>
    </row>
    <row r="3120" spans="1:7" ht="12" customHeight="1">
      <c r="A3120" s="298">
        <v>36486</v>
      </c>
      <c r="B3120" s="299" t="s">
        <v>3514</v>
      </c>
      <c r="C3120" s="299">
        <v>40</v>
      </c>
      <c r="D3120" s="299">
        <f t="shared" si="99"/>
        <v>11</v>
      </c>
      <c r="E3120" s="299">
        <v>56</v>
      </c>
      <c r="F3120" s="430" t="s">
        <v>3502</v>
      </c>
      <c r="G3120" s="300" t="str">
        <f t="shared" si="100"/>
        <v>RiojaHessen</v>
      </c>
    </row>
    <row r="3121" spans="1:7" ht="12" customHeight="1">
      <c r="A3121" s="298">
        <v>36494</v>
      </c>
      <c r="B3121" s="299" t="s">
        <v>3514</v>
      </c>
      <c r="C3121" s="299">
        <v>10</v>
      </c>
      <c r="D3121" s="299">
        <f t="shared" si="99"/>
        <v>11</v>
      </c>
      <c r="E3121" s="299">
        <v>56</v>
      </c>
      <c r="F3121" s="430" t="s">
        <v>3502</v>
      </c>
      <c r="G3121" s="300" t="str">
        <f t="shared" si="100"/>
        <v>RiojaHessen</v>
      </c>
    </row>
    <row r="3122" spans="1:7" ht="12" customHeight="1">
      <c r="A3122" s="298">
        <v>36501</v>
      </c>
      <c r="B3122" s="299" t="s">
        <v>3514</v>
      </c>
      <c r="C3122" s="299">
        <v>120</v>
      </c>
      <c r="D3122" s="299">
        <f t="shared" si="99"/>
        <v>12</v>
      </c>
      <c r="E3122" s="299">
        <v>55</v>
      </c>
      <c r="F3122" s="430" t="s">
        <v>3502</v>
      </c>
      <c r="G3122" s="300" t="str">
        <f t="shared" si="100"/>
        <v>RiojaHessen</v>
      </c>
    </row>
    <row r="3123" spans="1:7" ht="12" customHeight="1">
      <c r="A3123" s="298">
        <v>36507</v>
      </c>
      <c r="B3123" s="299" t="s">
        <v>3514</v>
      </c>
      <c r="C3123" s="299">
        <v>60</v>
      </c>
      <c r="D3123" s="299">
        <f t="shared" si="99"/>
        <v>12</v>
      </c>
      <c r="E3123" s="299">
        <v>56</v>
      </c>
      <c r="F3123" s="430" t="s">
        <v>3502</v>
      </c>
      <c r="G3123" s="300" t="str">
        <f t="shared" si="100"/>
        <v>RiojaHessen</v>
      </c>
    </row>
    <row r="3124" spans="1:7" ht="12" customHeight="1">
      <c r="A3124" s="298">
        <v>36509</v>
      </c>
      <c r="B3124" s="299" t="s">
        <v>3514</v>
      </c>
      <c r="C3124" s="299">
        <v>240</v>
      </c>
      <c r="D3124" s="299">
        <f t="shared" si="99"/>
        <v>12</v>
      </c>
      <c r="E3124" s="299">
        <v>59</v>
      </c>
      <c r="F3124" s="430" t="s">
        <v>3502</v>
      </c>
      <c r="G3124" s="300" t="str">
        <f t="shared" si="100"/>
        <v>RiojaHessen</v>
      </c>
    </row>
    <row r="3125" spans="1:7" ht="12" customHeight="1">
      <c r="A3125" s="298">
        <v>36509</v>
      </c>
      <c r="B3125" s="299" t="s">
        <v>3514</v>
      </c>
      <c r="C3125" s="299">
        <v>60</v>
      </c>
      <c r="D3125" s="299">
        <f t="shared" si="99"/>
        <v>12</v>
      </c>
      <c r="E3125" s="299">
        <v>59</v>
      </c>
      <c r="F3125" s="430" t="s">
        <v>3502</v>
      </c>
      <c r="G3125" s="300" t="str">
        <f t="shared" si="100"/>
        <v>RiojaHessen</v>
      </c>
    </row>
    <row r="3126" spans="1:7" ht="12" customHeight="1">
      <c r="A3126" s="298">
        <v>36509</v>
      </c>
      <c r="B3126" s="299" t="s">
        <v>3514</v>
      </c>
      <c r="C3126" s="299">
        <v>210</v>
      </c>
      <c r="D3126" s="299">
        <f t="shared" si="99"/>
        <v>12</v>
      </c>
      <c r="E3126" s="299">
        <v>59</v>
      </c>
      <c r="F3126" s="430" t="s">
        <v>3502</v>
      </c>
      <c r="G3126" s="300" t="str">
        <f t="shared" si="100"/>
        <v>RiojaHessen</v>
      </c>
    </row>
    <row r="3127" spans="1:7" ht="12" customHeight="1">
      <c r="A3127" s="298">
        <v>36512</v>
      </c>
      <c r="B3127" s="299" t="s">
        <v>3514</v>
      </c>
      <c r="C3127" s="299">
        <v>120</v>
      </c>
      <c r="D3127" s="299">
        <f t="shared" si="99"/>
        <v>12</v>
      </c>
      <c r="E3127" s="299">
        <v>56</v>
      </c>
      <c r="F3127" s="430" t="s">
        <v>3502</v>
      </c>
      <c r="G3127" s="300" t="str">
        <f t="shared" si="100"/>
        <v>RiojaHessen</v>
      </c>
    </row>
    <row r="3128" spans="1:7" ht="12" customHeight="1">
      <c r="A3128" s="298">
        <v>36522</v>
      </c>
      <c r="B3128" s="299" t="s">
        <v>3514</v>
      </c>
      <c r="C3128" s="299">
        <v>90</v>
      </c>
      <c r="D3128" s="299">
        <f t="shared" si="99"/>
        <v>12</v>
      </c>
      <c r="E3128" s="299">
        <v>55</v>
      </c>
      <c r="F3128" s="430" t="s">
        <v>3502</v>
      </c>
      <c r="G3128" s="300" t="str">
        <f t="shared" si="100"/>
        <v>RiojaHessen</v>
      </c>
    </row>
    <row r="3129" spans="1:7" ht="12" customHeight="1">
      <c r="A3129" s="298">
        <v>36313</v>
      </c>
      <c r="B3129" s="299" t="s">
        <v>3514</v>
      </c>
      <c r="C3129" s="299">
        <v>240</v>
      </c>
      <c r="D3129" s="299">
        <f t="shared" si="99"/>
        <v>6</v>
      </c>
      <c r="E3129" s="299">
        <v>55</v>
      </c>
      <c r="F3129" s="430" t="s">
        <v>3503</v>
      </c>
      <c r="G3129" s="300" t="str">
        <f t="shared" si="100"/>
        <v>RiojaHolstein</v>
      </c>
    </row>
    <row r="3130" spans="1:7" ht="12" customHeight="1">
      <c r="A3130" s="298">
        <v>36379</v>
      </c>
      <c r="B3130" s="299" t="s">
        <v>3514</v>
      </c>
      <c r="C3130" s="299">
        <v>240</v>
      </c>
      <c r="D3130" s="299">
        <f t="shared" si="99"/>
        <v>8</v>
      </c>
      <c r="E3130" s="299">
        <v>56</v>
      </c>
      <c r="F3130" s="430" t="s">
        <v>3503</v>
      </c>
      <c r="G3130" s="300" t="str">
        <f t="shared" si="100"/>
        <v>RiojaHolstein</v>
      </c>
    </row>
    <row r="3131" spans="1:7" ht="12" customHeight="1">
      <c r="A3131" s="298">
        <v>36398</v>
      </c>
      <c r="B3131" s="299" t="s">
        <v>3514</v>
      </c>
      <c r="C3131" s="299">
        <v>240</v>
      </c>
      <c r="D3131" s="299">
        <f t="shared" si="99"/>
        <v>8</v>
      </c>
      <c r="E3131" s="299">
        <v>55</v>
      </c>
      <c r="F3131" s="430" t="s">
        <v>3503</v>
      </c>
      <c r="G3131" s="300" t="str">
        <f t="shared" si="100"/>
        <v>RiojaHolstein</v>
      </c>
    </row>
    <row r="3132" spans="1:7" ht="12" customHeight="1">
      <c r="A3132" s="298">
        <v>36482</v>
      </c>
      <c r="B3132" s="299" t="s">
        <v>3514</v>
      </c>
      <c r="C3132" s="299">
        <v>30</v>
      </c>
      <c r="D3132" s="299">
        <f t="shared" si="99"/>
        <v>11</v>
      </c>
      <c r="E3132" s="299">
        <v>57</v>
      </c>
      <c r="F3132" s="430" t="s">
        <v>3503</v>
      </c>
      <c r="G3132" s="300" t="str">
        <f t="shared" si="100"/>
        <v>RiojaHolstein</v>
      </c>
    </row>
    <row r="3133" spans="1:7" ht="12" customHeight="1">
      <c r="A3133" s="298">
        <v>36313</v>
      </c>
      <c r="B3133" s="299" t="s">
        <v>3514</v>
      </c>
      <c r="C3133" s="299">
        <v>80</v>
      </c>
      <c r="D3133" s="299">
        <f t="shared" si="99"/>
        <v>6</v>
      </c>
      <c r="E3133" s="299">
        <v>55</v>
      </c>
      <c r="F3133" s="430" t="s">
        <v>3497</v>
      </c>
      <c r="G3133" s="300" t="str">
        <f t="shared" si="100"/>
        <v>RiojaNRW</v>
      </c>
    </row>
    <row r="3134" spans="1:7" ht="12" customHeight="1">
      <c r="A3134" s="298">
        <v>36333</v>
      </c>
      <c r="B3134" s="299" t="s">
        <v>3514</v>
      </c>
      <c r="C3134" s="299">
        <v>150</v>
      </c>
      <c r="D3134" s="299">
        <f t="shared" si="99"/>
        <v>6</v>
      </c>
      <c r="E3134" s="299">
        <v>57</v>
      </c>
      <c r="F3134" s="430" t="s">
        <v>3497</v>
      </c>
      <c r="G3134" s="300" t="str">
        <f t="shared" si="100"/>
        <v>RiojaNRW</v>
      </c>
    </row>
    <row r="3135" spans="1:7" ht="12" customHeight="1">
      <c r="A3135" s="298">
        <v>36394</v>
      </c>
      <c r="B3135" s="299" t="s">
        <v>3514</v>
      </c>
      <c r="C3135" s="299">
        <v>120</v>
      </c>
      <c r="D3135" s="299">
        <f t="shared" si="99"/>
        <v>8</v>
      </c>
      <c r="E3135" s="299">
        <v>57</v>
      </c>
      <c r="F3135" s="430" t="s">
        <v>3497</v>
      </c>
      <c r="G3135" s="300" t="str">
        <f t="shared" si="100"/>
        <v>RiojaNRW</v>
      </c>
    </row>
    <row r="3136" spans="1:7" ht="12" customHeight="1">
      <c r="A3136" s="298">
        <v>36397</v>
      </c>
      <c r="B3136" s="299" t="s">
        <v>3514</v>
      </c>
      <c r="C3136" s="299">
        <v>100</v>
      </c>
      <c r="D3136" s="299">
        <f t="shared" si="99"/>
        <v>8</v>
      </c>
      <c r="E3136" s="299">
        <v>56</v>
      </c>
      <c r="F3136" s="430" t="s">
        <v>3497</v>
      </c>
      <c r="G3136" s="300" t="str">
        <f t="shared" si="100"/>
        <v>RiojaNRW</v>
      </c>
    </row>
    <row r="3137" spans="1:7" ht="12" customHeight="1">
      <c r="A3137" s="298">
        <v>36205</v>
      </c>
      <c r="B3137" s="299" t="s">
        <v>3514</v>
      </c>
      <c r="C3137" s="299">
        <v>240</v>
      </c>
      <c r="D3137" s="299">
        <f t="shared" si="99"/>
        <v>2</v>
      </c>
      <c r="E3137" s="299">
        <v>56</v>
      </c>
      <c r="F3137" s="430" t="s">
        <v>3499</v>
      </c>
      <c r="G3137" s="300" t="str">
        <f t="shared" si="100"/>
        <v>RiojaPfalz</v>
      </c>
    </row>
    <row r="3138" spans="1:7" ht="12" customHeight="1">
      <c r="A3138" s="298">
        <v>36303</v>
      </c>
      <c r="B3138" s="299" t="s">
        <v>3514</v>
      </c>
      <c r="C3138" s="299">
        <v>20</v>
      </c>
      <c r="D3138" s="299">
        <f t="shared" si="99"/>
        <v>5</v>
      </c>
      <c r="E3138" s="299">
        <v>59</v>
      </c>
      <c r="F3138" s="430" t="s">
        <v>3499</v>
      </c>
      <c r="G3138" s="300" t="str">
        <f t="shared" si="100"/>
        <v>RiojaPfalz</v>
      </c>
    </row>
    <row r="3139" spans="1:7" ht="12" customHeight="1">
      <c r="A3139" s="298">
        <v>36305</v>
      </c>
      <c r="B3139" s="299" t="s">
        <v>3514</v>
      </c>
      <c r="C3139" s="299">
        <v>120</v>
      </c>
      <c r="D3139" s="299">
        <f t="shared" si="99"/>
        <v>5</v>
      </c>
      <c r="E3139" s="299">
        <v>59</v>
      </c>
      <c r="F3139" s="430" t="s">
        <v>3499</v>
      </c>
      <c r="G3139" s="300" t="str">
        <f t="shared" si="100"/>
        <v>RiojaPfalz</v>
      </c>
    </row>
    <row r="3140" spans="1:7" ht="12" customHeight="1">
      <c r="A3140" s="298">
        <v>36310</v>
      </c>
      <c r="B3140" s="299" t="s">
        <v>3514</v>
      </c>
      <c r="C3140" s="299">
        <v>120</v>
      </c>
      <c r="D3140" s="299">
        <f t="shared" si="99"/>
        <v>5</v>
      </c>
      <c r="E3140" s="299">
        <v>61</v>
      </c>
      <c r="F3140" s="430" t="s">
        <v>3499</v>
      </c>
      <c r="G3140" s="300" t="str">
        <f t="shared" si="100"/>
        <v>RiojaPfalz</v>
      </c>
    </row>
    <row r="3141" spans="1:7" ht="12" customHeight="1">
      <c r="A3141" s="298">
        <v>36312</v>
      </c>
      <c r="B3141" s="299" t="s">
        <v>3514</v>
      </c>
      <c r="C3141" s="299">
        <v>210</v>
      </c>
      <c r="D3141" s="299">
        <f t="shared" si="99"/>
        <v>6</v>
      </c>
      <c r="E3141" s="299">
        <v>61</v>
      </c>
      <c r="F3141" s="430" t="s">
        <v>3499</v>
      </c>
      <c r="G3141" s="300" t="str">
        <f t="shared" si="100"/>
        <v>RiojaPfalz</v>
      </c>
    </row>
    <row r="3142" spans="1:7" ht="12" customHeight="1">
      <c r="A3142" s="298">
        <v>36379</v>
      </c>
      <c r="B3142" s="299" t="s">
        <v>3514</v>
      </c>
      <c r="C3142" s="299">
        <v>240</v>
      </c>
      <c r="D3142" s="299">
        <f t="shared" ref="D3142:D3205" si="101">MONTH(A3142)</f>
        <v>8</v>
      </c>
      <c r="E3142" s="299">
        <v>59</v>
      </c>
      <c r="F3142" s="430" t="s">
        <v>3499</v>
      </c>
      <c r="G3142" s="300" t="str">
        <f t="shared" ref="G3142:G3205" si="102">B3142&amp;F3142</f>
        <v>RiojaPfalz</v>
      </c>
    </row>
    <row r="3143" spans="1:7" ht="12" customHeight="1">
      <c r="A3143" s="298">
        <v>36399</v>
      </c>
      <c r="B3143" s="299" t="s">
        <v>3514</v>
      </c>
      <c r="C3143" s="299">
        <v>150</v>
      </c>
      <c r="D3143" s="299">
        <f t="shared" si="101"/>
        <v>8</v>
      </c>
      <c r="E3143" s="299">
        <v>56</v>
      </c>
      <c r="F3143" s="430" t="s">
        <v>3499</v>
      </c>
      <c r="G3143" s="300" t="str">
        <f t="shared" si="102"/>
        <v>RiojaPfalz</v>
      </c>
    </row>
    <row r="3144" spans="1:7" ht="12" customHeight="1">
      <c r="A3144" s="298">
        <v>36440</v>
      </c>
      <c r="B3144" s="299" t="s">
        <v>3514</v>
      </c>
      <c r="C3144" s="299">
        <v>40</v>
      </c>
      <c r="D3144" s="299">
        <f t="shared" si="101"/>
        <v>10</v>
      </c>
      <c r="E3144" s="299">
        <v>55</v>
      </c>
      <c r="F3144" s="430" t="s">
        <v>3499</v>
      </c>
      <c r="G3144" s="300" t="str">
        <f t="shared" si="102"/>
        <v>RiojaPfalz</v>
      </c>
    </row>
    <row r="3145" spans="1:7" ht="12" customHeight="1">
      <c r="A3145" s="298">
        <v>36193</v>
      </c>
      <c r="B3145" s="299" t="s">
        <v>3515</v>
      </c>
      <c r="C3145" s="299">
        <v>100</v>
      </c>
      <c r="D3145" s="299">
        <f t="shared" si="101"/>
        <v>2</v>
      </c>
      <c r="E3145" s="299">
        <v>60</v>
      </c>
      <c r="F3145" s="430" t="s">
        <v>3504</v>
      </c>
      <c r="G3145" s="300" t="str">
        <f t="shared" si="102"/>
        <v>SoaveBayern</v>
      </c>
    </row>
    <row r="3146" spans="1:7" ht="12" customHeight="1">
      <c r="A3146" s="298">
        <v>36223</v>
      </c>
      <c r="B3146" s="299" t="s">
        <v>3515</v>
      </c>
      <c r="C3146" s="299">
        <v>80</v>
      </c>
      <c r="D3146" s="299">
        <f t="shared" si="101"/>
        <v>3</v>
      </c>
      <c r="E3146" s="299">
        <v>58</v>
      </c>
      <c r="F3146" s="430" t="s">
        <v>3504</v>
      </c>
      <c r="G3146" s="300" t="str">
        <f t="shared" si="102"/>
        <v>SoaveBayern</v>
      </c>
    </row>
    <row r="3147" spans="1:7" ht="12" customHeight="1">
      <c r="A3147" s="298">
        <v>36227</v>
      </c>
      <c r="B3147" s="299" t="s">
        <v>3515</v>
      </c>
      <c r="C3147" s="299">
        <v>120</v>
      </c>
      <c r="D3147" s="299">
        <f t="shared" si="101"/>
        <v>3</v>
      </c>
      <c r="E3147" s="299">
        <v>58</v>
      </c>
      <c r="F3147" s="430" t="s">
        <v>3504</v>
      </c>
      <c r="G3147" s="300" t="str">
        <f t="shared" si="102"/>
        <v>SoaveBayern</v>
      </c>
    </row>
    <row r="3148" spans="1:7" ht="12" customHeight="1">
      <c r="A3148" s="298">
        <v>36398</v>
      </c>
      <c r="B3148" s="299" t="s">
        <v>3515</v>
      </c>
      <c r="C3148" s="299">
        <v>90</v>
      </c>
      <c r="D3148" s="299">
        <f t="shared" si="101"/>
        <v>8</v>
      </c>
      <c r="E3148" s="299">
        <v>58</v>
      </c>
      <c r="F3148" s="430" t="s">
        <v>3504</v>
      </c>
      <c r="G3148" s="300" t="str">
        <f t="shared" si="102"/>
        <v>SoaveBayern</v>
      </c>
    </row>
    <row r="3149" spans="1:7" ht="12" customHeight="1">
      <c r="A3149" s="298">
        <v>36215</v>
      </c>
      <c r="B3149" s="299" t="s">
        <v>3515</v>
      </c>
      <c r="C3149" s="299">
        <v>100</v>
      </c>
      <c r="D3149" s="299">
        <f t="shared" si="101"/>
        <v>2</v>
      </c>
      <c r="E3149" s="299">
        <v>58</v>
      </c>
      <c r="F3149" s="430" t="s">
        <v>3501</v>
      </c>
      <c r="G3149" s="300" t="str">
        <f t="shared" si="102"/>
        <v>SoaveBW</v>
      </c>
    </row>
    <row r="3150" spans="1:7" ht="12" customHeight="1">
      <c r="A3150" s="298">
        <v>36238</v>
      </c>
      <c r="B3150" s="299" t="s">
        <v>3515</v>
      </c>
      <c r="C3150" s="299">
        <v>80</v>
      </c>
      <c r="D3150" s="299">
        <f t="shared" si="101"/>
        <v>3</v>
      </c>
      <c r="E3150" s="299">
        <v>58</v>
      </c>
      <c r="F3150" s="430" t="s">
        <v>3501</v>
      </c>
      <c r="G3150" s="300" t="str">
        <f t="shared" si="102"/>
        <v>SoaveBW</v>
      </c>
    </row>
    <row r="3151" spans="1:7" ht="12" customHeight="1">
      <c r="A3151" s="298">
        <v>36295</v>
      </c>
      <c r="B3151" s="299" t="s">
        <v>3515</v>
      </c>
      <c r="C3151" s="299">
        <v>50</v>
      </c>
      <c r="D3151" s="299">
        <f t="shared" si="101"/>
        <v>5</v>
      </c>
      <c r="E3151" s="299">
        <v>59</v>
      </c>
      <c r="F3151" s="430" t="s">
        <v>3501</v>
      </c>
      <c r="G3151" s="300" t="str">
        <f t="shared" si="102"/>
        <v>SoaveBW</v>
      </c>
    </row>
    <row r="3152" spans="1:7" ht="12" customHeight="1">
      <c r="A3152" s="298">
        <v>36301</v>
      </c>
      <c r="B3152" s="299" t="s">
        <v>3515</v>
      </c>
      <c r="C3152" s="299">
        <v>40</v>
      </c>
      <c r="D3152" s="299">
        <f t="shared" si="101"/>
        <v>5</v>
      </c>
      <c r="E3152" s="299">
        <v>56</v>
      </c>
      <c r="F3152" s="430" t="s">
        <v>3501</v>
      </c>
      <c r="G3152" s="300" t="str">
        <f t="shared" si="102"/>
        <v>SoaveBW</v>
      </c>
    </row>
    <row r="3153" spans="1:7" ht="12" customHeight="1">
      <c r="A3153" s="298">
        <v>36306</v>
      </c>
      <c r="B3153" s="299" t="s">
        <v>3515</v>
      </c>
      <c r="C3153" s="299">
        <v>10</v>
      </c>
      <c r="D3153" s="299">
        <f t="shared" si="101"/>
        <v>5</v>
      </c>
      <c r="E3153" s="299">
        <v>59</v>
      </c>
      <c r="F3153" s="430" t="s">
        <v>3501</v>
      </c>
      <c r="G3153" s="300" t="str">
        <f t="shared" si="102"/>
        <v>SoaveBW</v>
      </c>
    </row>
    <row r="3154" spans="1:7" ht="12" customHeight="1">
      <c r="A3154" s="298">
        <v>36336</v>
      </c>
      <c r="B3154" s="299" t="s">
        <v>3515</v>
      </c>
      <c r="C3154" s="299">
        <v>80</v>
      </c>
      <c r="D3154" s="299">
        <f t="shared" si="101"/>
        <v>6</v>
      </c>
      <c r="E3154" s="299">
        <v>56</v>
      </c>
      <c r="F3154" s="430" t="s">
        <v>3501</v>
      </c>
      <c r="G3154" s="300" t="str">
        <f t="shared" si="102"/>
        <v>SoaveBW</v>
      </c>
    </row>
    <row r="3155" spans="1:7" ht="12" customHeight="1">
      <c r="A3155" s="298">
        <v>36348</v>
      </c>
      <c r="B3155" s="299" t="s">
        <v>3515</v>
      </c>
      <c r="C3155" s="299">
        <v>80</v>
      </c>
      <c r="D3155" s="299">
        <f t="shared" si="101"/>
        <v>7</v>
      </c>
      <c r="E3155" s="299">
        <v>56</v>
      </c>
      <c r="F3155" s="430" t="s">
        <v>3501</v>
      </c>
      <c r="G3155" s="300" t="str">
        <f t="shared" si="102"/>
        <v>SoaveBW</v>
      </c>
    </row>
    <row r="3156" spans="1:7" ht="12" customHeight="1">
      <c r="A3156" s="298">
        <v>36349</v>
      </c>
      <c r="B3156" s="299" t="s">
        <v>3515</v>
      </c>
      <c r="C3156" s="299">
        <v>10</v>
      </c>
      <c r="D3156" s="299">
        <f t="shared" si="101"/>
        <v>7</v>
      </c>
      <c r="E3156" s="299">
        <v>56</v>
      </c>
      <c r="F3156" s="430" t="s">
        <v>3501</v>
      </c>
      <c r="G3156" s="300" t="str">
        <f t="shared" si="102"/>
        <v>SoaveBW</v>
      </c>
    </row>
    <row r="3157" spans="1:7" ht="12" customHeight="1">
      <c r="A3157" s="298">
        <v>36349</v>
      </c>
      <c r="B3157" s="299" t="s">
        <v>3515</v>
      </c>
      <c r="C3157" s="299">
        <v>120</v>
      </c>
      <c r="D3157" s="299">
        <f t="shared" si="101"/>
        <v>7</v>
      </c>
      <c r="E3157" s="299">
        <v>56</v>
      </c>
      <c r="F3157" s="430" t="s">
        <v>3501</v>
      </c>
      <c r="G3157" s="300" t="str">
        <f t="shared" si="102"/>
        <v>SoaveBW</v>
      </c>
    </row>
    <row r="3158" spans="1:7" ht="12" customHeight="1">
      <c r="A3158" s="298">
        <v>36352</v>
      </c>
      <c r="B3158" s="299" t="s">
        <v>3515</v>
      </c>
      <c r="C3158" s="299">
        <v>100</v>
      </c>
      <c r="D3158" s="299">
        <f t="shared" si="101"/>
        <v>7</v>
      </c>
      <c r="E3158" s="299">
        <v>56</v>
      </c>
      <c r="F3158" s="430" t="s">
        <v>3501</v>
      </c>
      <c r="G3158" s="300" t="str">
        <f t="shared" si="102"/>
        <v>SoaveBW</v>
      </c>
    </row>
    <row r="3159" spans="1:7" ht="12" customHeight="1">
      <c r="A3159" s="298">
        <v>36358</v>
      </c>
      <c r="B3159" s="299" t="s">
        <v>3515</v>
      </c>
      <c r="C3159" s="299">
        <v>50</v>
      </c>
      <c r="D3159" s="299">
        <f t="shared" si="101"/>
        <v>7</v>
      </c>
      <c r="E3159" s="299">
        <v>59</v>
      </c>
      <c r="F3159" s="430" t="s">
        <v>3501</v>
      </c>
      <c r="G3159" s="300" t="str">
        <f t="shared" si="102"/>
        <v>SoaveBW</v>
      </c>
    </row>
    <row r="3160" spans="1:7" ht="12" customHeight="1">
      <c r="A3160" s="298">
        <v>36367</v>
      </c>
      <c r="B3160" s="299" t="s">
        <v>3515</v>
      </c>
      <c r="C3160" s="299">
        <v>150</v>
      </c>
      <c r="D3160" s="299">
        <f t="shared" si="101"/>
        <v>7</v>
      </c>
      <c r="E3160" s="299">
        <v>56</v>
      </c>
      <c r="F3160" s="430" t="s">
        <v>3501</v>
      </c>
      <c r="G3160" s="300" t="str">
        <f t="shared" si="102"/>
        <v>SoaveBW</v>
      </c>
    </row>
    <row r="3161" spans="1:7" ht="12" customHeight="1">
      <c r="A3161" s="298">
        <v>36371</v>
      </c>
      <c r="B3161" s="299" t="s">
        <v>3515</v>
      </c>
      <c r="C3161" s="299">
        <v>100</v>
      </c>
      <c r="D3161" s="299">
        <f t="shared" si="101"/>
        <v>7</v>
      </c>
      <c r="E3161" s="299">
        <v>56</v>
      </c>
      <c r="F3161" s="430" t="s">
        <v>3501</v>
      </c>
      <c r="G3161" s="300" t="str">
        <f t="shared" si="102"/>
        <v>SoaveBW</v>
      </c>
    </row>
    <row r="3162" spans="1:7" ht="12" customHeight="1">
      <c r="A3162" s="298">
        <v>36409</v>
      </c>
      <c r="B3162" s="299" t="s">
        <v>3515</v>
      </c>
      <c r="C3162" s="299">
        <v>10</v>
      </c>
      <c r="D3162" s="299">
        <f t="shared" si="101"/>
        <v>9</v>
      </c>
      <c r="E3162" s="299">
        <v>59</v>
      </c>
      <c r="F3162" s="430" t="s">
        <v>3501</v>
      </c>
      <c r="G3162" s="300" t="str">
        <f t="shared" si="102"/>
        <v>SoaveBW</v>
      </c>
    </row>
    <row r="3163" spans="1:7" ht="12" customHeight="1">
      <c r="A3163" s="298">
        <v>36437</v>
      </c>
      <c r="B3163" s="299" t="s">
        <v>3515</v>
      </c>
      <c r="C3163" s="299">
        <v>90</v>
      </c>
      <c r="D3163" s="299">
        <f t="shared" si="101"/>
        <v>10</v>
      </c>
      <c r="E3163" s="299">
        <v>56</v>
      </c>
      <c r="F3163" s="430" t="s">
        <v>3501</v>
      </c>
      <c r="G3163" s="300" t="str">
        <f t="shared" si="102"/>
        <v>SoaveBW</v>
      </c>
    </row>
    <row r="3164" spans="1:7" ht="12" customHeight="1">
      <c r="A3164" s="298">
        <v>36448</v>
      </c>
      <c r="B3164" s="299" t="s">
        <v>3515</v>
      </c>
      <c r="C3164" s="299">
        <v>20</v>
      </c>
      <c r="D3164" s="299">
        <f t="shared" si="101"/>
        <v>10</v>
      </c>
      <c r="E3164" s="299">
        <v>56</v>
      </c>
      <c r="F3164" s="430" t="s">
        <v>3501</v>
      </c>
      <c r="G3164" s="300" t="str">
        <f t="shared" si="102"/>
        <v>SoaveBW</v>
      </c>
    </row>
    <row r="3165" spans="1:7" ht="12" customHeight="1">
      <c r="A3165" s="298">
        <v>36511</v>
      </c>
      <c r="B3165" s="299" t="s">
        <v>3515</v>
      </c>
      <c r="C3165" s="299">
        <v>60</v>
      </c>
      <c r="D3165" s="299">
        <f t="shared" si="101"/>
        <v>12</v>
      </c>
      <c r="E3165" s="299">
        <v>59</v>
      </c>
      <c r="F3165" s="430" t="s">
        <v>3501</v>
      </c>
      <c r="G3165" s="300" t="str">
        <f t="shared" si="102"/>
        <v>SoaveBW</v>
      </c>
    </row>
    <row r="3166" spans="1:7" ht="12" customHeight="1">
      <c r="A3166" s="298">
        <v>36284</v>
      </c>
      <c r="B3166" s="299" t="s">
        <v>3515</v>
      </c>
      <c r="C3166" s="299">
        <v>80</v>
      </c>
      <c r="D3166" s="299">
        <f t="shared" si="101"/>
        <v>5</v>
      </c>
      <c r="E3166" s="299">
        <v>56</v>
      </c>
      <c r="F3166" s="430" t="s">
        <v>3502</v>
      </c>
      <c r="G3166" s="300" t="str">
        <f t="shared" si="102"/>
        <v>SoaveHessen</v>
      </c>
    </row>
    <row r="3167" spans="1:7" ht="12" customHeight="1">
      <c r="A3167" s="298">
        <v>36284</v>
      </c>
      <c r="B3167" s="299" t="s">
        <v>3515</v>
      </c>
      <c r="C3167" s="299">
        <v>70</v>
      </c>
      <c r="D3167" s="299">
        <f t="shared" si="101"/>
        <v>5</v>
      </c>
      <c r="E3167" s="299">
        <v>59</v>
      </c>
      <c r="F3167" s="430" t="s">
        <v>3502</v>
      </c>
      <c r="G3167" s="300" t="str">
        <f t="shared" si="102"/>
        <v>SoaveHessen</v>
      </c>
    </row>
    <row r="3168" spans="1:7" ht="12" customHeight="1">
      <c r="A3168" s="298">
        <v>36307</v>
      </c>
      <c r="B3168" s="299" t="s">
        <v>3515</v>
      </c>
      <c r="C3168" s="299">
        <v>60</v>
      </c>
      <c r="D3168" s="299">
        <f t="shared" si="101"/>
        <v>5</v>
      </c>
      <c r="E3168" s="299">
        <v>56</v>
      </c>
      <c r="F3168" s="430" t="s">
        <v>3502</v>
      </c>
      <c r="G3168" s="300" t="str">
        <f t="shared" si="102"/>
        <v>SoaveHessen</v>
      </c>
    </row>
    <row r="3169" spans="1:7" ht="12" customHeight="1">
      <c r="A3169" s="298">
        <v>36350</v>
      </c>
      <c r="B3169" s="299" t="s">
        <v>3515</v>
      </c>
      <c r="C3169" s="299">
        <v>80</v>
      </c>
      <c r="D3169" s="299">
        <f t="shared" si="101"/>
        <v>7</v>
      </c>
      <c r="E3169" s="299">
        <v>60</v>
      </c>
      <c r="F3169" s="430" t="s">
        <v>3502</v>
      </c>
      <c r="G3169" s="300" t="str">
        <f t="shared" si="102"/>
        <v>SoaveHessen</v>
      </c>
    </row>
    <row r="3170" spans="1:7" ht="12" customHeight="1">
      <c r="A3170" s="298">
        <v>36351</v>
      </c>
      <c r="B3170" s="299" t="s">
        <v>3515</v>
      </c>
      <c r="C3170" s="299">
        <v>40</v>
      </c>
      <c r="D3170" s="299">
        <f t="shared" si="101"/>
        <v>7</v>
      </c>
      <c r="E3170" s="299">
        <v>60</v>
      </c>
      <c r="F3170" s="430" t="s">
        <v>3502</v>
      </c>
      <c r="G3170" s="300" t="str">
        <f t="shared" si="102"/>
        <v>SoaveHessen</v>
      </c>
    </row>
    <row r="3171" spans="1:7" ht="12" customHeight="1">
      <c r="A3171" s="298">
        <v>36357</v>
      </c>
      <c r="B3171" s="299" t="s">
        <v>3515</v>
      </c>
      <c r="C3171" s="299">
        <v>10</v>
      </c>
      <c r="D3171" s="299">
        <f t="shared" si="101"/>
        <v>7</v>
      </c>
      <c r="E3171" s="299">
        <v>60</v>
      </c>
      <c r="F3171" s="430" t="s">
        <v>3502</v>
      </c>
      <c r="G3171" s="300" t="str">
        <f t="shared" si="102"/>
        <v>SoaveHessen</v>
      </c>
    </row>
    <row r="3172" spans="1:7" ht="12" customHeight="1">
      <c r="A3172" s="298">
        <v>36357</v>
      </c>
      <c r="B3172" s="299" t="s">
        <v>3515</v>
      </c>
      <c r="C3172" s="299">
        <v>90</v>
      </c>
      <c r="D3172" s="299">
        <f t="shared" si="101"/>
        <v>7</v>
      </c>
      <c r="E3172" s="299">
        <v>60</v>
      </c>
      <c r="F3172" s="430" t="s">
        <v>3502</v>
      </c>
      <c r="G3172" s="300" t="str">
        <f t="shared" si="102"/>
        <v>SoaveHessen</v>
      </c>
    </row>
    <row r="3173" spans="1:7" ht="12" customHeight="1">
      <c r="A3173" s="298">
        <v>36360</v>
      </c>
      <c r="B3173" s="299" t="s">
        <v>3515</v>
      </c>
      <c r="C3173" s="299">
        <v>210</v>
      </c>
      <c r="D3173" s="299">
        <f t="shared" si="101"/>
        <v>7</v>
      </c>
      <c r="E3173" s="299">
        <v>59</v>
      </c>
      <c r="F3173" s="430" t="s">
        <v>3502</v>
      </c>
      <c r="G3173" s="300" t="str">
        <f t="shared" si="102"/>
        <v>SoaveHessen</v>
      </c>
    </row>
    <row r="3174" spans="1:7" ht="12" customHeight="1">
      <c r="A3174" s="298">
        <v>36363</v>
      </c>
      <c r="B3174" s="299" t="s">
        <v>3515</v>
      </c>
      <c r="C3174" s="299">
        <v>90</v>
      </c>
      <c r="D3174" s="299">
        <f t="shared" si="101"/>
        <v>7</v>
      </c>
      <c r="E3174" s="299">
        <v>60</v>
      </c>
      <c r="F3174" s="430" t="s">
        <v>3502</v>
      </c>
      <c r="G3174" s="300" t="str">
        <f t="shared" si="102"/>
        <v>SoaveHessen</v>
      </c>
    </row>
    <row r="3175" spans="1:7" ht="12" customHeight="1">
      <c r="A3175" s="298">
        <v>36444</v>
      </c>
      <c r="B3175" s="299" t="s">
        <v>3515</v>
      </c>
      <c r="C3175" s="299">
        <v>80</v>
      </c>
      <c r="D3175" s="299">
        <f t="shared" si="101"/>
        <v>10</v>
      </c>
      <c r="E3175" s="299">
        <v>56</v>
      </c>
      <c r="F3175" s="430" t="s">
        <v>3502</v>
      </c>
      <c r="G3175" s="300" t="str">
        <f t="shared" si="102"/>
        <v>SoaveHessen</v>
      </c>
    </row>
    <row r="3176" spans="1:7" ht="12" customHeight="1">
      <c r="A3176" s="298">
        <v>36207</v>
      </c>
      <c r="B3176" s="299" t="s">
        <v>3515</v>
      </c>
      <c r="C3176" s="299">
        <v>30</v>
      </c>
      <c r="D3176" s="299">
        <f t="shared" si="101"/>
        <v>2</v>
      </c>
      <c r="E3176" s="299">
        <v>55</v>
      </c>
      <c r="F3176" s="430" t="s">
        <v>3503</v>
      </c>
      <c r="G3176" s="300" t="str">
        <f t="shared" si="102"/>
        <v>SoaveHolstein</v>
      </c>
    </row>
    <row r="3177" spans="1:7" ht="12" customHeight="1">
      <c r="A3177" s="298">
        <v>36219</v>
      </c>
      <c r="B3177" s="299" t="s">
        <v>3515</v>
      </c>
      <c r="C3177" s="299">
        <v>150</v>
      </c>
      <c r="D3177" s="299">
        <f t="shared" si="101"/>
        <v>2</v>
      </c>
      <c r="E3177" s="299">
        <v>55</v>
      </c>
      <c r="F3177" s="430" t="s">
        <v>3503</v>
      </c>
      <c r="G3177" s="300" t="str">
        <f t="shared" si="102"/>
        <v>SoaveHolstein</v>
      </c>
    </row>
    <row r="3178" spans="1:7" ht="12" customHeight="1">
      <c r="A3178" s="298">
        <v>36262</v>
      </c>
      <c r="B3178" s="299" t="s">
        <v>3515</v>
      </c>
      <c r="C3178" s="299">
        <v>110</v>
      </c>
      <c r="D3178" s="299">
        <f t="shared" si="101"/>
        <v>4</v>
      </c>
      <c r="E3178" s="299">
        <v>57</v>
      </c>
      <c r="F3178" s="430" t="s">
        <v>3503</v>
      </c>
      <c r="G3178" s="300" t="str">
        <f t="shared" si="102"/>
        <v>SoaveHolstein</v>
      </c>
    </row>
    <row r="3179" spans="1:7" ht="12" customHeight="1">
      <c r="A3179" s="298">
        <v>36289</v>
      </c>
      <c r="B3179" s="299" t="s">
        <v>3515</v>
      </c>
      <c r="C3179" s="299">
        <v>80</v>
      </c>
      <c r="D3179" s="299">
        <f t="shared" si="101"/>
        <v>5</v>
      </c>
      <c r="E3179" s="299">
        <v>58</v>
      </c>
      <c r="F3179" s="430" t="s">
        <v>3503</v>
      </c>
      <c r="G3179" s="300" t="str">
        <f t="shared" si="102"/>
        <v>SoaveHolstein</v>
      </c>
    </row>
    <row r="3180" spans="1:7" ht="12" customHeight="1">
      <c r="A3180" s="298">
        <v>36390</v>
      </c>
      <c r="B3180" s="299" t="s">
        <v>3515</v>
      </c>
      <c r="C3180" s="299">
        <v>240</v>
      </c>
      <c r="D3180" s="299">
        <f t="shared" si="101"/>
        <v>8</v>
      </c>
      <c r="E3180" s="299">
        <v>57</v>
      </c>
      <c r="F3180" s="430" t="s">
        <v>3503</v>
      </c>
      <c r="G3180" s="300" t="str">
        <f t="shared" si="102"/>
        <v>SoaveHolstein</v>
      </c>
    </row>
    <row r="3181" spans="1:7" ht="12" customHeight="1">
      <c r="A3181" s="298">
        <v>36397</v>
      </c>
      <c r="B3181" s="299" t="s">
        <v>3515</v>
      </c>
      <c r="C3181" s="299">
        <v>10</v>
      </c>
      <c r="D3181" s="299">
        <f t="shared" si="101"/>
        <v>8</v>
      </c>
      <c r="E3181" s="299">
        <v>57</v>
      </c>
      <c r="F3181" s="430" t="s">
        <v>3503</v>
      </c>
      <c r="G3181" s="300" t="str">
        <f t="shared" si="102"/>
        <v>SoaveHolstein</v>
      </c>
    </row>
    <row r="3182" spans="1:7" ht="12" customHeight="1">
      <c r="A3182" s="298">
        <v>36401</v>
      </c>
      <c r="B3182" s="299" t="s">
        <v>3515</v>
      </c>
      <c r="C3182" s="299">
        <v>210</v>
      </c>
      <c r="D3182" s="299">
        <f t="shared" si="101"/>
        <v>8</v>
      </c>
      <c r="E3182" s="299">
        <v>57</v>
      </c>
      <c r="F3182" s="430" t="s">
        <v>3503</v>
      </c>
      <c r="G3182" s="300" t="str">
        <f t="shared" si="102"/>
        <v>SoaveHolstein</v>
      </c>
    </row>
    <row r="3183" spans="1:7" ht="12" customHeight="1">
      <c r="A3183" s="298">
        <v>36402</v>
      </c>
      <c r="B3183" s="299" t="s">
        <v>3515</v>
      </c>
      <c r="C3183" s="299">
        <v>120</v>
      </c>
      <c r="D3183" s="299">
        <f t="shared" si="101"/>
        <v>8</v>
      </c>
      <c r="E3183" s="299">
        <v>57</v>
      </c>
      <c r="F3183" s="430" t="s">
        <v>3503</v>
      </c>
      <c r="G3183" s="300" t="str">
        <f t="shared" si="102"/>
        <v>SoaveHolstein</v>
      </c>
    </row>
    <row r="3184" spans="1:7" ht="12" customHeight="1">
      <c r="A3184" s="298">
        <v>36480</v>
      </c>
      <c r="B3184" s="299" t="s">
        <v>3515</v>
      </c>
      <c r="C3184" s="299">
        <v>180</v>
      </c>
      <c r="D3184" s="299">
        <f t="shared" si="101"/>
        <v>11</v>
      </c>
      <c r="E3184" s="299">
        <v>60</v>
      </c>
      <c r="F3184" s="430" t="s">
        <v>3503</v>
      </c>
      <c r="G3184" s="300" t="str">
        <f t="shared" si="102"/>
        <v>SoaveHolstein</v>
      </c>
    </row>
    <row r="3185" spans="1:7" ht="12" customHeight="1">
      <c r="A3185" s="298">
        <v>36500</v>
      </c>
      <c r="B3185" s="299" t="s">
        <v>3515</v>
      </c>
      <c r="C3185" s="299">
        <v>30</v>
      </c>
      <c r="D3185" s="299">
        <f t="shared" si="101"/>
        <v>12</v>
      </c>
      <c r="E3185" s="299">
        <v>55</v>
      </c>
      <c r="F3185" s="430" t="s">
        <v>3503</v>
      </c>
      <c r="G3185" s="300" t="str">
        <f t="shared" si="102"/>
        <v>SoaveHolstein</v>
      </c>
    </row>
    <row r="3186" spans="1:7" ht="12" customHeight="1">
      <c r="A3186" s="298">
        <v>36504</v>
      </c>
      <c r="B3186" s="299" t="s">
        <v>3515</v>
      </c>
      <c r="C3186" s="299">
        <v>100</v>
      </c>
      <c r="D3186" s="299">
        <f t="shared" si="101"/>
        <v>12</v>
      </c>
      <c r="E3186" s="299">
        <v>55</v>
      </c>
      <c r="F3186" s="430" t="s">
        <v>3503</v>
      </c>
      <c r="G3186" s="300" t="str">
        <f t="shared" si="102"/>
        <v>SoaveHolstein</v>
      </c>
    </row>
    <row r="3187" spans="1:7" ht="12" customHeight="1">
      <c r="A3187" s="298">
        <v>36170</v>
      </c>
      <c r="B3187" s="299" t="s">
        <v>3515</v>
      </c>
      <c r="C3187" s="299">
        <v>20</v>
      </c>
      <c r="D3187" s="299">
        <f t="shared" si="101"/>
        <v>1</v>
      </c>
      <c r="E3187" s="299">
        <v>59</v>
      </c>
      <c r="F3187" s="430" t="s">
        <v>3497</v>
      </c>
      <c r="G3187" s="300" t="str">
        <f t="shared" si="102"/>
        <v>SoaveNRW</v>
      </c>
    </row>
    <row r="3188" spans="1:7" ht="12" customHeight="1">
      <c r="A3188" s="298">
        <v>36258</v>
      </c>
      <c r="B3188" s="299" t="s">
        <v>3515</v>
      </c>
      <c r="C3188" s="299">
        <v>100</v>
      </c>
      <c r="D3188" s="299">
        <f t="shared" si="101"/>
        <v>4</v>
      </c>
      <c r="E3188" s="299">
        <v>56</v>
      </c>
      <c r="F3188" s="430" t="s">
        <v>3497</v>
      </c>
      <c r="G3188" s="300" t="str">
        <f t="shared" si="102"/>
        <v>SoaveNRW</v>
      </c>
    </row>
    <row r="3189" spans="1:7" ht="12" customHeight="1">
      <c r="A3189" s="298">
        <v>36264</v>
      </c>
      <c r="B3189" s="299" t="s">
        <v>3515</v>
      </c>
      <c r="C3189" s="299">
        <v>40</v>
      </c>
      <c r="D3189" s="299">
        <f t="shared" si="101"/>
        <v>4</v>
      </c>
      <c r="E3189" s="299">
        <v>57</v>
      </c>
      <c r="F3189" s="430" t="s">
        <v>3497</v>
      </c>
      <c r="G3189" s="300" t="str">
        <f t="shared" si="102"/>
        <v>SoaveNRW</v>
      </c>
    </row>
    <row r="3190" spans="1:7" ht="12" customHeight="1">
      <c r="A3190" s="298">
        <v>36270</v>
      </c>
      <c r="B3190" s="299" t="s">
        <v>3515</v>
      </c>
      <c r="C3190" s="299">
        <v>90</v>
      </c>
      <c r="D3190" s="299">
        <f t="shared" si="101"/>
        <v>4</v>
      </c>
      <c r="E3190" s="299">
        <v>56</v>
      </c>
      <c r="F3190" s="430" t="s">
        <v>3497</v>
      </c>
      <c r="G3190" s="300" t="str">
        <f t="shared" si="102"/>
        <v>SoaveNRW</v>
      </c>
    </row>
    <row r="3191" spans="1:7" ht="12" customHeight="1">
      <c r="A3191" s="298">
        <v>36272</v>
      </c>
      <c r="B3191" s="299" t="s">
        <v>3515</v>
      </c>
      <c r="C3191" s="299">
        <v>150</v>
      </c>
      <c r="D3191" s="299">
        <f t="shared" si="101"/>
        <v>4</v>
      </c>
      <c r="E3191" s="299">
        <v>57</v>
      </c>
      <c r="F3191" s="430" t="s">
        <v>3497</v>
      </c>
      <c r="G3191" s="300" t="str">
        <f t="shared" si="102"/>
        <v>SoaveNRW</v>
      </c>
    </row>
    <row r="3192" spans="1:7" ht="12" customHeight="1">
      <c r="A3192" s="298">
        <v>36277</v>
      </c>
      <c r="B3192" s="299" t="s">
        <v>3515</v>
      </c>
      <c r="C3192" s="299">
        <v>60</v>
      </c>
      <c r="D3192" s="299">
        <f t="shared" si="101"/>
        <v>4</v>
      </c>
      <c r="E3192" s="299">
        <v>57</v>
      </c>
      <c r="F3192" s="430" t="s">
        <v>3497</v>
      </c>
      <c r="G3192" s="300" t="str">
        <f t="shared" si="102"/>
        <v>SoaveNRW</v>
      </c>
    </row>
    <row r="3193" spans="1:7" ht="12" customHeight="1">
      <c r="A3193" s="298">
        <v>36320</v>
      </c>
      <c r="B3193" s="299" t="s">
        <v>3515</v>
      </c>
      <c r="C3193" s="299">
        <v>150</v>
      </c>
      <c r="D3193" s="299">
        <f t="shared" si="101"/>
        <v>6</v>
      </c>
      <c r="E3193" s="299">
        <v>57</v>
      </c>
      <c r="F3193" s="430" t="s">
        <v>3497</v>
      </c>
      <c r="G3193" s="300" t="str">
        <f t="shared" si="102"/>
        <v>SoaveNRW</v>
      </c>
    </row>
    <row r="3194" spans="1:7" ht="12" customHeight="1">
      <c r="A3194" s="298">
        <v>36351</v>
      </c>
      <c r="B3194" s="299" t="s">
        <v>3515</v>
      </c>
      <c r="C3194" s="299">
        <v>80</v>
      </c>
      <c r="D3194" s="299">
        <f t="shared" si="101"/>
        <v>7</v>
      </c>
      <c r="E3194" s="299">
        <v>61</v>
      </c>
      <c r="F3194" s="430" t="s">
        <v>3497</v>
      </c>
      <c r="G3194" s="300" t="str">
        <f t="shared" si="102"/>
        <v>SoaveNRW</v>
      </c>
    </row>
    <row r="3195" spans="1:7" ht="12" customHeight="1">
      <c r="A3195" s="298">
        <v>36363</v>
      </c>
      <c r="B3195" s="299" t="s">
        <v>3515</v>
      </c>
      <c r="C3195" s="299">
        <v>180</v>
      </c>
      <c r="D3195" s="299">
        <f t="shared" si="101"/>
        <v>7</v>
      </c>
      <c r="E3195" s="299">
        <v>61</v>
      </c>
      <c r="F3195" s="430" t="s">
        <v>3497</v>
      </c>
      <c r="G3195" s="300" t="str">
        <f t="shared" si="102"/>
        <v>SoaveNRW</v>
      </c>
    </row>
    <row r="3196" spans="1:7" ht="12" customHeight="1">
      <c r="A3196" s="298">
        <v>36391</v>
      </c>
      <c r="B3196" s="299" t="s">
        <v>3515</v>
      </c>
      <c r="C3196" s="299">
        <v>120</v>
      </c>
      <c r="D3196" s="299">
        <f t="shared" si="101"/>
        <v>8</v>
      </c>
      <c r="E3196" s="299">
        <v>61</v>
      </c>
      <c r="F3196" s="430" t="s">
        <v>3497</v>
      </c>
      <c r="G3196" s="300" t="str">
        <f t="shared" si="102"/>
        <v>SoaveNRW</v>
      </c>
    </row>
    <row r="3197" spans="1:7" ht="12" customHeight="1">
      <c r="A3197" s="298">
        <v>36436</v>
      </c>
      <c r="B3197" s="299" t="s">
        <v>3515</v>
      </c>
      <c r="C3197" s="299">
        <v>210</v>
      </c>
      <c r="D3197" s="299">
        <f t="shared" si="101"/>
        <v>10</v>
      </c>
      <c r="E3197" s="299">
        <v>56</v>
      </c>
      <c r="F3197" s="430" t="s">
        <v>3497</v>
      </c>
      <c r="G3197" s="300" t="str">
        <f t="shared" si="102"/>
        <v>SoaveNRW</v>
      </c>
    </row>
    <row r="3198" spans="1:7" ht="12" customHeight="1">
      <c r="A3198" s="298">
        <v>36438</v>
      </c>
      <c r="B3198" s="299" t="s">
        <v>3515</v>
      </c>
      <c r="C3198" s="299">
        <v>90</v>
      </c>
      <c r="D3198" s="299">
        <f t="shared" si="101"/>
        <v>10</v>
      </c>
      <c r="E3198" s="299">
        <v>61</v>
      </c>
      <c r="F3198" s="430" t="s">
        <v>3497</v>
      </c>
      <c r="G3198" s="300" t="str">
        <f t="shared" si="102"/>
        <v>SoaveNRW</v>
      </c>
    </row>
    <row r="3199" spans="1:7" ht="12" customHeight="1">
      <c r="A3199" s="298">
        <v>36443</v>
      </c>
      <c r="B3199" s="299" t="s">
        <v>3515</v>
      </c>
      <c r="C3199" s="299">
        <v>80</v>
      </c>
      <c r="D3199" s="299">
        <f t="shared" si="101"/>
        <v>10</v>
      </c>
      <c r="E3199" s="299">
        <v>56</v>
      </c>
      <c r="F3199" s="430" t="s">
        <v>3497</v>
      </c>
      <c r="G3199" s="300" t="str">
        <f t="shared" si="102"/>
        <v>SoaveNRW</v>
      </c>
    </row>
    <row r="3200" spans="1:7" ht="12" customHeight="1">
      <c r="A3200" s="298">
        <v>36459</v>
      </c>
      <c r="B3200" s="299" t="s">
        <v>3515</v>
      </c>
      <c r="C3200" s="299">
        <v>180</v>
      </c>
      <c r="D3200" s="299">
        <f t="shared" si="101"/>
        <v>10</v>
      </c>
      <c r="E3200" s="299">
        <v>56</v>
      </c>
      <c r="F3200" s="430" t="s">
        <v>3497</v>
      </c>
      <c r="G3200" s="300" t="str">
        <f t="shared" si="102"/>
        <v>SoaveNRW</v>
      </c>
    </row>
    <row r="3201" spans="1:7" ht="12" customHeight="1">
      <c r="A3201" s="298">
        <v>36477</v>
      </c>
      <c r="B3201" s="299" t="s">
        <v>3515</v>
      </c>
      <c r="C3201" s="299">
        <v>70</v>
      </c>
      <c r="D3201" s="299">
        <f t="shared" si="101"/>
        <v>11</v>
      </c>
      <c r="E3201" s="299">
        <v>57</v>
      </c>
      <c r="F3201" s="430" t="s">
        <v>3497</v>
      </c>
      <c r="G3201" s="300" t="str">
        <f t="shared" si="102"/>
        <v>SoaveNRW</v>
      </c>
    </row>
    <row r="3202" spans="1:7" ht="12" customHeight="1">
      <c r="A3202" s="298">
        <v>36502</v>
      </c>
      <c r="B3202" s="299" t="s">
        <v>3515</v>
      </c>
      <c r="C3202" s="299">
        <v>180</v>
      </c>
      <c r="D3202" s="299">
        <f t="shared" si="101"/>
        <v>12</v>
      </c>
      <c r="E3202" s="299">
        <v>60</v>
      </c>
      <c r="F3202" s="430" t="s">
        <v>3497</v>
      </c>
      <c r="G3202" s="300" t="str">
        <f t="shared" si="102"/>
        <v>SoaveNRW</v>
      </c>
    </row>
    <row r="3203" spans="1:7" ht="12" customHeight="1">
      <c r="A3203" s="298">
        <v>36512</v>
      </c>
      <c r="B3203" s="299" t="s">
        <v>3515</v>
      </c>
      <c r="C3203" s="299">
        <v>180</v>
      </c>
      <c r="D3203" s="299">
        <f t="shared" si="101"/>
        <v>12</v>
      </c>
      <c r="E3203" s="299">
        <v>60</v>
      </c>
      <c r="F3203" s="430" t="s">
        <v>3497</v>
      </c>
      <c r="G3203" s="300" t="str">
        <f t="shared" si="102"/>
        <v>SoaveNRW</v>
      </c>
    </row>
    <row r="3204" spans="1:7" ht="12" customHeight="1">
      <c r="A3204" s="298">
        <v>36513</v>
      </c>
      <c r="B3204" s="299" t="s">
        <v>3515</v>
      </c>
      <c r="C3204" s="299">
        <v>40</v>
      </c>
      <c r="D3204" s="299">
        <f t="shared" si="101"/>
        <v>12</v>
      </c>
      <c r="E3204" s="299">
        <v>60</v>
      </c>
      <c r="F3204" s="430" t="s">
        <v>3497</v>
      </c>
      <c r="G3204" s="300" t="str">
        <f t="shared" si="102"/>
        <v>SoaveNRW</v>
      </c>
    </row>
    <row r="3205" spans="1:7" ht="12" customHeight="1">
      <c r="A3205" s="298">
        <v>36351</v>
      </c>
      <c r="B3205" s="299" t="s">
        <v>3515</v>
      </c>
      <c r="C3205" s="299">
        <v>240</v>
      </c>
      <c r="D3205" s="299">
        <f t="shared" si="101"/>
        <v>7</v>
      </c>
      <c r="E3205" s="299">
        <v>55</v>
      </c>
      <c r="F3205" s="430" t="s">
        <v>3499</v>
      </c>
      <c r="G3205" s="300" t="str">
        <f t="shared" si="102"/>
        <v>SoavePfalz</v>
      </c>
    </row>
    <row r="3206" spans="1:7" ht="12" customHeight="1">
      <c r="A3206" s="298">
        <v>36371</v>
      </c>
      <c r="B3206" s="299" t="s">
        <v>3515</v>
      </c>
      <c r="C3206" s="299">
        <v>20</v>
      </c>
      <c r="D3206" s="299">
        <f t="shared" ref="D3206:D3269" si="103">MONTH(A3206)</f>
        <v>7</v>
      </c>
      <c r="E3206" s="299">
        <v>55</v>
      </c>
      <c r="F3206" s="430" t="s">
        <v>3499</v>
      </c>
      <c r="G3206" s="300" t="str">
        <f t="shared" ref="G3206:G3269" si="104">B3206&amp;F3206</f>
        <v>SoavePfalz</v>
      </c>
    </row>
    <row r="3207" spans="1:7" ht="12" customHeight="1">
      <c r="A3207" s="298">
        <v>36397</v>
      </c>
      <c r="B3207" s="299" t="s">
        <v>3515</v>
      </c>
      <c r="C3207" s="299">
        <v>10</v>
      </c>
      <c r="D3207" s="299">
        <f t="shared" si="103"/>
        <v>8</v>
      </c>
      <c r="E3207" s="299">
        <v>57</v>
      </c>
      <c r="F3207" s="430" t="s">
        <v>3499</v>
      </c>
      <c r="G3207" s="300" t="str">
        <f t="shared" si="104"/>
        <v>SoavePfalz</v>
      </c>
    </row>
    <row r="3208" spans="1:7" ht="12" customHeight="1">
      <c r="A3208" s="298">
        <v>36402</v>
      </c>
      <c r="B3208" s="299" t="s">
        <v>3515</v>
      </c>
      <c r="C3208" s="299">
        <v>150</v>
      </c>
      <c r="D3208" s="299">
        <f t="shared" si="103"/>
        <v>8</v>
      </c>
      <c r="E3208" s="299">
        <v>57</v>
      </c>
      <c r="F3208" s="430" t="s">
        <v>3499</v>
      </c>
      <c r="G3208" s="300" t="str">
        <f t="shared" si="104"/>
        <v>SoavePfalz</v>
      </c>
    </row>
    <row r="3209" spans="1:7" ht="12" customHeight="1">
      <c r="A3209" s="298">
        <v>36515</v>
      </c>
      <c r="B3209" s="299" t="s">
        <v>3515</v>
      </c>
      <c r="C3209" s="299">
        <v>90</v>
      </c>
      <c r="D3209" s="299">
        <f t="shared" si="103"/>
        <v>12</v>
      </c>
      <c r="E3209" s="299">
        <v>58</v>
      </c>
      <c r="F3209" s="430" t="s">
        <v>3499</v>
      </c>
      <c r="G3209" s="300" t="str">
        <f t="shared" si="104"/>
        <v>SoavePfalz</v>
      </c>
    </row>
    <row r="3210" spans="1:7" ht="12" customHeight="1">
      <c r="A3210" s="298">
        <v>36520</v>
      </c>
      <c r="B3210" s="299" t="s">
        <v>3515</v>
      </c>
      <c r="C3210" s="299">
        <v>210</v>
      </c>
      <c r="D3210" s="299">
        <f t="shared" si="103"/>
        <v>12</v>
      </c>
      <c r="E3210" s="299">
        <v>55</v>
      </c>
      <c r="F3210" s="430" t="s">
        <v>3499</v>
      </c>
      <c r="G3210" s="300" t="str">
        <f t="shared" si="104"/>
        <v>SoavePfalz</v>
      </c>
    </row>
    <row r="3211" spans="1:7" ht="12" customHeight="1">
      <c r="A3211" s="298">
        <v>36253</v>
      </c>
      <c r="B3211" s="299" t="s">
        <v>3496</v>
      </c>
      <c r="C3211" s="299">
        <v>180</v>
      </c>
      <c r="D3211" s="299">
        <f t="shared" si="103"/>
        <v>4</v>
      </c>
      <c r="E3211" s="299">
        <v>85</v>
      </c>
      <c r="F3211" s="430" t="s">
        <v>3504</v>
      </c>
      <c r="G3211" s="300" t="str">
        <f t="shared" si="104"/>
        <v>BordeauxBayern</v>
      </c>
    </row>
    <row r="3212" spans="1:7" ht="12" customHeight="1">
      <c r="A3212" s="298">
        <v>36253</v>
      </c>
      <c r="B3212" s="299" t="s">
        <v>3496</v>
      </c>
      <c r="C3212" s="299">
        <v>90</v>
      </c>
      <c r="D3212" s="299">
        <f t="shared" si="103"/>
        <v>4</v>
      </c>
      <c r="E3212" s="299">
        <v>85</v>
      </c>
      <c r="F3212" s="430" t="s">
        <v>3504</v>
      </c>
      <c r="G3212" s="300" t="str">
        <f t="shared" si="104"/>
        <v>BordeauxBayern</v>
      </c>
    </row>
    <row r="3213" spans="1:7" ht="12" customHeight="1">
      <c r="A3213" s="298">
        <v>36260</v>
      </c>
      <c r="B3213" s="299" t="s">
        <v>3496</v>
      </c>
      <c r="C3213" s="299">
        <v>210</v>
      </c>
      <c r="D3213" s="299">
        <f t="shared" si="103"/>
        <v>4</v>
      </c>
      <c r="E3213" s="299">
        <v>85</v>
      </c>
      <c r="F3213" s="430" t="s">
        <v>3504</v>
      </c>
      <c r="G3213" s="300" t="str">
        <f t="shared" si="104"/>
        <v>BordeauxBayern</v>
      </c>
    </row>
    <row r="3214" spans="1:7" ht="12" customHeight="1">
      <c r="A3214" s="298">
        <v>36395</v>
      </c>
      <c r="B3214" s="299" t="s">
        <v>3496</v>
      </c>
      <c r="C3214" s="299">
        <v>180</v>
      </c>
      <c r="D3214" s="299">
        <f t="shared" si="103"/>
        <v>8</v>
      </c>
      <c r="E3214" s="299">
        <v>66</v>
      </c>
      <c r="F3214" s="430" t="s">
        <v>3504</v>
      </c>
      <c r="G3214" s="300" t="str">
        <f t="shared" si="104"/>
        <v>BordeauxBayern</v>
      </c>
    </row>
    <row r="3215" spans="1:7" ht="12" customHeight="1">
      <c r="A3215" s="298">
        <v>36468</v>
      </c>
      <c r="B3215" s="299" t="s">
        <v>3496</v>
      </c>
      <c r="C3215" s="299">
        <v>150</v>
      </c>
      <c r="D3215" s="299">
        <f t="shared" si="103"/>
        <v>11</v>
      </c>
      <c r="E3215" s="299">
        <v>85</v>
      </c>
      <c r="F3215" s="430" t="s">
        <v>3504</v>
      </c>
      <c r="G3215" s="300" t="str">
        <f t="shared" si="104"/>
        <v>BordeauxBayern</v>
      </c>
    </row>
    <row r="3216" spans="1:7" ht="12" customHeight="1">
      <c r="A3216" s="298">
        <v>36164</v>
      </c>
      <c r="B3216" s="299" t="s">
        <v>3496</v>
      </c>
      <c r="C3216" s="299">
        <v>60</v>
      </c>
      <c r="D3216" s="299">
        <f t="shared" si="103"/>
        <v>1</v>
      </c>
      <c r="E3216" s="299">
        <v>81</v>
      </c>
      <c r="F3216" s="430" t="s">
        <v>3497</v>
      </c>
      <c r="G3216" s="300" t="str">
        <f t="shared" si="104"/>
        <v>BordeauxNRW</v>
      </c>
    </row>
    <row r="3217" spans="1:7" ht="12" customHeight="1">
      <c r="A3217" s="298">
        <v>36173</v>
      </c>
      <c r="B3217" s="299" t="s">
        <v>3496</v>
      </c>
      <c r="C3217" s="299">
        <v>40</v>
      </c>
      <c r="D3217" s="299">
        <f t="shared" si="103"/>
        <v>1</v>
      </c>
      <c r="E3217" s="299">
        <v>81</v>
      </c>
      <c r="F3217" s="430" t="s">
        <v>3497</v>
      </c>
      <c r="G3217" s="300" t="str">
        <f t="shared" si="104"/>
        <v>BordeauxNRW</v>
      </c>
    </row>
    <row r="3218" spans="1:7" ht="12" customHeight="1">
      <c r="A3218" s="298">
        <v>36176</v>
      </c>
      <c r="B3218" s="299" t="s">
        <v>3496</v>
      </c>
      <c r="C3218" s="299">
        <v>80</v>
      </c>
      <c r="D3218" s="299">
        <f t="shared" si="103"/>
        <v>1</v>
      </c>
      <c r="E3218" s="299">
        <v>81</v>
      </c>
      <c r="F3218" s="430" t="s">
        <v>3497</v>
      </c>
      <c r="G3218" s="300" t="str">
        <f t="shared" si="104"/>
        <v>BordeauxNRW</v>
      </c>
    </row>
    <row r="3219" spans="1:7" ht="12" customHeight="1">
      <c r="A3219" s="298">
        <v>36215</v>
      </c>
      <c r="B3219" s="299" t="s">
        <v>3496</v>
      </c>
      <c r="C3219" s="299">
        <v>180</v>
      </c>
      <c r="D3219" s="299">
        <f t="shared" si="103"/>
        <v>2</v>
      </c>
      <c r="E3219" s="299">
        <v>67</v>
      </c>
      <c r="F3219" s="430" t="s">
        <v>3497</v>
      </c>
      <c r="G3219" s="300" t="str">
        <f t="shared" si="104"/>
        <v>BordeauxNRW</v>
      </c>
    </row>
    <row r="3220" spans="1:7" ht="12" customHeight="1">
      <c r="A3220" s="298">
        <v>36287</v>
      </c>
      <c r="B3220" s="299" t="s">
        <v>3496</v>
      </c>
      <c r="C3220" s="299">
        <v>20</v>
      </c>
      <c r="D3220" s="299">
        <f t="shared" si="103"/>
        <v>5</v>
      </c>
      <c r="E3220" s="299">
        <v>81</v>
      </c>
      <c r="F3220" s="430" t="s">
        <v>3497</v>
      </c>
      <c r="G3220" s="300" t="str">
        <f t="shared" si="104"/>
        <v>BordeauxNRW</v>
      </c>
    </row>
    <row r="3221" spans="1:7" ht="12" customHeight="1">
      <c r="A3221" s="298">
        <v>36290</v>
      </c>
      <c r="B3221" s="299" t="s">
        <v>3496</v>
      </c>
      <c r="C3221" s="299">
        <v>120</v>
      </c>
      <c r="D3221" s="299">
        <f t="shared" si="103"/>
        <v>5</v>
      </c>
      <c r="E3221" s="299">
        <v>81</v>
      </c>
      <c r="F3221" s="430" t="s">
        <v>3497</v>
      </c>
      <c r="G3221" s="300" t="str">
        <f t="shared" si="104"/>
        <v>BordeauxNRW</v>
      </c>
    </row>
    <row r="3222" spans="1:7" ht="12" customHeight="1">
      <c r="A3222" s="298">
        <v>36306</v>
      </c>
      <c r="B3222" s="299" t="s">
        <v>3496</v>
      </c>
      <c r="C3222" s="299">
        <v>210</v>
      </c>
      <c r="D3222" s="299">
        <f t="shared" si="103"/>
        <v>5</v>
      </c>
      <c r="E3222" s="299">
        <v>81</v>
      </c>
      <c r="F3222" s="430" t="s">
        <v>3497</v>
      </c>
      <c r="G3222" s="300" t="str">
        <f t="shared" si="104"/>
        <v>BordeauxNRW</v>
      </c>
    </row>
    <row r="3223" spans="1:7" ht="12" customHeight="1">
      <c r="A3223" s="298">
        <v>36401</v>
      </c>
      <c r="B3223" s="299" t="s">
        <v>3496</v>
      </c>
      <c r="C3223" s="299">
        <v>100</v>
      </c>
      <c r="D3223" s="299">
        <f t="shared" si="103"/>
        <v>8</v>
      </c>
      <c r="E3223" s="299">
        <v>81</v>
      </c>
      <c r="F3223" s="430" t="s">
        <v>3497</v>
      </c>
      <c r="G3223" s="300" t="str">
        <f t="shared" si="104"/>
        <v>BordeauxNRW</v>
      </c>
    </row>
    <row r="3224" spans="1:7" ht="12" customHeight="1">
      <c r="A3224" s="298">
        <v>36330</v>
      </c>
      <c r="B3224" s="299" t="s">
        <v>3496</v>
      </c>
      <c r="C3224" s="299">
        <v>40</v>
      </c>
      <c r="D3224" s="299">
        <f t="shared" si="103"/>
        <v>6</v>
      </c>
      <c r="E3224" s="299">
        <v>80</v>
      </c>
      <c r="F3224" s="430" t="s">
        <v>3500</v>
      </c>
      <c r="G3224" s="300" t="str">
        <f t="shared" si="104"/>
        <v>BordeauxSaarland</v>
      </c>
    </row>
    <row r="3225" spans="1:7" ht="12" customHeight="1">
      <c r="A3225" s="298">
        <v>36340</v>
      </c>
      <c r="B3225" s="299" t="s">
        <v>3496</v>
      </c>
      <c r="C3225" s="299">
        <v>120</v>
      </c>
      <c r="D3225" s="299">
        <f t="shared" si="103"/>
        <v>6</v>
      </c>
      <c r="E3225" s="299">
        <v>80</v>
      </c>
      <c r="F3225" s="430" t="s">
        <v>3500</v>
      </c>
      <c r="G3225" s="300" t="str">
        <f t="shared" si="104"/>
        <v>BordeauxSaarland</v>
      </c>
    </row>
    <row r="3226" spans="1:7" ht="12" customHeight="1">
      <c r="A3226" s="298">
        <v>36388</v>
      </c>
      <c r="B3226" s="299" t="s">
        <v>3496</v>
      </c>
      <c r="C3226" s="299">
        <v>30</v>
      </c>
      <c r="D3226" s="299">
        <f t="shared" si="103"/>
        <v>8</v>
      </c>
      <c r="E3226" s="299">
        <v>80</v>
      </c>
      <c r="F3226" s="430" t="s">
        <v>3500</v>
      </c>
      <c r="G3226" s="300" t="str">
        <f t="shared" si="104"/>
        <v>BordeauxSaarland</v>
      </c>
    </row>
    <row r="3227" spans="1:7" ht="12" customHeight="1">
      <c r="A3227" s="298">
        <v>36395</v>
      </c>
      <c r="B3227" s="299" t="s">
        <v>3496</v>
      </c>
      <c r="C3227" s="299">
        <v>210</v>
      </c>
      <c r="D3227" s="299">
        <f t="shared" si="103"/>
        <v>8</v>
      </c>
      <c r="E3227" s="299">
        <v>80</v>
      </c>
      <c r="F3227" s="430" t="s">
        <v>3500</v>
      </c>
      <c r="G3227" s="300" t="str">
        <f t="shared" si="104"/>
        <v>BordeauxSaarland</v>
      </c>
    </row>
    <row r="3228" spans="1:7" ht="12" customHeight="1">
      <c r="A3228" s="298">
        <v>36398</v>
      </c>
      <c r="B3228" s="299" t="s">
        <v>3496</v>
      </c>
      <c r="C3228" s="299">
        <v>150</v>
      </c>
      <c r="D3228" s="299">
        <f t="shared" si="103"/>
        <v>8</v>
      </c>
      <c r="E3228" s="299">
        <v>80</v>
      </c>
      <c r="F3228" s="430" t="s">
        <v>3500</v>
      </c>
      <c r="G3228" s="300" t="str">
        <f t="shared" si="104"/>
        <v>BordeauxSaarland</v>
      </c>
    </row>
    <row r="3229" spans="1:7" ht="12" customHeight="1">
      <c r="A3229" s="298">
        <v>36404</v>
      </c>
      <c r="B3229" s="299" t="s">
        <v>3496</v>
      </c>
      <c r="C3229" s="299">
        <v>210</v>
      </c>
      <c r="D3229" s="299">
        <f t="shared" si="103"/>
        <v>9</v>
      </c>
      <c r="E3229" s="299">
        <v>80</v>
      </c>
      <c r="F3229" s="430" t="s">
        <v>3500</v>
      </c>
      <c r="G3229" s="300" t="str">
        <f t="shared" si="104"/>
        <v>BordeauxSaarland</v>
      </c>
    </row>
    <row r="3230" spans="1:7" ht="12" customHeight="1">
      <c r="A3230" s="298">
        <v>36421</v>
      </c>
      <c r="B3230" s="299" t="s">
        <v>3496</v>
      </c>
      <c r="C3230" s="299">
        <v>60</v>
      </c>
      <c r="D3230" s="299">
        <f t="shared" si="103"/>
        <v>9</v>
      </c>
      <c r="E3230" s="299">
        <v>80</v>
      </c>
      <c r="F3230" s="430" t="s">
        <v>3500</v>
      </c>
      <c r="G3230" s="300" t="str">
        <f t="shared" si="104"/>
        <v>BordeauxSaarland</v>
      </c>
    </row>
    <row r="3231" spans="1:7" ht="12" customHeight="1">
      <c r="A3231" s="298">
        <v>36482</v>
      </c>
      <c r="B3231" s="299" t="s">
        <v>3496</v>
      </c>
      <c r="C3231" s="299">
        <v>90</v>
      </c>
      <c r="D3231" s="299">
        <f t="shared" si="103"/>
        <v>11</v>
      </c>
      <c r="E3231" s="299">
        <v>80</v>
      </c>
      <c r="F3231" s="430" t="s">
        <v>3500</v>
      </c>
      <c r="G3231" s="300" t="str">
        <f t="shared" si="104"/>
        <v>BordeauxSaarland</v>
      </c>
    </row>
    <row r="3232" spans="1:7" ht="12" customHeight="1">
      <c r="A3232" s="298">
        <v>36492</v>
      </c>
      <c r="B3232" s="299" t="s">
        <v>3496</v>
      </c>
      <c r="C3232" s="299">
        <v>110</v>
      </c>
      <c r="D3232" s="299">
        <f t="shared" si="103"/>
        <v>11</v>
      </c>
      <c r="E3232" s="299">
        <v>80</v>
      </c>
      <c r="F3232" s="430" t="s">
        <v>3500</v>
      </c>
      <c r="G3232" s="300" t="str">
        <f t="shared" si="104"/>
        <v>BordeauxSaarland</v>
      </c>
    </row>
    <row r="3233" spans="1:7" ht="12" customHeight="1">
      <c r="A3233" s="298">
        <v>36340</v>
      </c>
      <c r="B3233" s="299" t="s">
        <v>3506</v>
      </c>
      <c r="C3233" s="299">
        <v>70</v>
      </c>
      <c r="D3233" s="299">
        <f t="shared" si="103"/>
        <v>6</v>
      </c>
      <c r="E3233" s="299">
        <v>85</v>
      </c>
      <c r="F3233" s="430" t="s">
        <v>3504</v>
      </c>
      <c r="G3233" s="300" t="str">
        <f t="shared" si="104"/>
        <v>ChardonnayBayern</v>
      </c>
    </row>
    <row r="3234" spans="1:7" ht="12" customHeight="1">
      <c r="A3234" s="298">
        <v>36391</v>
      </c>
      <c r="B3234" s="299" t="s">
        <v>3506</v>
      </c>
      <c r="C3234" s="299">
        <v>10</v>
      </c>
      <c r="D3234" s="299">
        <f t="shared" si="103"/>
        <v>8</v>
      </c>
      <c r="E3234" s="299">
        <v>66</v>
      </c>
      <c r="F3234" s="430" t="s">
        <v>3502</v>
      </c>
      <c r="G3234" s="300" t="str">
        <f t="shared" si="104"/>
        <v>ChardonnayHessen</v>
      </c>
    </row>
    <row r="3235" spans="1:7" ht="12" customHeight="1">
      <c r="A3235" s="298">
        <v>36198</v>
      </c>
      <c r="B3235" s="299" t="s">
        <v>3506</v>
      </c>
      <c r="C3235" s="299">
        <v>210</v>
      </c>
      <c r="D3235" s="299">
        <f t="shared" si="103"/>
        <v>2</v>
      </c>
      <c r="E3235" s="299">
        <v>81</v>
      </c>
      <c r="F3235" s="430" t="s">
        <v>3497</v>
      </c>
      <c r="G3235" s="300" t="str">
        <f t="shared" si="104"/>
        <v>ChardonnayNRW</v>
      </c>
    </row>
    <row r="3236" spans="1:7" ht="12" customHeight="1">
      <c r="A3236" s="298">
        <v>36209</v>
      </c>
      <c r="B3236" s="299" t="s">
        <v>3506</v>
      </c>
      <c r="C3236" s="299">
        <v>40</v>
      </c>
      <c r="D3236" s="299">
        <f t="shared" si="103"/>
        <v>2</v>
      </c>
      <c r="E3236" s="299">
        <v>80</v>
      </c>
      <c r="F3236" s="430" t="s">
        <v>3500</v>
      </c>
      <c r="G3236" s="300" t="str">
        <f t="shared" si="104"/>
        <v>ChardonnaySaarland</v>
      </c>
    </row>
    <row r="3237" spans="1:7" ht="12" customHeight="1">
      <c r="A3237" s="298">
        <v>36212</v>
      </c>
      <c r="B3237" s="299" t="s">
        <v>3506</v>
      </c>
      <c r="C3237" s="299">
        <v>110</v>
      </c>
      <c r="D3237" s="299">
        <f t="shared" si="103"/>
        <v>2</v>
      </c>
      <c r="E3237" s="299">
        <v>80</v>
      </c>
      <c r="F3237" s="430" t="s">
        <v>3500</v>
      </c>
      <c r="G3237" s="300" t="str">
        <f t="shared" si="104"/>
        <v>ChardonnaySaarland</v>
      </c>
    </row>
    <row r="3238" spans="1:7" ht="12" customHeight="1">
      <c r="A3238" s="298">
        <v>36267</v>
      </c>
      <c r="B3238" s="299" t="s">
        <v>3506</v>
      </c>
      <c r="C3238" s="299">
        <v>10</v>
      </c>
      <c r="D3238" s="299">
        <f t="shared" si="103"/>
        <v>4</v>
      </c>
      <c r="E3238" s="299">
        <v>80</v>
      </c>
      <c r="F3238" s="430" t="s">
        <v>3500</v>
      </c>
      <c r="G3238" s="300" t="str">
        <f t="shared" si="104"/>
        <v>ChardonnaySaarland</v>
      </c>
    </row>
    <row r="3239" spans="1:7" ht="12" customHeight="1">
      <c r="A3239" s="298">
        <v>36416</v>
      </c>
      <c r="B3239" s="299" t="s">
        <v>3506</v>
      </c>
      <c r="C3239" s="299">
        <v>120</v>
      </c>
      <c r="D3239" s="299">
        <f t="shared" si="103"/>
        <v>9</v>
      </c>
      <c r="E3239" s="299">
        <v>80</v>
      </c>
      <c r="F3239" s="430" t="s">
        <v>3500</v>
      </c>
      <c r="G3239" s="300" t="str">
        <f t="shared" si="104"/>
        <v>ChardonnaySaarland</v>
      </c>
    </row>
    <row r="3240" spans="1:7" ht="12" customHeight="1">
      <c r="A3240" s="298">
        <v>36427</v>
      </c>
      <c r="B3240" s="299" t="s">
        <v>3506</v>
      </c>
      <c r="C3240" s="299">
        <v>180</v>
      </c>
      <c r="D3240" s="299">
        <f t="shared" si="103"/>
        <v>9</v>
      </c>
      <c r="E3240" s="299">
        <v>80</v>
      </c>
      <c r="F3240" s="430" t="s">
        <v>3500</v>
      </c>
      <c r="G3240" s="300" t="str">
        <f t="shared" si="104"/>
        <v>ChardonnaySaarland</v>
      </c>
    </row>
    <row r="3241" spans="1:7" ht="12" customHeight="1">
      <c r="A3241" s="298">
        <v>36259</v>
      </c>
      <c r="B3241" s="299" t="s">
        <v>3507</v>
      </c>
      <c r="C3241" s="299">
        <v>60</v>
      </c>
      <c r="D3241" s="299">
        <f t="shared" si="103"/>
        <v>4</v>
      </c>
      <c r="E3241" s="299">
        <v>77</v>
      </c>
      <c r="F3241" s="430" t="s">
        <v>3504</v>
      </c>
      <c r="G3241" s="300" t="str">
        <f t="shared" si="104"/>
        <v>ChiantiBayern</v>
      </c>
    </row>
    <row r="3242" spans="1:7" ht="12" customHeight="1">
      <c r="A3242" s="298">
        <v>36288</v>
      </c>
      <c r="B3242" s="299" t="s">
        <v>3507</v>
      </c>
      <c r="C3242" s="299">
        <v>80</v>
      </c>
      <c r="D3242" s="299">
        <f t="shared" si="103"/>
        <v>5</v>
      </c>
      <c r="E3242" s="299">
        <v>66</v>
      </c>
      <c r="F3242" s="430" t="s">
        <v>3504</v>
      </c>
      <c r="G3242" s="300" t="str">
        <f t="shared" si="104"/>
        <v>ChiantiBayern</v>
      </c>
    </row>
    <row r="3243" spans="1:7" ht="12" customHeight="1">
      <c r="A3243" s="298">
        <v>36295</v>
      </c>
      <c r="B3243" s="299" t="s">
        <v>3507</v>
      </c>
      <c r="C3243" s="299">
        <v>100</v>
      </c>
      <c r="D3243" s="299">
        <f t="shared" si="103"/>
        <v>5</v>
      </c>
      <c r="E3243" s="299">
        <v>77</v>
      </c>
      <c r="F3243" s="430" t="s">
        <v>3504</v>
      </c>
      <c r="G3243" s="300" t="str">
        <f t="shared" si="104"/>
        <v>ChiantiBayern</v>
      </c>
    </row>
    <row r="3244" spans="1:7" ht="12" customHeight="1">
      <c r="A3244" s="298">
        <v>36353</v>
      </c>
      <c r="B3244" s="299" t="s">
        <v>3507</v>
      </c>
      <c r="C3244" s="299">
        <v>180</v>
      </c>
      <c r="D3244" s="299">
        <f t="shared" si="103"/>
        <v>7</v>
      </c>
      <c r="E3244" s="299">
        <v>77</v>
      </c>
      <c r="F3244" s="430" t="s">
        <v>3504</v>
      </c>
      <c r="G3244" s="300" t="str">
        <f t="shared" si="104"/>
        <v>ChiantiBayern</v>
      </c>
    </row>
    <row r="3245" spans="1:7" ht="12" customHeight="1">
      <c r="A3245" s="298">
        <v>36373</v>
      </c>
      <c r="B3245" s="299" t="s">
        <v>3507</v>
      </c>
      <c r="C3245" s="299">
        <v>60</v>
      </c>
      <c r="D3245" s="299">
        <f t="shared" si="103"/>
        <v>8</v>
      </c>
      <c r="E3245" s="299">
        <v>77</v>
      </c>
      <c r="F3245" s="430" t="s">
        <v>3504</v>
      </c>
      <c r="G3245" s="300" t="str">
        <f t="shared" si="104"/>
        <v>ChiantiBayern</v>
      </c>
    </row>
    <row r="3246" spans="1:7" ht="12" customHeight="1">
      <c r="A3246" s="298">
        <v>36393</v>
      </c>
      <c r="B3246" s="299" t="s">
        <v>3507</v>
      </c>
      <c r="C3246" s="299">
        <v>10</v>
      </c>
      <c r="D3246" s="299">
        <f t="shared" si="103"/>
        <v>8</v>
      </c>
      <c r="E3246" s="299">
        <v>77</v>
      </c>
      <c r="F3246" s="430" t="s">
        <v>3504</v>
      </c>
      <c r="G3246" s="300" t="str">
        <f t="shared" si="104"/>
        <v>ChiantiBayern</v>
      </c>
    </row>
    <row r="3247" spans="1:7" ht="12" customHeight="1">
      <c r="A3247" s="298">
        <v>36402</v>
      </c>
      <c r="B3247" s="299" t="s">
        <v>3507</v>
      </c>
      <c r="C3247" s="299">
        <v>180</v>
      </c>
      <c r="D3247" s="299">
        <f t="shared" si="103"/>
        <v>8</v>
      </c>
      <c r="E3247" s="299">
        <v>77</v>
      </c>
      <c r="F3247" s="430" t="s">
        <v>3504</v>
      </c>
      <c r="G3247" s="300" t="str">
        <f t="shared" si="104"/>
        <v>ChiantiBayern</v>
      </c>
    </row>
    <row r="3248" spans="1:7" ht="12" customHeight="1">
      <c r="A3248" s="298">
        <v>36420</v>
      </c>
      <c r="B3248" s="299" t="s">
        <v>3507</v>
      </c>
      <c r="C3248" s="299">
        <v>120</v>
      </c>
      <c r="D3248" s="299">
        <f t="shared" si="103"/>
        <v>9</v>
      </c>
      <c r="E3248" s="299">
        <v>85</v>
      </c>
      <c r="F3248" s="430" t="s">
        <v>3504</v>
      </c>
      <c r="G3248" s="300" t="str">
        <f t="shared" si="104"/>
        <v>ChiantiBayern</v>
      </c>
    </row>
    <row r="3249" spans="1:7" ht="12" customHeight="1">
      <c r="A3249" s="298">
        <v>36455</v>
      </c>
      <c r="B3249" s="299" t="s">
        <v>3507</v>
      </c>
      <c r="C3249" s="299">
        <v>100</v>
      </c>
      <c r="D3249" s="299">
        <f t="shared" si="103"/>
        <v>10</v>
      </c>
      <c r="E3249" s="299">
        <v>77</v>
      </c>
      <c r="F3249" s="430" t="s">
        <v>3504</v>
      </c>
      <c r="G3249" s="300" t="str">
        <f t="shared" si="104"/>
        <v>ChiantiBayern</v>
      </c>
    </row>
    <row r="3250" spans="1:7" ht="12" customHeight="1">
      <c r="A3250" s="298">
        <v>36465</v>
      </c>
      <c r="B3250" s="299" t="s">
        <v>3507</v>
      </c>
      <c r="C3250" s="299">
        <v>120</v>
      </c>
      <c r="D3250" s="299">
        <f t="shared" si="103"/>
        <v>11</v>
      </c>
      <c r="E3250" s="299">
        <v>66</v>
      </c>
      <c r="F3250" s="430" t="s">
        <v>3504</v>
      </c>
      <c r="G3250" s="300" t="str">
        <f t="shared" si="104"/>
        <v>ChiantiBayern</v>
      </c>
    </row>
    <row r="3251" spans="1:7" ht="12" customHeight="1">
      <c r="A3251" s="298">
        <v>36504</v>
      </c>
      <c r="B3251" s="299" t="s">
        <v>3507</v>
      </c>
      <c r="C3251" s="299">
        <v>120</v>
      </c>
      <c r="D3251" s="299">
        <f t="shared" si="103"/>
        <v>12</v>
      </c>
      <c r="E3251" s="299">
        <v>77</v>
      </c>
      <c r="F3251" s="430" t="s">
        <v>3504</v>
      </c>
      <c r="G3251" s="300" t="str">
        <f t="shared" si="104"/>
        <v>ChiantiBayern</v>
      </c>
    </row>
    <row r="3252" spans="1:7" ht="12" customHeight="1">
      <c r="A3252" s="298">
        <v>36213</v>
      </c>
      <c r="B3252" s="299" t="s">
        <v>3507</v>
      </c>
      <c r="C3252" s="299">
        <v>10</v>
      </c>
      <c r="D3252" s="299">
        <f t="shared" si="103"/>
        <v>2</v>
      </c>
      <c r="E3252" s="299">
        <v>67</v>
      </c>
      <c r="F3252" s="430" t="s">
        <v>3497</v>
      </c>
      <c r="G3252" s="300" t="str">
        <f t="shared" si="104"/>
        <v>ChiantiNRW</v>
      </c>
    </row>
    <row r="3253" spans="1:7" ht="12" customHeight="1">
      <c r="A3253" s="298">
        <v>36222</v>
      </c>
      <c r="B3253" s="299" t="s">
        <v>3507</v>
      </c>
      <c r="C3253" s="299">
        <v>180</v>
      </c>
      <c r="D3253" s="299">
        <f t="shared" si="103"/>
        <v>3</v>
      </c>
      <c r="E3253" s="299">
        <v>67</v>
      </c>
      <c r="F3253" s="430" t="s">
        <v>3497</v>
      </c>
      <c r="G3253" s="300" t="str">
        <f t="shared" si="104"/>
        <v>ChiantiNRW</v>
      </c>
    </row>
    <row r="3254" spans="1:7" ht="12" customHeight="1">
      <c r="A3254" s="298">
        <v>36234</v>
      </c>
      <c r="B3254" s="299" t="s">
        <v>3507</v>
      </c>
      <c r="C3254" s="299">
        <v>60</v>
      </c>
      <c r="D3254" s="299">
        <f t="shared" si="103"/>
        <v>3</v>
      </c>
      <c r="E3254" s="299">
        <v>67</v>
      </c>
      <c r="F3254" s="430" t="s">
        <v>3497</v>
      </c>
      <c r="G3254" s="300" t="str">
        <f t="shared" si="104"/>
        <v>ChiantiNRW</v>
      </c>
    </row>
    <row r="3255" spans="1:7" ht="12" customHeight="1">
      <c r="A3255" s="298">
        <v>36388</v>
      </c>
      <c r="B3255" s="299" t="s">
        <v>3508</v>
      </c>
      <c r="C3255" s="299">
        <v>180</v>
      </c>
      <c r="D3255" s="299">
        <f t="shared" si="103"/>
        <v>8</v>
      </c>
      <c r="E3255" s="299">
        <v>66</v>
      </c>
      <c r="F3255" s="430" t="s">
        <v>3502</v>
      </c>
      <c r="G3255" s="300" t="str">
        <f t="shared" si="104"/>
        <v>ChirazHessen</v>
      </c>
    </row>
    <row r="3256" spans="1:7" ht="12" customHeight="1">
      <c r="A3256" s="298">
        <v>36388</v>
      </c>
      <c r="B3256" s="299" t="s">
        <v>3508</v>
      </c>
      <c r="C3256" s="299">
        <v>10</v>
      </c>
      <c r="D3256" s="299">
        <f t="shared" si="103"/>
        <v>8</v>
      </c>
      <c r="E3256" s="299">
        <v>66</v>
      </c>
      <c r="F3256" s="430" t="s">
        <v>3502</v>
      </c>
      <c r="G3256" s="300" t="str">
        <f t="shared" si="104"/>
        <v>ChirazHessen</v>
      </c>
    </row>
    <row r="3257" spans="1:7" ht="12" customHeight="1">
      <c r="A3257" s="298">
        <v>36402</v>
      </c>
      <c r="B3257" s="299" t="s">
        <v>3508</v>
      </c>
      <c r="C3257" s="299">
        <v>150</v>
      </c>
      <c r="D3257" s="299">
        <f t="shared" si="103"/>
        <v>8</v>
      </c>
      <c r="E3257" s="299">
        <v>66</v>
      </c>
      <c r="F3257" s="430" t="s">
        <v>3502</v>
      </c>
      <c r="G3257" s="300" t="str">
        <f t="shared" si="104"/>
        <v>ChirazHessen</v>
      </c>
    </row>
    <row r="3258" spans="1:7" ht="12" customHeight="1">
      <c r="A3258" s="298">
        <v>36381</v>
      </c>
      <c r="B3258" s="299" t="s">
        <v>3508</v>
      </c>
      <c r="C3258" s="299">
        <v>10</v>
      </c>
      <c r="D3258" s="299">
        <f t="shared" si="103"/>
        <v>8</v>
      </c>
      <c r="E3258" s="299">
        <v>81</v>
      </c>
      <c r="F3258" s="430" t="s">
        <v>3497</v>
      </c>
      <c r="G3258" s="300" t="str">
        <f t="shared" si="104"/>
        <v>ChirazNRW</v>
      </c>
    </row>
    <row r="3259" spans="1:7" ht="12" customHeight="1">
      <c r="A3259" s="298">
        <v>36184</v>
      </c>
      <c r="B3259" s="299" t="s">
        <v>3509</v>
      </c>
      <c r="C3259" s="299">
        <v>60</v>
      </c>
      <c r="D3259" s="299">
        <f t="shared" si="103"/>
        <v>1</v>
      </c>
      <c r="E3259" s="299">
        <v>85</v>
      </c>
      <c r="F3259" s="430" t="s">
        <v>3504</v>
      </c>
      <c r="G3259" s="300" t="str">
        <f t="shared" si="104"/>
        <v>DeinhardBayern</v>
      </c>
    </row>
    <row r="3260" spans="1:7" ht="12" customHeight="1">
      <c r="A3260" s="298">
        <v>36292</v>
      </c>
      <c r="B3260" s="299" t="s">
        <v>3509</v>
      </c>
      <c r="C3260" s="299">
        <v>60</v>
      </c>
      <c r="D3260" s="299">
        <f t="shared" si="103"/>
        <v>5</v>
      </c>
      <c r="E3260" s="299">
        <v>77</v>
      </c>
      <c r="F3260" s="430" t="s">
        <v>3504</v>
      </c>
      <c r="G3260" s="300" t="str">
        <f t="shared" si="104"/>
        <v>DeinhardBayern</v>
      </c>
    </row>
    <row r="3261" spans="1:7" ht="12" customHeight="1">
      <c r="A3261" s="298">
        <v>36476</v>
      </c>
      <c r="B3261" s="299" t="s">
        <v>3509</v>
      </c>
      <c r="C3261" s="299">
        <v>90</v>
      </c>
      <c r="D3261" s="299">
        <f t="shared" si="103"/>
        <v>11</v>
      </c>
      <c r="E3261" s="299">
        <v>77</v>
      </c>
      <c r="F3261" s="430" t="s">
        <v>3504</v>
      </c>
      <c r="G3261" s="300" t="str">
        <f t="shared" si="104"/>
        <v>DeinhardBayern</v>
      </c>
    </row>
    <row r="3262" spans="1:7" ht="12" customHeight="1">
      <c r="A3262" s="298">
        <v>36517</v>
      </c>
      <c r="B3262" s="299" t="s">
        <v>3509</v>
      </c>
      <c r="C3262" s="299">
        <v>30</v>
      </c>
      <c r="D3262" s="299">
        <f t="shared" si="103"/>
        <v>12</v>
      </c>
      <c r="E3262" s="299">
        <v>77</v>
      </c>
      <c r="F3262" s="430" t="s">
        <v>3504</v>
      </c>
      <c r="G3262" s="300" t="str">
        <f t="shared" si="104"/>
        <v>DeinhardBayern</v>
      </c>
    </row>
    <row r="3263" spans="1:7" ht="12" customHeight="1">
      <c r="A3263" s="298">
        <v>36342</v>
      </c>
      <c r="B3263" s="299" t="s">
        <v>3509</v>
      </c>
      <c r="C3263" s="299">
        <v>120</v>
      </c>
      <c r="D3263" s="299">
        <f t="shared" si="103"/>
        <v>7</v>
      </c>
      <c r="E3263" s="299">
        <v>81</v>
      </c>
      <c r="F3263" s="430" t="s">
        <v>3497</v>
      </c>
      <c r="G3263" s="300" t="str">
        <f t="shared" si="104"/>
        <v>DeinhardNRW</v>
      </c>
    </row>
    <row r="3264" spans="1:7" ht="12" customHeight="1">
      <c r="A3264" s="298">
        <v>36362</v>
      </c>
      <c r="B3264" s="299" t="s">
        <v>3509</v>
      </c>
      <c r="C3264" s="299">
        <v>30</v>
      </c>
      <c r="D3264" s="299">
        <f t="shared" si="103"/>
        <v>7</v>
      </c>
      <c r="E3264" s="299">
        <v>81</v>
      </c>
      <c r="F3264" s="430" t="s">
        <v>3497</v>
      </c>
      <c r="G3264" s="300" t="str">
        <f t="shared" si="104"/>
        <v>DeinhardNRW</v>
      </c>
    </row>
    <row r="3265" spans="1:7" ht="12" customHeight="1">
      <c r="A3265" s="298">
        <v>36376</v>
      </c>
      <c r="B3265" s="299" t="s">
        <v>3509</v>
      </c>
      <c r="C3265" s="299">
        <v>40</v>
      </c>
      <c r="D3265" s="299">
        <f t="shared" si="103"/>
        <v>8</v>
      </c>
      <c r="E3265" s="299">
        <v>69</v>
      </c>
      <c r="F3265" s="430" t="s">
        <v>3497</v>
      </c>
      <c r="G3265" s="300" t="str">
        <f t="shared" si="104"/>
        <v>DeinhardNRW</v>
      </c>
    </row>
    <row r="3266" spans="1:7" ht="12" customHeight="1">
      <c r="A3266" s="298">
        <v>36391</v>
      </c>
      <c r="B3266" s="299" t="s">
        <v>3509</v>
      </c>
      <c r="C3266" s="299">
        <v>10</v>
      </c>
      <c r="D3266" s="299">
        <f t="shared" si="103"/>
        <v>8</v>
      </c>
      <c r="E3266" s="299">
        <v>67</v>
      </c>
      <c r="F3266" s="430" t="s">
        <v>3497</v>
      </c>
      <c r="G3266" s="300" t="str">
        <f t="shared" si="104"/>
        <v>DeinhardNRW</v>
      </c>
    </row>
    <row r="3267" spans="1:7" ht="12" customHeight="1">
      <c r="A3267" s="298">
        <v>36163</v>
      </c>
      <c r="B3267" s="299" t="s">
        <v>3510</v>
      </c>
      <c r="C3267" s="299">
        <v>40</v>
      </c>
      <c r="D3267" s="299">
        <f t="shared" si="103"/>
        <v>1</v>
      </c>
      <c r="E3267" s="299">
        <v>77</v>
      </c>
      <c r="F3267" s="430" t="s">
        <v>3504</v>
      </c>
      <c r="G3267" s="300" t="str">
        <f t="shared" si="104"/>
        <v>M&amp;MBayern</v>
      </c>
    </row>
    <row r="3268" spans="1:7" ht="12" customHeight="1">
      <c r="A3268" s="298">
        <v>36195</v>
      </c>
      <c r="B3268" s="299" t="s">
        <v>3510</v>
      </c>
      <c r="C3268" s="299">
        <v>30</v>
      </c>
      <c r="D3268" s="299">
        <f t="shared" si="103"/>
        <v>2</v>
      </c>
      <c r="E3268" s="299">
        <v>77</v>
      </c>
      <c r="F3268" s="430" t="s">
        <v>3504</v>
      </c>
      <c r="G3268" s="300" t="str">
        <f t="shared" si="104"/>
        <v>M&amp;MBayern</v>
      </c>
    </row>
    <row r="3269" spans="1:7" ht="12" customHeight="1">
      <c r="A3269" s="298">
        <v>36206</v>
      </c>
      <c r="B3269" s="299" t="s">
        <v>3510</v>
      </c>
      <c r="C3269" s="299">
        <v>50</v>
      </c>
      <c r="D3269" s="299">
        <f t="shared" si="103"/>
        <v>2</v>
      </c>
      <c r="E3269" s="299">
        <v>77</v>
      </c>
      <c r="F3269" s="430" t="s">
        <v>3504</v>
      </c>
      <c r="G3269" s="300" t="str">
        <f t="shared" si="104"/>
        <v>M&amp;MBayern</v>
      </c>
    </row>
    <row r="3270" spans="1:7" ht="12" customHeight="1">
      <c r="A3270" s="298">
        <v>36223</v>
      </c>
      <c r="B3270" s="299" t="s">
        <v>3510</v>
      </c>
      <c r="C3270" s="299">
        <v>60</v>
      </c>
      <c r="D3270" s="299">
        <f t="shared" ref="D3270:D3333" si="105">MONTH(A3270)</f>
        <v>3</v>
      </c>
      <c r="E3270" s="299">
        <v>77</v>
      </c>
      <c r="F3270" s="430" t="s">
        <v>3504</v>
      </c>
      <c r="G3270" s="300" t="str">
        <f t="shared" ref="G3270:G3333" si="106">B3270&amp;F3270</f>
        <v>M&amp;MBayern</v>
      </c>
    </row>
    <row r="3271" spans="1:7" ht="12" customHeight="1">
      <c r="A3271" s="298">
        <v>36226</v>
      </c>
      <c r="B3271" s="299" t="s">
        <v>3510</v>
      </c>
      <c r="C3271" s="299">
        <v>50</v>
      </c>
      <c r="D3271" s="299">
        <f t="shared" si="105"/>
        <v>3</v>
      </c>
      <c r="E3271" s="299">
        <v>77</v>
      </c>
      <c r="F3271" s="430" t="s">
        <v>3504</v>
      </c>
      <c r="G3271" s="300" t="str">
        <f t="shared" si="106"/>
        <v>M&amp;MBayern</v>
      </c>
    </row>
    <row r="3272" spans="1:7" ht="12" customHeight="1">
      <c r="A3272" s="298">
        <v>36227</v>
      </c>
      <c r="B3272" s="299" t="s">
        <v>3510</v>
      </c>
      <c r="C3272" s="299">
        <v>120</v>
      </c>
      <c r="D3272" s="299">
        <f t="shared" si="105"/>
        <v>3</v>
      </c>
      <c r="E3272" s="299">
        <v>66</v>
      </c>
      <c r="F3272" s="430" t="s">
        <v>3504</v>
      </c>
      <c r="G3272" s="300" t="str">
        <f t="shared" si="106"/>
        <v>M&amp;MBayern</v>
      </c>
    </row>
    <row r="3273" spans="1:7" ht="12" customHeight="1">
      <c r="A3273" s="298">
        <v>36284</v>
      </c>
      <c r="B3273" s="299" t="s">
        <v>3510</v>
      </c>
      <c r="C3273" s="299">
        <v>90</v>
      </c>
      <c r="D3273" s="299">
        <f t="shared" si="105"/>
        <v>5</v>
      </c>
      <c r="E3273" s="299">
        <v>77</v>
      </c>
      <c r="F3273" s="430" t="s">
        <v>3504</v>
      </c>
      <c r="G3273" s="300" t="str">
        <f t="shared" si="106"/>
        <v>M&amp;MBayern</v>
      </c>
    </row>
    <row r="3274" spans="1:7" ht="12" customHeight="1">
      <c r="A3274" s="298">
        <v>36289</v>
      </c>
      <c r="B3274" s="299" t="s">
        <v>3510</v>
      </c>
      <c r="C3274" s="299">
        <v>10</v>
      </c>
      <c r="D3274" s="299">
        <f t="shared" si="105"/>
        <v>5</v>
      </c>
      <c r="E3274" s="299">
        <v>77</v>
      </c>
      <c r="F3274" s="430" t="s">
        <v>3504</v>
      </c>
      <c r="G3274" s="300" t="str">
        <f t="shared" si="106"/>
        <v>M&amp;MBayern</v>
      </c>
    </row>
    <row r="3275" spans="1:7" ht="12" customHeight="1">
      <c r="A3275" s="298">
        <v>36292</v>
      </c>
      <c r="B3275" s="299" t="s">
        <v>3510</v>
      </c>
      <c r="C3275" s="299">
        <v>80</v>
      </c>
      <c r="D3275" s="299">
        <f t="shared" si="105"/>
        <v>5</v>
      </c>
      <c r="E3275" s="299">
        <v>77</v>
      </c>
      <c r="F3275" s="430" t="s">
        <v>3504</v>
      </c>
      <c r="G3275" s="300" t="str">
        <f t="shared" si="106"/>
        <v>M&amp;MBayern</v>
      </c>
    </row>
    <row r="3276" spans="1:7" ht="12" customHeight="1">
      <c r="A3276" s="298">
        <v>36293</v>
      </c>
      <c r="B3276" s="299" t="s">
        <v>3510</v>
      </c>
      <c r="C3276" s="299">
        <v>50</v>
      </c>
      <c r="D3276" s="299">
        <f t="shared" si="105"/>
        <v>5</v>
      </c>
      <c r="E3276" s="299">
        <v>77</v>
      </c>
      <c r="F3276" s="430" t="s">
        <v>3504</v>
      </c>
      <c r="G3276" s="300" t="str">
        <f t="shared" si="106"/>
        <v>M&amp;MBayern</v>
      </c>
    </row>
    <row r="3277" spans="1:7" ht="12" customHeight="1">
      <c r="A3277" s="298">
        <v>36300</v>
      </c>
      <c r="B3277" s="299" t="s">
        <v>3510</v>
      </c>
      <c r="C3277" s="299">
        <v>50</v>
      </c>
      <c r="D3277" s="299">
        <f t="shared" si="105"/>
        <v>5</v>
      </c>
      <c r="E3277" s="299">
        <v>85</v>
      </c>
      <c r="F3277" s="430" t="s">
        <v>3504</v>
      </c>
      <c r="G3277" s="300" t="str">
        <f t="shared" si="106"/>
        <v>M&amp;MBayern</v>
      </c>
    </row>
    <row r="3278" spans="1:7" ht="12" customHeight="1">
      <c r="A3278" s="298">
        <v>36306</v>
      </c>
      <c r="B3278" s="299" t="s">
        <v>3510</v>
      </c>
      <c r="C3278" s="299">
        <v>70</v>
      </c>
      <c r="D3278" s="299">
        <f t="shared" si="105"/>
        <v>5</v>
      </c>
      <c r="E3278" s="299">
        <v>77</v>
      </c>
      <c r="F3278" s="430" t="s">
        <v>3504</v>
      </c>
      <c r="G3278" s="300" t="str">
        <f t="shared" si="106"/>
        <v>M&amp;MBayern</v>
      </c>
    </row>
    <row r="3279" spans="1:7" ht="12" customHeight="1">
      <c r="A3279" s="298">
        <v>36312</v>
      </c>
      <c r="B3279" s="299" t="s">
        <v>3510</v>
      </c>
      <c r="C3279" s="299">
        <v>80</v>
      </c>
      <c r="D3279" s="299">
        <f t="shared" si="105"/>
        <v>6</v>
      </c>
      <c r="E3279" s="299">
        <v>85</v>
      </c>
      <c r="F3279" s="430" t="s">
        <v>3504</v>
      </c>
      <c r="G3279" s="300" t="str">
        <f t="shared" si="106"/>
        <v>M&amp;MBayern</v>
      </c>
    </row>
    <row r="3280" spans="1:7" ht="12" customHeight="1">
      <c r="A3280" s="298">
        <v>36339</v>
      </c>
      <c r="B3280" s="299" t="s">
        <v>3510</v>
      </c>
      <c r="C3280" s="299">
        <v>40</v>
      </c>
      <c r="D3280" s="299">
        <f t="shared" si="105"/>
        <v>6</v>
      </c>
      <c r="E3280" s="299">
        <v>85</v>
      </c>
      <c r="F3280" s="430" t="s">
        <v>3504</v>
      </c>
      <c r="G3280" s="300" t="str">
        <f t="shared" si="106"/>
        <v>M&amp;MBayern</v>
      </c>
    </row>
    <row r="3281" spans="1:7" ht="12" customHeight="1">
      <c r="A3281" s="298">
        <v>36353</v>
      </c>
      <c r="B3281" s="299" t="s">
        <v>3510</v>
      </c>
      <c r="C3281" s="299">
        <v>30</v>
      </c>
      <c r="D3281" s="299">
        <f t="shared" si="105"/>
        <v>7</v>
      </c>
      <c r="E3281" s="299">
        <v>66</v>
      </c>
      <c r="F3281" s="430" t="s">
        <v>3504</v>
      </c>
      <c r="G3281" s="300" t="str">
        <f t="shared" si="106"/>
        <v>M&amp;MBayern</v>
      </c>
    </row>
    <row r="3282" spans="1:7" ht="12" customHeight="1">
      <c r="A3282" s="298">
        <v>36355</v>
      </c>
      <c r="B3282" s="299" t="s">
        <v>3510</v>
      </c>
      <c r="C3282" s="299">
        <v>50</v>
      </c>
      <c r="D3282" s="299">
        <f t="shared" si="105"/>
        <v>7</v>
      </c>
      <c r="E3282" s="299">
        <v>66</v>
      </c>
      <c r="F3282" s="430" t="s">
        <v>3504</v>
      </c>
      <c r="G3282" s="300" t="str">
        <f t="shared" si="106"/>
        <v>M&amp;MBayern</v>
      </c>
    </row>
    <row r="3283" spans="1:7" ht="12" customHeight="1">
      <c r="A3283" s="298">
        <v>36360</v>
      </c>
      <c r="B3283" s="299" t="s">
        <v>3510</v>
      </c>
      <c r="C3283" s="299">
        <v>10</v>
      </c>
      <c r="D3283" s="299">
        <f t="shared" si="105"/>
        <v>7</v>
      </c>
      <c r="E3283" s="299">
        <v>66</v>
      </c>
      <c r="F3283" s="430" t="s">
        <v>3504</v>
      </c>
      <c r="G3283" s="300" t="str">
        <f t="shared" si="106"/>
        <v>M&amp;MBayern</v>
      </c>
    </row>
    <row r="3284" spans="1:7" ht="12" customHeight="1">
      <c r="A3284" s="298">
        <v>36362</v>
      </c>
      <c r="B3284" s="299" t="s">
        <v>3510</v>
      </c>
      <c r="C3284" s="299">
        <v>20</v>
      </c>
      <c r="D3284" s="299">
        <f t="shared" si="105"/>
        <v>7</v>
      </c>
      <c r="E3284" s="299">
        <v>85</v>
      </c>
      <c r="F3284" s="430" t="s">
        <v>3504</v>
      </c>
      <c r="G3284" s="300" t="str">
        <f t="shared" si="106"/>
        <v>M&amp;MBayern</v>
      </c>
    </row>
    <row r="3285" spans="1:7" ht="12" customHeight="1">
      <c r="A3285" s="298">
        <v>36370</v>
      </c>
      <c r="B3285" s="299" t="s">
        <v>3510</v>
      </c>
      <c r="C3285" s="299">
        <v>10</v>
      </c>
      <c r="D3285" s="299">
        <f t="shared" si="105"/>
        <v>7</v>
      </c>
      <c r="E3285" s="299">
        <v>66</v>
      </c>
      <c r="F3285" s="430" t="s">
        <v>3504</v>
      </c>
      <c r="G3285" s="300" t="str">
        <f t="shared" si="106"/>
        <v>M&amp;MBayern</v>
      </c>
    </row>
    <row r="3286" spans="1:7" ht="12" customHeight="1">
      <c r="A3286" s="298">
        <v>36373</v>
      </c>
      <c r="B3286" s="299" t="s">
        <v>3510</v>
      </c>
      <c r="C3286" s="299">
        <v>10</v>
      </c>
      <c r="D3286" s="299">
        <f t="shared" si="105"/>
        <v>8</v>
      </c>
      <c r="E3286" s="299">
        <v>77</v>
      </c>
      <c r="F3286" s="430" t="s">
        <v>3504</v>
      </c>
      <c r="G3286" s="300" t="str">
        <f t="shared" si="106"/>
        <v>M&amp;MBayern</v>
      </c>
    </row>
    <row r="3287" spans="1:7" ht="12" customHeight="1">
      <c r="A3287" s="298">
        <v>36434</v>
      </c>
      <c r="B3287" s="299" t="s">
        <v>3510</v>
      </c>
      <c r="C3287" s="299">
        <v>100</v>
      </c>
      <c r="D3287" s="299">
        <f t="shared" si="105"/>
        <v>10</v>
      </c>
      <c r="E3287" s="299">
        <v>85</v>
      </c>
      <c r="F3287" s="430" t="s">
        <v>3504</v>
      </c>
      <c r="G3287" s="300" t="str">
        <f t="shared" si="106"/>
        <v>M&amp;MBayern</v>
      </c>
    </row>
    <row r="3288" spans="1:7" ht="12" customHeight="1">
      <c r="A3288" s="298">
        <v>36461</v>
      </c>
      <c r="B3288" s="299" t="s">
        <v>3510</v>
      </c>
      <c r="C3288" s="299">
        <v>50</v>
      </c>
      <c r="D3288" s="299">
        <f t="shared" si="105"/>
        <v>10</v>
      </c>
      <c r="E3288" s="299">
        <v>85</v>
      </c>
      <c r="F3288" s="430" t="s">
        <v>3504</v>
      </c>
      <c r="G3288" s="300" t="str">
        <f t="shared" si="106"/>
        <v>M&amp;MBayern</v>
      </c>
    </row>
    <row r="3289" spans="1:7" ht="12" customHeight="1">
      <c r="A3289" s="298">
        <v>36500</v>
      </c>
      <c r="B3289" s="299" t="s">
        <v>3510</v>
      </c>
      <c r="C3289" s="299">
        <v>80</v>
      </c>
      <c r="D3289" s="299">
        <f t="shared" si="105"/>
        <v>12</v>
      </c>
      <c r="E3289" s="299">
        <v>85</v>
      </c>
      <c r="F3289" s="430" t="s">
        <v>3504</v>
      </c>
      <c r="G3289" s="300" t="str">
        <f t="shared" si="106"/>
        <v>M&amp;MBayern</v>
      </c>
    </row>
    <row r="3290" spans="1:7" ht="12" customHeight="1">
      <c r="A3290" s="298">
        <v>36509</v>
      </c>
      <c r="B3290" s="299" t="s">
        <v>3510</v>
      </c>
      <c r="C3290" s="299">
        <v>10</v>
      </c>
      <c r="D3290" s="299">
        <f t="shared" si="105"/>
        <v>12</v>
      </c>
      <c r="E3290" s="299">
        <v>66</v>
      </c>
      <c r="F3290" s="430" t="s">
        <v>3504</v>
      </c>
      <c r="G3290" s="300" t="str">
        <f t="shared" si="106"/>
        <v>M&amp;MBayern</v>
      </c>
    </row>
    <row r="3291" spans="1:7" ht="12" customHeight="1">
      <c r="A3291" s="298">
        <v>36216</v>
      </c>
      <c r="B3291" s="299" t="s">
        <v>3510</v>
      </c>
      <c r="C3291" s="299">
        <v>80</v>
      </c>
      <c r="D3291" s="299">
        <f t="shared" si="105"/>
        <v>2</v>
      </c>
      <c r="E3291" s="299">
        <v>67</v>
      </c>
      <c r="F3291" s="430" t="s">
        <v>3497</v>
      </c>
      <c r="G3291" s="300" t="str">
        <f t="shared" si="106"/>
        <v>M&amp;MNRW</v>
      </c>
    </row>
    <row r="3292" spans="1:7" ht="12" customHeight="1">
      <c r="A3292" s="298">
        <v>36296</v>
      </c>
      <c r="B3292" s="299" t="s">
        <v>3510</v>
      </c>
      <c r="C3292" s="299">
        <v>10</v>
      </c>
      <c r="D3292" s="299">
        <f t="shared" si="105"/>
        <v>5</v>
      </c>
      <c r="E3292" s="299">
        <v>81</v>
      </c>
      <c r="F3292" s="430" t="s">
        <v>3497</v>
      </c>
      <c r="G3292" s="300" t="str">
        <f t="shared" si="106"/>
        <v>M&amp;MNRW</v>
      </c>
    </row>
    <row r="3293" spans="1:7" ht="12" customHeight="1">
      <c r="A3293" s="298">
        <v>36299</v>
      </c>
      <c r="B3293" s="299" t="s">
        <v>3510</v>
      </c>
      <c r="C3293" s="299">
        <v>100</v>
      </c>
      <c r="D3293" s="299">
        <f t="shared" si="105"/>
        <v>5</v>
      </c>
      <c r="E3293" s="299">
        <v>67</v>
      </c>
      <c r="F3293" s="430" t="s">
        <v>3497</v>
      </c>
      <c r="G3293" s="300" t="str">
        <f t="shared" si="106"/>
        <v>M&amp;MNRW</v>
      </c>
    </row>
    <row r="3294" spans="1:7" ht="12" customHeight="1">
      <c r="A3294" s="298">
        <v>36308</v>
      </c>
      <c r="B3294" s="299" t="s">
        <v>3510</v>
      </c>
      <c r="C3294" s="299">
        <v>70</v>
      </c>
      <c r="D3294" s="299">
        <f t="shared" si="105"/>
        <v>5</v>
      </c>
      <c r="E3294" s="299">
        <v>67</v>
      </c>
      <c r="F3294" s="430" t="s">
        <v>3497</v>
      </c>
      <c r="G3294" s="300" t="str">
        <f t="shared" si="106"/>
        <v>M&amp;MNRW</v>
      </c>
    </row>
    <row r="3295" spans="1:7" ht="12" customHeight="1">
      <c r="A3295" s="298">
        <v>36342</v>
      </c>
      <c r="B3295" s="299" t="s">
        <v>3510</v>
      </c>
      <c r="C3295" s="299">
        <v>20</v>
      </c>
      <c r="D3295" s="299">
        <f t="shared" si="105"/>
        <v>7</v>
      </c>
      <c r="E3295" s="299">
        <v>67</v>
      </c>
      <c r="F3295" s="430" t="s">
        <v>3497</v>
      </c>
      <c r="G3295" s="300" t="str">
        <f t="shared" si="106"/>
        <v>M&amp;MNRW</v>
      </c>
    </row>
    <row r="3296" spans="1:7" ht="12" customHeight="1">
      <c r="A3296" s="298">
        <v>36347</v>
      </c>
      <c r="B3296" s="299" t="s">
        <v>3510</v>
      </c>
      <c r="C3296" s="299">
        <v>50</v>
      </c>
      <c r="D3296" s="299">
        <f t="shared" si="105"/>
        <v>7</v>
      </c>
      <c r="E3296" s="299">
        <v>81</v>
      </c>
      <c r="F3296" s="430" t="s">
        <v>3497</v>
      </c>
      <c r="G3296" s="300" t="str">
        <f t="shared" si="106"/>
        <v>M&amp;MNRW</v>
      </c>
    </row>
    <row r="3297" spans="1:7" ht="12" customHeight="1">
      <c r="A3297" s="298">
        <v>36392</v>
      </c>
      <c r="B3297" s="299" t="s">
        <v>3510</v>
      </c>
      <c r="C3297" s="299">
        <v>20</v>
      </c>
      <c r="D3297" s="299">
        <f t="shared" si="105"/>
        <v>8</v>
      </c>
      <c r="E3297" s="299">
        <v>69</v>
      </c>
      <c r="F3297" s="430" t="s">
        <v>3497</v>
      </c>
      <c r="G3297" s="300" t="str">
        <f t="shared" si="106"/>
        <v>M&amp;MNRW</v>
      </c>
    </row>
    <row r="3298" spans="1:7" ht="12" customHeight="1">
      <c r="A3298" s="298">
        <v>36423</v>
      </c>
      <c r="B3298" s="299" t="s">
        <v>3510</v>
      </c>
      <c r="C3298" s="299">
        <v>10</v>
      </c>
      <c r="D3298" s="299">
        <f t="shared" si="105"/>
        <v>9</v>
      </c>
      <c r="E3298" s="299">
        <v>67</v>
      </c>
      <c r="F3298" s="430" t="s">
        <v>3497</v>
      </c>
      <c r="G3298" s="300" t="str">
        <f t="shared" si="106"/>
        <v>M&amp;MNRW</v>
      </c>
    </row>
    <row r="3299" spans="1:7" ht="12" customHeight="1">
      <c r="A3299" s="298">
        <v>36280</v>
      </c>
      <c r="B3299" s="299" t="s">
        <v>3510</v>
      </c>
      <c r="C3299" s="299">
        <v>30</v>
      </c>
      <c r="D3299" s="299">
        <f t="shared" si="105"/>
        <v>4</v>
      </c>
      <c r="E3299" s="299">
        <v>80</v>
      </c>
      <c r="F3299" s="430" t="s">
        <v>3500</v>
      </c>
      <c r="G3299" s="300" t="str">
        <f t="shared" si="106"/>
        <v>M&amp;MSaarland</v>
      </c>
    </row>
    <row r="3300" spans="1:7" ht="12" customHeight="1">
      <c r="A3300" s="298">
        <v>36350</v>
      </c>
      <c r="B3300" s="299" t="s">
        <v>3511</v>
      </c>
      <c r="C3300" s="299">
        <v>160</v>
      </c>
      <c r="D3300" s="299">
        <f t="shared" si="105"/>
        <v>7</v>
      </c>
      <c r="E3300" s="299">
        <v>85</v>
      </c>
      <c r="F3300" s="430" t="s">
        <v>3504</v>
      </c>
      <c r="G3300" s="300" t="str">
        <f t="shared" si="106"/>
        <v>MoetBayern</v>
      </c>
    </row>
    <row r="3301" spans="1:7" ht="12" customHeight="1">
      <c r="A3301" s="298">
        <v>36422</v>
      </c>
      <c r="B3301" s="299" t="s">
        <v>3511</v>
      </c>
      <c r="C3301" s="299">
        <v>50</v>
      </c>
      <c r="D3301" s="299">
        <f t="shared" si="105"/>
        <v>9</v>
      </c>
      <c r="E3301" s="299">
        <v>66</v>
      </c>
      <c r="F3301" s="430" t="s">
        <v>3504</v>
      </c>
      <c r="G3301" s="300" t="str">
        <f t="shared" si="106"/>
        <v>MoetBayern</v>
      </c>
    </row>
    <row r="3302" spans="1:7" ht="12" customHeight="1">
      <c r="A3302" s="298">
        <v>36522</v>
      </c>
      <c r="B3302" s="299" t="s">
        <v>3511</v>
      </c>
      <c r="C3302" s="299">
        <v>60</v>
      </c>
      <c r="D3302" s="299">
        <f t="shared" si="105"/>
        <v>12</v>
      </c>
      <c r="E3302" s="299">
        <v>66</v>
      </c>
      <c r="F3302" s="430" t="s">
        <v>3504</v>
      </c>
      <c r="G3302" s="300" t="str">
        <f t="shared" si="106"/>
        <v>MoetBayern</v>
      </c>
    </row>
    <row r="3303" spans="1:7" ht="12" customHeight="1">
      <c r="A3303" s="298">
        <v>36206</v>
      </c>
      <c r="B3303" s="299" t="s">
        <v>3511</v>
      </c>
      <c r="C3303" s="299">
        <v>80</v>
      </c>
      <c r="D3303" s="299">
        <f t="shared" si="105"/>
        <v>2</v>
      </c>
      <c r="E3303" s="299">
        <v>81</v>
      </c>
      <c r="F3303" s="430" t="s">
        <v>3497</v>
      </c>
      <c r="G3303" s="300" t="str">
        <f t="shared" si="106"/>
        <v>MoetNRW</v>
      </c>
    </row>
    <row r="3304" spans="1:7" ht="12" customHeight="1">
      <c r="A3304" s="298">
        <v>36300</v>
      </c>
      <c r="B3304" s="299" t="s">
        <v>3511</v>
      </c>
      <c r="C3304" s="299">
        <v>30</v>
      </c>
      <c r="D3304" s="299">
        <f t="shared" si="105"/>
        <v>5</v>
      </c>
      <c r="E3304" s="299">
        <v>67</v>
      </c>
      <c r="F3304" s="430" t="s">
        <v>3497</v>
      </c>
      <c r="G3304" s="300" t="str">
        <f t="shared" si="106"/>
        <v>MoetNRW</v>
      </c>
    </row>
    <row r="3305" spans="1:7" ht="12" customHeight="1">
      <c r="A3305" s="298">
        <v>36301</v>
      </c>
      <c r="B3305" s="299" t="s">
        <v>3511</v>
      </c>
      <c r="C3305" s="299">
        <v>30</v>
      </c>
      <c r="D3305" s="299">
        <f t="shared" si="105"/>
        <v>5</v>
      </c>
      <c r="E3305" s="299">
        <v>69</v>
      </c>
      <c r="F3305" s="430" t="s">
        <v>3497</v>
      </c>
      <c r="G3305" s="300" t="str">
        <f t="shared" si="106"/>
        <v>MoetNRW</v>
      </c>
    </row>
    <row r="3306" spans="1:7" ht="12" customHeight="1">
      <c r="A3306" s="298">
        <v>36312</v>
      </c>
      <c r="B3306" s="299" t="s">
        <v>3511</v>
      </c>
      <c r="C3306" s="299">
        <v>60</v>
      </c>
      <c r="D3306" s="299">
        <f t="shared" si="105"/>
        <v>6</v>
      </c>
      <c r="E3306" s="299">
        <v>81</v>
      </c>
      <c r="F3306" s="430" t="s">
        <v>3497</v>
      </c>
      <c r="G3306" s="300" t="str">
        <f t="shared" si="106"/>
        <v>MoetNRW</v>
      </c>
    </row>
    <row r="3307" spans="1:7" ht="12" customHeight="1">
      <c r="A3307" s="298">
        <v>36320</v>
      </c>
      <c r="B3307" s="299" t="s">
        <v>3511</v>
      </c>
      <c r="C3307" s="299">
        <v>80</v>
      </c>
      <c r="D3307" s="299">
        <f t="shared" si="105"/>
        <v>6</v>
      </c>
      <c r="E3307" s="299">
        <v>81</v>
      </c>
      <c r="F3307" s="430" t="s">
        <v>3497</v>
      </c>
      <c r="G3307" s="300" t="str">
        <f t="shared" si="106"/>
        <v>MoetNRW</v>
      </c>
    </row>
    <row r="3308" spans="1:7" ht="12" customHeight="1">
      <c r="A3308" s="298">
        <v>36315</v>
      </c>
      <c r="B3308" s="299" t="s">
        <v>3511</v>
      </c>
      <c r="C3308" s="299">
        <v>80</v>
      </c>
      <c r="D3308" s="299">
        <f t="shared" si="105"/>
        <v>6</v>
      </c>
      <c r="E3308" s="299">
        <v>80</v>
      </c>
      <c r="F3308" s="430" t="s">
        <v>3500</v>
      </c>
      <c r="G3308" s="300" t="str">
        <f t="shared" si="106"/>
        <v>MoetSaarland</v>
      </c>
    </row>
    <row r="3309" spans="1:7" ht="12" customHeight="1">
      <c r="A3309" s="298">
        <v>36319</v>
      </c>
      <c r="B3309" s="299" t="s">
        <v>3511</v>
      </c>
      <c r="C3309" s="299">
        <v>60</v>
      </c>
      <c r="D3309" s="299">
        <f t="shared" si="105"/>
        <v>6</v>
      </c>
      <c r="E3309" s="299">
        <v>80</v>
      </c>
      <c r="F3309" s="430" t="s">
        <v>3500</v>
      </c>
      <c r="G3309" s="300" t="str">
        <f t="shared" si="106"/>
        <v>MoetSaarland</v>
      </c>
    </row>
    <row r="3310" spans="1:7" ht="12" customHeight="1">
      <c r="A3310" s="298">
        <v>36466</v>
      </c>
      <c r="B3310" s="299" t="s">
        <v>3511</v>
      </c>
      <c r="C3310" s="299">
        <v>40</v>
      </c>
      <c r="D3310" s="299">
        <f t="shared" si="105"/>
        <v>11</v>
      </c>
      <c r="E3310" s="299">
        <v>80</v>
      </c>
      <c r="F3310" s="430" t="s">
        <v>3500</v>
      </c>
      <c r="G3310" s="300" t="str">
        <f t="shared" si="106"/>
        <v>MoetSaarland</v>
      </c>
    </row>
    <row r="3311" spans="1:7" ht="12" customHeight="1">
      <c r="A3311" s="298">
        <v>36210</v>
      </c>
      <c r="B3311" s="299" t="s">
        <v>3512</v>
      </c>
      <c r="C3311" s="299">
        <v>90</v>
      </c>
      <c r="D3311" s="299">
        <f t="shared" si="105"/>
        <v>2</v>
      </c>
      <c r="E3311" s="299">
        <v>66</v>
      </c>
      <c r="F3311" s="430" t="s">
        <v>3504</v>
      </c>
      <c r="G3311" s="300" t="str">
        <f t="shared" si="106"/>
        <v>MummBayern</v>
      </c>
    </row>
    <row r="3312" spans="1:7" ht="12" customHeight="1">
      <c r="A3312" s="298">
        <v>36210</v>
      </c>
      <c r="B3312" s="299" t="s">
        <v>3512</v>
      </c>
      <c r="C3312" s="299">
        <v>100</v>
      </c>
      <c r="D3312" s="299">
        <f t="shared" si="105"/>
        <v>2</v>
      </c>
      <c r="E3312" s="299">
        <v>66</v>
      </c>
      <c r="F3312" s="430" t="s">
        <v>3504</v>
      </c>
      <c r="G3312" s="300" t="str">
        <f t="shared" si="106"/>
        <v>MummBayern</v>
      </c>
    </row>
    <row r="3313" spans="1:7" ht="12" customHeight="1">
      <c r="A3313" s="298">
        <v>36213</v>
      </c>
      <c r="B3313" s="299" t="s">
        <v>3512</v>
      </c>
      <c r="C3313" s="299">
        <v>70</v>
      </c>
      <c r="D3313" s="299">
        <f t="shared" si="105"/>
        <v>2</v>
      </c>
      <c r="E3313" s="299">
        <v>66</v>
      </c>
      <c r="F3313" s="430" t="s">
        <v>3504</v>
      </c>
      <c r="G3313" s="300" t="str">
        <f t="shared" si="106"/>
        <v>MummBayern</v>
      </c>
    </row>
    <row r="3314" spans="1:7" ht="12" customHeight="1">
      <c r="A3314" s="298">
        <v>36383</v>
      </c>
      <c r="B3314" s="299" t="s">
        <v>3512</v>
      </c>
      <c r="C3314" s="299">
        <v>40</v>
      </c>
      <c r="D3314" s="299">
        <f t="shared" si="105"/>
        <v>8</v>
      </c>
      <c r="E3314" s="299">
        <v>66</v>
      </c>
      <c r="F3314" s="430" t="s">
        <v>3504</v>
      </c>
      <c r="G3314" s="300" t="str">
        <f t="shared" si="106"/>
        <v>MummBayern</v>
      </c>
    </row>
    <row r="3315" spans="1:7" ht="12" customHeight="1">
      <c r="A3315" s="298">
        <v>36395</v>
      </c>
      <c r="B3315" s="299" t="s">
        <v>3512</v>
      </c>
      <c r="C3315" s="299">
        <v>40</v>
      </c>
      <c r="D3315" s="299">
        <f t="shared" si="105"/>
        <v>8</v>
      </c>
      <c r="E3315" s="299">
        <v>66</v>
      </c>
      <c r="F3315" s="430" t="s">
        <v>3504</v>
      </c>
      <c r="G3315" s="300" t="str">
        <f t="shared" si="106"/>
        <v>MummBayern</v>
      </c>
    </row>
    <row r="3316" spans="1:7" ht="12" customHeight="1">
      <c r="A3316" s="298">
        <v>36395</v>
      </c>
      <c r="B3316" s="299" t="s">
        <v>3512</v>
      </c>
      <c r="C3316" s="299">
        <v>40</v>
      </c>
      <c r="D3316" s="299">
        <f t="shared" si="105"/>
        <v>8</v>
      </c>
      <c r="E3316" s="299">
        <v>66</v>
      </c>
      <c r="F3316" s="430" t="s">
        <v>3504</v>
      </c>
      <c r="G3316" s="300" t="str">
        <f t="shared" si="106"/>
        <v>MummBayern</v>
      </c>
    </row>
    <row r="3317" spans="1:7" ht="12" customHeight="1">
      <c r="A3317" s="298">
        <v>36396</v>
      </c>
      <c r="B3317" s="299" t="s">
        <v>3512</v>
      </c>
      <c r="C3317" s="299">
        <v>60</v>
      </c>
      <c r="D3317" s="299">
        <f t="shared" si="105"/>
        <v>8</v>
      </c>
      <c r="E3317" s="299">
        <v>85</v>
      </c>
      <c r="F3317" s="430" t="s">
        <v>3504</v>
      </c>
      <c r="G3317" s="300" t="str">
        <f t="shared" si="106"/>
        <v>MummBayern</v>
      </c>
    </row>
    <row r="3318" spans="1:7" ht="12" customHeight="1">
      <c r="A3318" s="298">
        <v>36399</v>
      </c>
      <c r="B3318" s="299" t="s">
        <v>3512</v>
      </c>
      <c r="C3318" s="299">
        <v>120</v>
      </c>
      <c r="D3318" s="299">
        <f t="shared" si="105"/>
        <v>8</v>
      </c>
      <c r="E3318" s="299">
        <v>66</v>
      </c>
      <c r="F3318" s="430" t="s">
        <v>3504</v>
      </c>
      <c r="G3318" s="300" t="str">
        <f t="shared" si="106"/>
        <v>MummBayern</v>
      </c>
    </row>
    <row r="3319" spans="1:7" ht="12" customHeight="1">
      <c r="A3319" s="298">
        <v>36402</v>
      </c>
      <c r="B3319" s="299" t="s">
        <v>3512</v>
      </c>
      <c r="C3319" s="299">
        <v>90</v>
      </c>
      <c r="D3319" s="299">
        <f t="shared" si="105"/>
        <v>8</v>
      </c>
      <c r="E3319" s="299">
        <v>85</v>
      </c>
      <c r="F3319" s="430" t="s">
        <v>3504</v>
      </c>
      <c r="G3319" s="300" t="str">
        <f t="shared" si="106"/>
        <v>MummBayern</v>
      </c>
    </row>
    <row r="3320" spans="1:7" ht="12" customHeight="1">
      <c r="A3320" s="298">
        <v>36416</v>
      </c>
      <c r="B3320" s="299" t="s">
        <v>3512</v>
      </c>
      <c r="C3320" s="299">
        <v>120</v>
      </c>
      <c r="D3320" s="299">
        <f t="shared" si="105"/>
        <v>9</v>
      </c>
      <c r="E3320" s="299">
        <v>66</v>
      </c>
      <c r="F3320" s="430" t="s">
        <v>3504</v>
      </c>
      <c r="G3320" s="300" t="str">
        <f t="shared" si="106"/>
        <v>MummBayern</v>
      </c>
    </row>
    <row r="3321" spans="1:7" ht="12" customHeight="1">
      <c r="A3321" s="298">
        <v>36420</v>
      </c>
      <c r="B3321" s="299" t="s">
        <v>3512</v>
      </c>
      <c r="C3321" s="299">
        <v>50</v>
      </c>
      <c r="D3321" s="299">
        <f t="shared" si="105"/>
        <v>9</v>
      </c>
      <c r="E3321" s="299">
        <v>85</v>
      </c>
      <c r="F3321" s="430" t="s">
        <v>3504</v>
      </c>
      <c r="G3321" s="300" t="str">
        <f t="shared" si="106"/>
        <v>MummBayern</v>
      </c>
    </row>
    <row r="3322" spans="1:7" ht="12" customHeight="1">
      <c r="A3322" s="298">
        <v>36476</v>
      </c>
      <c r="B3322" s="299" t="s">
        <v>3512</v>
      </c>
      <c r="C3322" s="299">
        <v>30</v>
      </c>
      <c r="D3322" s="299">
        <f t="shared" si="105"/>
        <v>11</v>
      </c>
      <c r="E3322" s="299">
        <v>85</v>
      </c>
      <c r="F3322" s="430" t="s">
        <v>3504</v>
      </c>
      <c r="G3322" s="300" t="str">
        <f t="shared" si="106"/>
        <v>MummBayern</v>
      </c>
    </row>
    <row r="3323" spans="1:7" ht="12" customHeight="1">
      <c r="A3323" s="298">
        <v>36261</v>
      </c>
      <c r="B3323" s="299" t="s">
        <v>3512</v>
      </c>
      <c r="C3323" s="299">
        <v>80</v>
      </c>
      <c r="D3323" s="299">
        <f t="shared" si="105"/>
        <v>4</v>
      </c>
      <c r="E3323" s="299">
        <v>81</v>
      </c>
      <c r="F3323" s="430" t="s">
        <v>3497</v>
      </c>
      <c r="G3323" s="300" t="str">
        <f t="shared" si="106"/>
        <v>MummNRW</v>
      </c>
    </row>
    <row r="3324" spans="1:7" ht="12" customHeight="1">
      <c r="A3324" s="298">
        <v>36300</v>
      </c>
      <c r="B3324" s="299" t="s">
        <v>3512</v>
      </c>
      <c r="C3324" s="299">
        <v>120</v>
      </c>
      <c r="D3324" s="299">
        <f t="shared" si="105"/>
        <v>5</v>
      </c>
      <c r="E3324" s="299">
        <v>67</v>
      </c>
      <c r="F3324" s="430" t="s">
        <v>3497</v>
      </c>
      <c r="G3324" s="300" t="str">
        <f t="shared" si="106"/>
        <v>MummNRW</v>
      </c>
    </row>
    <row r="3325" spans="1:7" ht="12" customHeight="1">
      <c r="A3325" s="298">
        <v>36305</v>
      </c>
      <c r="B3325" s="299" t="s">
        <v>3512</v>
      </c>
      <c r="C3325" s="299">
        <v>120</v>
      </c>
      <c r="D3325" s="299">
        <f t="shared" si="105"/>
        <v>5</v>
      </c>
      <c r="E3325" s="299">
        <v>69</v>
      </c>
      <c r="F3325" s="430" t="s">
        <v>3497</v>
      </c>
      <c r="G3325" s="300" t="str">
        <f t="shared" si="106"/>
        <v>MummNRW</v>
      </c>
    </row>
    <row r="3326" spans="1:7" ht="12" customHeight="1">
      <c r="A3326" s="298">
        <v>36329</v>
      </c>
      <c r="B3326" s="299" t="s">
        <v>3512</v>
      </c>
      <c r="C3326" s="299">
        <v>80</v>
      </c>
      <c r="D3326" s="299">
        <f t="shared" si="105"/>
        <v>6</v>
      </c>
      <c r="E3326" s="299">
        <v>81</v>
      </c>
      <c r="F3326" s="430" t="s">
        <v>3497</v>
      </c>
      <c r="G3326" s="300" t="str">
        <f t="shared" si="106"/>
        <v>MummNRW</v>
      </c>
    </row>
    <row r="3327" spans="1:7" ht="12" customHeight="1">
      <c r="A3327" s="298">
        <v>36345</v>
      </c>
      <c r="B3327" s="299" t="s">
        <v>3512</v>
      </c>
      <c r="C3327" s="299">
        <v>30</v>
      </c>
      <c r="D3327" s="299">
        <f t="shared" si="105"/>
        <v>7</v>
      </c>
      <c r="E3327" s="299">
        <v>67</v>
      </c>
      <c r="F3327" s="430" t="s">
        <v>3497</v>
      </c>
      <c r="G3327" s="300" t="str">
        <f t="shared" si="106"/>
        <v>MummNRW</v>
      </c>
    </row>
    <row r="3328" spans="1:7" ht="12" customHeight="1">
      <c r="A3328" s="298">
        <v>36353</v>
      </c>
      <c r="B3328" s="299" t="s">
        <v>3512</v>
      </c>
      <c r="C3328" s="299">
        <v>100</v>
      </c>
      <c r="D3328" s="299">
        <f t="shared" si="105"/>
        <v>7</v>
      </c>
      <c r="E3328" s="299">
        <v>67</v>
      </c>
      <c r="F3328" s="430" t="s">
        <v>3497</v>
      </c>
      <c r="G3328" s="300" t="str">
        <f t="shared" si="106"/>
        <v>MummNRW</v>
      </c>
    </row>
    <row r="3329" spans="1:7" ht="12" customHeight="1">
      <c r="A3329" s="298">
        <v>36456</v>
      </c>
      <c r="B3329" s="299" t="s">
        <v>3512</v>
      </c>
      <c r="C3329" s="299">
        <v>80</v>
      </c>
      <c r="D3329" s="299">
        <f t="shared" si="105"/>
        <v>10</v>
      </c>
      <c r="E3329" s="299">
        <v>69</v>
      </c>
      <c r="F3329" s="430" t="s">
        <v>3497</v>
      </c>
      <c r="G3329" s="300" t="str">
        <f t="shared" si="106"/>
        <v>MummNRW</v>
      </c>
    </row>
    <row r="3330" spans="1:7" ht="12" customHeight="1">
      <c r="A3330" s="298">
        <v>36498</v>
      </c>
      <c r="B3330" s="299" t="s">
        <v>3512</v>
      </c>
      <c r="C3330" s="299">
        <v>10</v>
      </c>
      <c r="D3330" s="299">
        <f t="shared" si="105"/>
        <v>12</v>
      </c>
      <c r="E3330" s="299">
        <v>80</v>
      </c>
      <c r="F3330" s="430" t="s">
        <v>3500</v>
      </c>
      <c r="G3330" s="300" t="str">
        <f t="shared" si="106"/>
        <v>MummSaarland</v>
      </c>
    </row>
    <row r="3331" spans="1:7" ht="12" customHeight="1">
      <c r="A3331" s="298">
        <v>36253</v>
      </c>
      <c r="B3331" s="299" t="s">
        <v>3513</v>
      </c>
      <c r="C3331" s="299">
        <v>210</v>
      </c>
      <c r="D3331" s="299">
        <f t="shared" si="105"/>
        <v>4</v>
      </c>
      <c r="E3331" s="299">
        <v>66</v>
      </c>
      <c r="F3331" s="430" t="s">
        <v>3504</v>
      </c>
      <c r="G3331" s="300" t="str">
        <f t="shared" si="106"/>
        <v>RieslingBayern</v>
      </c>
    </row>
    <row r="3332" spans="1:7" ht="12" customHeight="1">
      <c r="A3332" s="298">
        <v>36288</v>
      </c>
      <c r="B3332" s="299" t="s">
        <v>3513</v>
      </c>
      <c r="C3332" s="299">
        <v>180</v>
      </c>
      <c r="D3332" s="299">
        <f t="shared" si="105"/>
        <v>5</v>
      </c>
      <c r="E3332" s="299">
        <v>77</v>
      </c>
      <c r="F3332" s="430" t="s">
        <v>3504</v>
      </c>
      <c r="G3332" s="300" t="str">
        <f t="shared" si="106"/>
        <v>RieslingBayern</v>
      </c>
    </row>
    <row r="3333" spans="1:7" ht="12" customHeight="1">
      <c r="A3333" s="298">
        <v>36359</v>
      </c>
      <c r="B3333" s="299" t="s">
        <v>3513</v>
      </c>
      <c r="C3333" s="299">
        <v>150</v>
      </c>
      <c r="D3333" s="299">
        <f t="shared" si="105"/>
        <v>7</v>
      </c>
      <c r="E3333" s="299">
        <v>77</v>
      </c>
      <c r="F3333" s="430" t="s">
        <v>3504</v>
      </c>
      <c r="G3333" s="300" t="str">
        <f t="shared" si="106"/>
        <v>RieslingBayern</v>
      </c>
    </row>
    <row r="3334" spans="1:7" ht="12" customHeight="1">
      <c r="A3334" s="298">
        <v>36364</v>
      </c>
      <c r="B3334" s="299" t="s">
        <v>3513</v>
      </c>
      <c r="C3334" s="299">
        <v>80</v>
      </c>
      <c r="D3334" s="299">
        <f t="shared" ref="D3334:D3354" si="107">MONTH(A3334)</f>
        <v>7</v>
      </c>
      <c r="E3334" s="299">
        <v>77</v>
      </c>
      <c r="F3334" s="430" t="s">
        <v>3504</v>
      </c>
      <c r="G3334" s="300" t="str">
        <f t="shared" ref="G3334:G3354" si="108">B3334&amp;F3334</f>
        <v>RieslingBayern</v>
      </c>
    </row>
    <row r="3335" spans="1:7" ht="12" customHeight="1">
      <c r="A3335" s="298">
        <v>36388</v>
      </c>
      <c r="B3335" s="299" t="s">
        <v>3513</v>
      </c>
      <c r="C3335" s="299">
        <v>90</v>
      </c>
      <c r="D3335" s="299">
        <f t="shared" si="107"/>
        <v>8</v>
      </c>
      <c r="E3335" s="299">
        <v>66</v>
      </c>
      <c r="F3335" s="430" t="s">
        <v>3504</v>
      </c>
      <c r="G3335" s="300" t="str">
        <f t="shared" si="108"/>
        <v>RieslingBayern</v>
      </c>
    </row>
    <row r="3336" spans="1:7" ht="12" customHeight="1">
      <c r="A3336" s="298">
        <v>36320</v>
      </c>
      <c r="B3336" s="299" t="s">
        <v>3513</v>
      </c>
      <c r="C3336" s="299">
        <v>120</v>
      </c>
      <c r="D3336" s="299">
        <f t="shared" si="107"/>
        <v>6</v>
      </c>
      <c r="E3336" s="299">
        <v>81</v>
      </c>
      <c r="F3336" s="430" t="s">
        <v>3497</v>
      </c>
      <c r="G3336" s="300" t="str">
        <f t="shared" si="108"/>
        <v>RieslingNRW</v>
      </c>
    </row>
    <row r="3337" spans="1:7" ht="12" customHeight="1">
      <c r="A3337" s="298">
        <v>36343</v>
      </c>
      <c r="B3337" s="299" t="s">
        <v>3513</v>
      </c>
      <c r="C3337" s="299">
        <v>210</v>
      </c>
      <c r="D3337" s="299">
        <f t="shared" si="107"/>
        <v>7</v>
      </c>
      <c r="E3337" s="299">
        <v>67</v>
      </c>
      <c r="F3337" s="430" t="s">
        <v>3497</v>
      </c>
      <c r="G3337" s="300" t="str">
        <f t="shared" si="108"/>
        <v>RieslingNRW</v>
      </c>
    </row>
    <row r="3338" spans="1:7" ht="12" customHeight="1">
      <c r="A3338" s="298">
        <v>36350</v>
      </c>
      <c r="B3338" s="299" t="s">
        <v>3513</v>
      </c>
      <c r="C3338" s="299">
        <v>240</v>
      </c>
      <c r="D3338" s="299">
        <f t="shared" si="107"/>
        <v>7</v>
      </c>
      <c r="E3338" s="299">
        <v>69</v>
      </c>
      <c r="F3338" s="430" t="s">
        <v>3497</v>
      </c>
      <c r="G3338" s="300" t="str">
        <f t="shared" si="108"/>
        <v>RieslingNRW</v>
      </c>
    </row>
    <row r="3339" spans="1:7" ht="12" customHeight="1">
      <c r="A3339" s="298">
        <v>36379</v>
      </c>
      <c r="B3339" s="299" t="s">
        <v>3513</v>
      </c>
      <c r="C3339" s="299">
        <v>120</v>
      </c>
      <c r="D3339" s="299">
        <f t="shared" si="107"/>
        <v>8</v>
      </c>
      <c r="E3339" s="299">
        <v>67</v>
      </c>
      <c r="F3339" s="430" t="s">
        <v>3497</v>
      </c>
      <c r="G3339" s="300" t="str">
        <f t="shared" si="108"/>
        <v>RieslingNRW</v>
      </c>
    </row>
    <row r="3340" spans="1:7" ht="12" customHeight="1">
      <c r="A3340" s="298">
        <v>36400</v>
      </c>
      <c r="B3340" s="299" t="s">
        <v>3513</v>
      </c>
      <c r="C3340" s="299">
        <v>180</v>
      </c>
      <c r="D3340" s="299">
        <f t="shared" si="107"/>
        <v>8</v>
      </c>
      <c r="E3340" s="299">
        <v>67</v>
      </c>
      <c r="F3340" s="430" t="s">
        <v>3497</v>
      </c>
      <c r="G3340" s="300" t="str">
        <f t="shared" si="108"/>
        <v>RieslingNRW</v>
      </c>
    </row>
    <row r="3341" spans="1:7" ht="12" customHeight="1">
      <c r="A3341" s="298">
        <v>36409</v>
      </c>
      <c r="B3341" s="299" t="s">
        <v>3513</v>
      </c>
      <c r="C3341" s="299">
        <v>180</v>
      </c>
      <c r="D3341" s="299">
        <f t="shared" si="107"/>
        <v>9</v>
      </c>
      <c r="E3341" s="299">
        <v>67</v>
      </c>
      <c r="F3341" s="430" t="s">
        <v>3497</v>
      </c>
      <c r="G3341" s="300" t="str">
        <f t="shared" si="108"/>
        <v>RieslingNRW</v>
      </c>
    </row>
    <row r="3342" spans="1:7" ht="12" customHeight="1">
      <c r="A3342" s="298">
        <v>36419</v>
      </c>
      <c r="B3342" s="299" t="s">
        <v>3513</v>
      </c>
      <c r="C3342" s="299">
        <v>50</v>
      </c>
      <c r="D3342" s="299">
        <f t="shared" si="107"/>
        <v>9</v>
      </c>
      <c r="E3342" s="299">
        <v>81</v>
      </c>
      <c r="F3342" s="430" t="s">
        <v>3497</v>
      </c>
      <c r="G3342" s="300" t="str">
        <f t="shared" si="108"/>
        <v>RieslingNRW</v>
      </c>
    </row>
    <row r="3343" spans="1:7" ht="12" customHeight="1">
      <c r="A3343" s="298">
        <v>36268</v>
      </c>
      <c r="B3343" s="299" t="s">
        <v>3513</v>
      </c>
      <c r="C3343" s="299">
        <v>180</v>
      </c>
      <c r="D3343" s="299">
        <f t="shared" si="107"/>
        <v>4</v>
      </c>
      <c r="E3343" s="299">
        <v>80</v>
      </c>
      <c r="F3343" s="430" t="s">
        <v>3500</v>
      </c>
      <c r="G3343" s="300" t="str">
        <f t="shared" si="108"/>
        <v>RieslingSaarland</v>
      </c>
    </row>
    <row r="3344" spans="1:7" ht="12" customHeight="1">
      <c r="A3344" s="298">
        <v>36360</v>
      </c>
      <c r="B3344" s="299" t="s">
        <v>3513</v>
      </c>
      <c r="C3344" s="299">
        <v>10</v>
      </c>
      <c r="D3344" s="299">
        <f t="shared" si="107"/>
        <v>7</v>
      </c>
      <c r="E3344" s="299">
        <v>80</v>
      </c>
      <c r="F3344" s="430" t="s">
        <v>3500</v>
      </c>
      <c r="G3344" s="300" t="str">
        <f t="shared" si="108"/>
        <v>RieslingSaarland</v>
      </c>
    </row>
    <row r="3345" spans="1:7" ht="12" customHeight="1">
      <c r="A3345" s="298">
        <v>36363</v>
      </c>
      <c r="B3345" s="299" t="s">
        <v>3514</v>
      </c>
      <c r="C3345" s="299">
        <v>150</v>
      </c>
      <c r="D3345" s="299">
        <f t="shared" si="107"/>
        <v>7</v>
      </c>
      <c r="E3345" s="299">
        <v>77</v>
      </c>
      <c r="F3345" s="430" t="s">
        <v>3504</v>
      </c>
      <c r="G3345" s="300" t="str">
        <f t="shared" si="108"/>
        <v>RiojaBayern</v>
      </c>
    </row>
    <row r="3346" spans="1:7" ht="12" customHeight="1">
      <c r="A3346" s="298">
        <v>36384</v>
      </c>
      <c r="B3346" s="299" t="s">
        <v>3514</v>
      </c>
      <c r="C3346" s="299">
        <v>50</v>
      </c>
      <c r="D3346" s="299">
        <f t="shared" si="107"/>
        <v>8</v>
      </c>
      <c r="E3346" s="299">
        <v>66</v>
      </c>
      <c r="F3346" s="430" t="s">
        <v>3504</v>
      </c>
      <c r="G3346" s="300" t="str">
        <f t="shared" si="108"/>
        <v>RiojaBayern</v>
      </c>
    </row>
    <row r="3347" spans="1:7" ht="12" customHeight="1">
      <c r="A3347" s="298">
        <v>36432</v>
      </c>
      <c r="B3347" s="299" t="s">
        <v>3514</v>
      </c>
      <c r="C3347" s="299">
        <v>210</v>
      </c>
      <c r="D3347" s="299">
        <f t="shared" si="107"/>
        <v>9</v>
      </c>
      <c r="E3347" s="299">
        <v>66</v>
      </c>
      <c r="F3347" s="430" t="s">
        <v>3502</v>
      </c>
      <c r="G3347" s="300" t="str">
        <f t="shared" si="108"/>
        <v>RiojaHessen</v>
      </c>
    </row>
    <row r="3348" spans="1:7" ht="12" customHeight="1">
      <c r="A3348" s="298">
        <v>36360</v>
      </c>
      <c r="B3348" s="299" t="s">
        <v>3514</v>
      </c>
      <c r="C3348" s="299">
        <v>90</v>
      </c>
      <c r="D3348" s="299">
        <f t="shared" si="107"/>
        <v>7</v>
      </c>
      <c r="E3348" s="299">
        <v>67</v>
      </c>
      <c r="F3348" s="430" t="s">
        <v>3497</v>
      </c>
      <c r="G3348" s="300" t="str">
        <f t="shared" si="108"/>
        <v>RiojaNRW</v>
      </c>
    </row>
    <row r="3349" spans="1:7" ht="12" customHeight="1">
      <c r="A3349" s="298">
        <v>36363</v>
      </c>
      <c r="B3349" s="299" t="s">
        <v>3514</v>
      </c>
      <c r="C3349" s="299">
        <v>100</v>
      </c>
      <c r="D3349" s="299">
        <f t="shared" si="107"/>
        <v>7</v>
      </c>
      <c r="E3349" s="299">
        <v>67</v>
      </c>
      <c r="F3349" s="430" t="s">
        <v>3497</v>
      </c>
      <c r="G3349" s="300" t="str">
        <f t="shared" si="108"/>
        <v>RiojaNRW</v>
      </c>
    </row>
    <row r="3350" spans="1:7" ht="12" customHeight="1">
      <c r="A3350" s="298">
        <v>36367</v>
      </c>
      <c r="B3350" s="299" t="s">
        <v>3514</v>
      </c>
      <c r="C3350" s="299">
        <v>60</v>
      </c>
      <c r="D3350" s="299">
        <f t="shared" si="107"/>
        <v>7</v>
      </c>
      <c r="E3350" s="299">
        <v>67</v>
      </c>
      <c r="F3350" s="430" t="s">
        <v>3497</v>
      </c>
      <c r="G3350" s="300" t="str">
        <f t="shared" si="108"/>
        <v>RiojaNRW</v>
      </c>
    </row>
    <row r="3351" spans="1:7" ht="12" customHeight="1">
      <c r="A3351" s="298">
        <v>36476</v>
      </c>
      <c r="B3351" s="299" t="s">
        <v>3514</v>
      </c>
      <c r="C3351" s="299">
        <v>10</v>
      </c>
      <c r="D3351" s="299">
        <f t="shared" si="107"/>
        <v>11</v>
      </c>
      <c r="E3351" s="299">
        <v>81</v>
      </c>
      <c r="F3351" s="430" t="s">
        <v>3497</v>
      </c>
      <c r="G3351" s="300" t="str">
        <f t="shared" si="108"/>
        <v>RiojaNRW</v>
      </c>
    </row>
    <row r="3352" spans="1:7" ht="12" customHeight="1">
      <c r="A3352" s="298">
        <v>36524</v>
      </c>
      <c r="B3352" s="299" t="s">
        <v>3515</v>
      </c>
      <c r="C3352" s="299">
        <v>90</v>
      </c>
      <c r="D3352" s="299">
        <f t="shared" si="107"/>
        <v>12</v>
      </c>
      <c r="E3352" s="299">
        <v>66</v>
      </c>
      <c r="F3352" s="430" t="s">
        <v>3504</v>
      </c>
      <c r="G3352" s="300" t="str">
        <f t="shared" si="108"/>
        <v>SoaveBayern</v>
      </c>
    </row>
    <row r="3353" spans="1:7" ht="12" customHeight="1">
      <c r="A3353" s="298">
        <v>36444</v>
      </c>
      <c r="B3353" s="299" t="s">
        <v>3515</v>
      </c>
      <c r="C3353" s="299">
        <v>100</v>
      </c>
      <c r="D3353" s="299">
        <f t="shared" si="107"/>
        <v>10</v>
      </c>
      <c r="E3353" s="299">
        <v>69</v>
      </c>
      <c r="F3353" s="430" t="s">
        <v>3497</v>
      </c>
      <c r="G3353" s="300" t="str">
        <f t="shared" si="108"/>
        <v>SoaveNRW</v>
      </c>
    </row>
    <row r="3354" spans="1:7" ht="12" customHeight="1" thickBot="1">
      <c r="A3354" s="307">
        <v>36452</v>
      </c>
      <c r="B3354" s="308" t="s">
        <v>3515</v>
      </c>
      <c r="C3354" s="308">
        <v>100</v>
      </c>
      <c r="D3354" s="308">
        <f t="shared" si="107"/>
        <v>10</v>
      </c>
      <c r="E3354" s="308">
        <v>69</v>
      </c>
      <c r="F3354" s="431" t="s">
        <v>3497</v>
      </c>
      <c r="G3354" s="309" t="str">
        <f t="shared" si="108"/>
        <v>SoaveNRW</v>
      </c>
    </row>
  </sheetData>
  <mergeCells count="2">
    <mergeCell ref="A2:I2"/>
    <mergeCell ref="A3:I3"/>
  </mergeCells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theme="0" tint="-0.34998626667073579"/>
    <pageSetUpPr fitToPage="1"/>
  </sheetPr>
  <dimension ref="A4:V91"/>
  <sheetViews>
    <sheetView tabSelected="1" topLeftCell="O4" zoomScale="144" zoomScaleNormal="154" workbookViewId="0">
      <selection activeCell="V18" sqref="V18"/>
    </sheetView>
  </sheetViews>
  <sheetFormatPr defaultColWidth="8.140625" defaultRowHeight="12.75"/>
  <cols>
    <col min="1" max="1" width="2.85546875" style="124" customWidth="1"/>
    <col min="2" max="2" width="19.28515625" style="124" customWidth="1"/>
    <col min="3" max="3" width="13.7109375" style="124" customWidth="1"/>
    <col min="4" max="4" width="14.28515625" style="124" customWidth="1"/>
    <col min="5" max="5" width="14" style="124" customWidth="1"/>
    <col min="6" max="6" width="4.28515625" style="124" customWidth="1"/>
    <col min="7" max="7" width="17.85546875" style="124" customWidth="1"/>
    <col min="8" max="8" width="4" style="124" customWidth="1"/>
    <col min="9" max="9" width="25.28515625" style="124" customWidth="1"/>
    <col min="10" max="10" width="13.5703125" style="124" customWidth="1"/>
    <col min="11" max="11" width="12.42578125" style="124" hidden="1" customWidth="1"/>
    <col min="12" max="12" width="0" style="124" hidden="1" customWidth="1"/>
    <col min="13" max="13" width="5.5703125" style="124" customWidth="1"/>
    <col min="14" max="14" width="24.28515625" style="124" customWidth="1"/>
    <col min="15" max="18" width="12.42578125" style="124" customWidth="1"/>
    <col min="19" max="19" width="23.85546875" style="124" bestFit="1" customWidth="1"/>
    <col min="20" max="20" width="17.42578125" style="124" customWidth="1"/>
    <col min="21" max="255" width="12.42578125" style="124" customWidth="1"/>
    <col min="256" max="256" width="8.140625" style="124"/>
    <col min="257" max="257" width="2.85546875" style="124" customWidth="1"/>
    <col min="258" max="258" width="19.28515625" style="124" customWidth="1"/>
    <col min="259" max="259" width="13.7109375" style="124" customWidth="1"/>
    <col min="260" max="260" width="14.28515625" style="124" customWidth="1"/>
    <col min="261" max="261" width="14" style="124" customWidth="1"/>
    <col min="262" max="262" width="4.28515625" style="124" customWidth="1"/>
    <col min="263" max="263" width="17.85546875" style="124" customWidth="1"/>
    <col min="264" max="264" width="4" style="124" customWidth="1"/>
    <col min="265" max="265" width="25.28515625" style="124" customWidth="1"/>
    <col min="266" max="266" width="13.5703125" style="124" customWidth="1"/>
    <col min="267" max="268" width="0" style="124" hidden="1" customWidth="1"/>
    <col min="269" max="269" width="5.5703125" style="124" customWidth="1"/>
    <col min="270" max="270" width="24.28515625" style="124" customWidth="1"/>
    <col min="271" max="274" width="12.42578125" style="124" customWidth="1"/>
    <col min="275" max="275" width="15.42578125" style="124" customWidth="1"/>
    <col min="276" max="276" width="17.42578125" style="124" customWidth="1"/>
    <col min="277" max="511" width="12.42578125" style="124" customWidth="1"/>
    <col min="512" max="512" width="8.140625" style="124"/>
    <col min="513" max="513" width="2.85546875" style="124" customWidth="1"/>
    <col min="514" max="514" width="19.28515625" style="124" customWidth="1"/>
    <col min="515" max="515" width="13.7109375" style="124" customWidth="1"/>
    <col min="516" max="516" width="14.28515625" style="124" customWidth="1"/>
    <col min="517" max="517" width="14" style="124" customWidth="1"/>
    <col min="518" max="518" width="4.28515625" style="124" customWidth="1"/>
    <col min="519" max="519" width="17.85546875" style="124" customWidth="1"/>
    <col min="520" max="520" width="4" style="124" customWidth="1"/>
    <col min="521" max="521" width="25.28515625" style="124" customWidth="1"/>
    <col min="522" max="522" width="13.5703125" style="124" customWidth="1"/>
    <col min="523" max="524" width="0" style="124" hidden="1" customWidth="1"/>
    <col min="525" max="525" width="5.5703125" style="124" customWidth="1"/>
    <col min="526" max="526" width="24.28515625" style="124" customWidth="1"/>
    <col min="527" max="530" width="12.42578125" style="124" customWidth="1"/>
    <col min="531" max="531" width="15.42578125" style="124" customWidth="1"/>
    <col min="532" max="532" width="17.42578125" style="124" customWidth="1"/>
    <col min="533" max="767" width="12.42578125" style="124" customWidth="1"/>
    <col min="768" max="768" width="8.140625" style="124"/>
    <col min="769" max="769" width="2.85546875" style="124" customWidth="1"/>
    <col min="770" max="770" width="19.28515625" style="124" customWidth="1"/>
    <col min="771" max="771" width="13.7109375" style="124" customWidth="1"/>
    <col min="772" max="772" width="14.28515625" style="124" customWidth="1"/>
    <col min="773" max="773" width="14" style="124" customWidth="1"/>
    <col min="774" max="774" width="4.28515625" style="124" customWidth="1"/>
    <col min="775" max="775" width="17.85546875" style="124" customWidth="1"/>
    <col min="776" max="776" width="4" style="124" customWidth="1"/>
    <col min="777" max="777" width="25.28515625" style="124" customWidth="1"/>
    <col min="778" max="778" width="13.5703125" style="124" customWidth="1"/>
    <col min="779" max="780" width="0" style="124" hidden="1" customWidth="1"/>
    <col min="781" max="781" width="5.5703125" style="124" customWidth="1"/>
    <col min="782" max="782" width="24.28515625" style="124" customWidth="1"/>
    <col min="783" max="786" width="12.42578125" style="124" customWidth="1"/>
    <col min="787" max="787" width="15.42578125" style="124" customWidth="1"/>
    <col min="788" max="788" width="17.42578125" style="124" customWidth="1"/>
    <col min="789" max="1023" width="12.42578125" style="124" customWidth="1"/>
    <col min="1024" max="1024" width="8.140625" style="124"/>
    <col min="1025" max="1025" width="2.85546875" style="124" customWidth="1"/>
    <col min="1026" max="1026" width="19.28515625" style="124" customWidth="1"/>
    <col min="1027" max="1027" width="13.7109375" style="124" customWidth="1"/>
    <col min="1028" max="1028" width="14.28515625" style="124" customWidth="1"/>
    <col min="1029" max="1029" width="14" style="124" customWidth="1"/>
    <col min="1030" max="1030" width="4.28515625" style="124" customWidth="1"/>
    <col min="1031" max="1031" width="17.85546875" style="124" customWidth="1"/>
    <col min="1032" max="1032" width="4" style="124" customWidth="1"/>
    <col min="1033" max="1033" width="25.28515625" style="124" customWidth="1"/>
    <col min="1034" max="1034" width="13.5703125" style="124" customWidth="1"/>
    <col min="1035" max="1036" width="0" style="124" hidden="1" customWidth="1"/>
    <col min="1037" max="1037" width="5.5703125" style="124" customWidth="1"/>
    <col min="1038" max="1038" width="24.28515625" style="124" customWidth="1"/>
    <col min="1039" max="1042" width="12.42578125" style="124" customWidth="1"/>
    <col min="1043" max="1043" width="15.42578125" style="124" customWidth="1"/>
    <col min="1044" max="1044" width="17.42578125" style="124" customWidth="1"/>
    <col min="1045" max="1279" width="12.42578125" style="124" customWidth="1"/>
    <col min="1280" max="1280" width="8.140625" style="124"/>
    <col min="1281" max="1281" width="2.85546875" style="124" customWidth="1"/>
    <col min="1282" max="1282" width="19.28515625" style="124" customWidth="1"/>
    <col min="1283" max="1283" width="13.7109375" style="124" customWidth="1"/>
    <col min="1284" max="1284" width="14.28515625" style="124" customWidth="1"/>
    <col min="1285" max="1285" width="14" style="124" customWidth="1"/>
    <col min="1286" max="1286" width="4.28515625" style="124" customWidth="1"/>
    <col min="1287" max="1287" width="17.85546875" style="124" customWidth="1"/>
    <col min="1288" max="1288" width="4" style="124" customWidth="1"/>
    <col min="1289" max="1289" width="25.28515625" style="124" customWidth="1"/>
    <col min="1290" max="1290" width="13.5703125" style="124" customWidth="1"/>
    <col min="1291" max="1292" width="0" style="124" hidden="1" customWidth="1"/>
    <col min="1293" max="1293" width="5.5703125" style="124" customWidth="1"/>
    <col min="1294" max="1294" width="24.28515625" style="124" customWidth="1"/>
    <col min="1295" max="1298" width="12.42578125" style="124" customWidth="1"/>
    <col min="1299" max="1299" width="15.42578125" style="124" customWidth="1"/>
    <col min="1300" max="1300" width="17.42578125" style="124" customWidth="1"/>
    <col min="1301" max="1535" width="12.42578125" style="124" customWidth="1"/>
    <col min="1536" max="1536" width="8.140625" style="124"/>
    <col min="1537" max="1537" width="2.85546875" style="124" customWidth="1"/>
    <col min="1538" max="1538" width="19.28515625" style="124" customWidth="1"/>
    <col min="1539" max="1539" width="13.7109375" style="124" customWidth="1"/>
    <col min="1540" max="1540" width="14.28515625" style="124" customWidth="1"/>
    <col min="1541" max="1541" width="14" style="124" customWidth="1"/>
    <col min="1542" max="1542" width="4.28515625" style="124" customWidth="1"/>
    <col min="1543" max="1543" width="17.85546875" style="124" customWidth="1"/>
    <col min="1544" max="1544" width="4" style="124" customWidth="1"/>
    <col min="1545" max="1545" width="25.28515625" style="124" customWidth="1"/>
    <col min="1546" max="1546" width="13.5703125" style="124" customWidth="1"/>
    <col min="1547" max="1548" width="0" style="124" hidden="1" customWidth="1"/>
    <col min="1549" max="1549" width="5.5703125" style="124" customWidth="1"/>
    <col min="1550" max="1550" width="24.28515625" style="124" customWidth="1"/>
    <col min="1551" max="1554" width="12.42578125" style="124" customWidth="1"/>
    <col min="1555" max="1555" width="15.42578125" style="124" customWidth="1"/>
    <col min="1556" max="1556" width="17.42578125" style="124" customWidth="1"/>
    <col min="1557" max="1791" width="12.42578125" style="124" customWidth="1"/>
    <col min="1792" max="1792" width="8.140625" style="124"/>
    <col min="1793" max="1793" width="2.85546875" style="124" customWidth="1"/>
    <col min="1794" max="1794" width="19.28515625" style="124" customWidth="1"/>
    <col min="1795" max="1795" width="13.7109375" style="124" customWidth="1"/>
    <col min="1796" max="1796" width="14.28515625" style="124" customWidth="1"/>
    <col min="1797" max="1797" width="14" style="124" customWidth="1"/>
    <col min="1798" max="1798" width="4.28515625" style="124" customWidth="1"/>
    <col min="1799" max="1799" width="17.85546875" style="124" customWidth="1"/>
    <col min="1800" max="1800" width="4" style="124" customWidth="1"/>
    <col min="1801" max="1801" width="25.28515625" style="124" customWidth="1"/>
    <col min="1802" max="1802" width="13.5703125" style="124" customWidth="1"/>
    <col min="1803" max="1804" width="0" style="124" hidden="1" customWidth="1"/>
    <col min="1805" max="1805" width="5.5703125" style="124" customWidth="1"/>
    <col min="1806" max="1806" width="24.28515625" style="124" customWidth="1"/>
    <col min="1807" max="1810" width="12.42578125" style="124" customWidth="1"/>
    <col min="1811" max="1811" width="15.42578125" style="124" customWidth="1"/>
    <col min="1812" max="1812" width="17.42578125" style="124" customWidth="1"/>
    <col min="1813" max="2047" width="12.42578125" style="124" customWidth="1"/>
    <col min="2048" max="2048" width="8.140625" style="124"/>
    <col min="2049" max="2049" width="2.85546875" style="124" customWidth="1"/>
    <col min="2050" max="2050" width="19.28515625" style="124" customWidth="1"/>
    <col min="2051" max="2051" width="13.7109375" style="124" customWidth="1"/>
    <col min="2052" max="2052" width="14.28515625" style="124" customWidth="1"/>
    <col min="2053" max="2053" width="14" style="124" customWidth="1"/>
    <col min="2054" max="2054" width="4.28515625" style="124" customWidth="1"/>
    <col min="2055" max="2055" width="17.85546875" style="124" customWidth="1"/>
    <col min="2056" max="2056" width="4" style="124" customWidth="1"/>
    <col min="2057" max="2057" width="25.28515625" style="124" customWidth="1"/>
    <col min="2058" max="2058" width="13.5703125" style="124" customWidth="1"/>
    <col min="2059" max="2060" width="0" style="124" hidden="1" customWidth="1"/>
    <col min="2061" max="2061" width="5.5703125" style="124" customWidth="1"/>
    <col min="2062" max="2062" width="24.28515625" style="124" customWidth="1"/>
    <col min="2063" max="2066" width="12.42578125" style="124" customWidth="1"/>
    <col min="2067" max="2067" width="15.42578125" style="124" customWidth="1"/>
    <col min="2068" max="2068" width="17.42578125" style="124" customWidth="1"/>
    <col min="2069" max="2303" width="12.42578125" style="124" customWidth="1"/>
    <col min="2304" max="2304" width="8.140625" style="124"/>
    <col min="2305" max="2305" width="2.85546875" style="124" customWidth="1"/>
    <col min="2306" max="2306" width="19.28515625" style="124" customWidth="1"/>
    <col min="2307" max="2307" width="13.7109375" style="124" customWidth="1"/>
    <col min="2308" max="2308" width="14.28515625" style="124" customWidth="1"/>
    <col min="2309" max="2309" width="14" style="124" customWidth="1"/>
    <col min="2310" max="2310" width="4.28515625" style="124" customWidth="1"/>
    <col min="2311" max="2311" width="17.85546875" style="124" customWidth="1"/>
    <col min="2312" max="2312" width="4" style="124" customWidth="1"/>
    <col min="2313" max="2313" width="25.28515625" style="124" customWidth="1"/>
    <col min="2314" max="2314" width="13.5703125" style="124" customWidth="1"/>
    <col min="2315" max="2316" width="0" style="124" hidden="1" customWidth="1"/>
    <col min="2317" max="2317" width="5.5703125" style="124" customWidth="1"/>
    <col min="2318" max="2318" width="24.28515625" style="124" customWidth="1"/>
    <col min="2319" max="2322" width="12.42578125" style="124" customWidth="1"/>
    <col min="2323" max="2323" width="15.42578125" style="124" customWidth="1"/>
    <col min="2324" max="2324" width="17.42578125" style="124" customWidth="1"/>
    <col min="2325" max="2559" width="12.42578125" style="124" customWidth="1"/>
    <col min="2560" max="2560" width="8.140625" style="124"/>
    <col min="2561" max="2561" width="2.85546875" style="124" customWidth="1"/>
    <col min="2562" max="2562" width="19.28515625" style="124" customWidth="1"/>
    <col min="2563" max="2563" width="13.7109375" style="124" customWidth="1"/>
    <col min="2564" max="2564" width="14.28515625" style="124" customWidth="1"/>
    <col min="2565" max="2565" width="14" style="124" customWidth="1"/>
    <col min="2566" max="2566" width="4.28515625" style="124" customWidth="1"/>
    <col min="2567" max="2567" width="17.85546875" style="124" customWidth="1"/>
    <col min="2568" max="2568" width="4" style="124" customWidth="1"/>
    <col min="2569" max="2569" width="25.28515625" style="124" customWidth="1"/>
    <col min="2570" max="2570" width="13.5703125" style="124" customWidth="1"/>
    <col min="2571" max="2572" width="0" style="124" hidden="1" customWidth="1"/>
    <col min="2573" max="2573" width="5.5703125" style="124" customWidth="1"/>
    <col min="2574" max="2574" width="24.28515625" style="124" customWidth="1"/>
    <col min="2575" max="2578" width="12.42578125" style="124" customWidth="1"/>
    <col min="2579" max="2579" width="15.42578125" style="124" customWidth="1"/>
    <col min="2580" max="2580" width="17.42578125" style="124" customWidth="1"/>
    <col min="2581" max="2815" width="12.42578125" style="124" customWidth="1"/>
    <col min="2816" max="2816" width="8.140625" style="124"/>
    <col min="2817" max="2817" width="2.85546875" style="124" customWidth="1"/>
    <col min="2818" max="2818" width="19.28515625" style="124" customWidth="1"/>
    <col min="2819" max="2819" width="13.7109375" style="124" customWidth="1"/>
    <col min="2820" max="2820" width="14.28515625" style="124" customWidth="1"/>
    <col min="2821" max="2821" width="14" style="124" customWidth="1"/>
    <col min="2822" max="2822" width="4.28515625" style="124" customWidth="1"/>
    <col min="2823" max="2823" width="17.85546875" style="124" customWidth="1"/>
    <col min="2824" max="2824" width="4" style="124" customWidth="1"/>
    <col min="2825" max="2825" width="25.28515625" style="124" customWidth="1"/>
    <col min="2826" max="2826" width="13.5703125" style="124" customWidth="1"/>
    <col min="2827" max="2828" width="0" style="124" hidden="1" customWidth="1"/>
    <col min="2829" max="2829" width="5.5703125" style="124" customWidth="1"/>
    <col min="2830" max="2830" width="24.28515625" style="124" customWidth="1"/>
    <col min="2831" max="2834" width="12.42578125" style="124" customWidth="1"/>
    <col min="2835" max="2835" width="15.42578125" style="124" customWidth="1"/>
    <col min="2836" max="2836" width="17.42578125" style="124" customWidth="1"/>
    <col min="2837" max="3071" width="12.42578125" style="124" customWidth="1"/>
    <col min="3072" max="3072" width="8.140625" style="124"/>
    <col min="3073" max="3073" width="2.85546875" style="124" customWidth="1"/>
    <col min="3074" max="3074" width="19.28515625" style="124" customWidth="1"/>
    <col min="3075" max="3075" width="13.7109375" style="124" customWidth="1"/>
    <col min="3076" max="3076" width="14.28515625" style="124" customWidth="1"/>
    <col min="3077" max="3077" width="14" style="124" customWidth="1"/>
    <col min="3078" max="3078" width="4.28515625" style="124" customWidth="1"/>
    <col min="3079" max="3079" width="17.85546875" style="124" customWidth="1"/>
    <col min="3080" max="3080" width="4" style="124" customWidth="1"/>
    <col min="3081" max="3081" width="25.28515625" style="124" customWidth="1"/>
    <col min="3082" max="3082" width="13.5703125" style="124" customWidth="1"/>
    <col min="3083" max="3084" width="0" style="124" hidden="1" customWidth="1"/>
    <col min="3085" max="3085" width="5.5703125" style="124" customWidth="1"/>
    <col min="3086" max="3086" width="24.28515625" style="124" customWidth="1"/>
    <col min="3087" max="3090" width="12.42578125" style="124" customWidth="1"/>
    <col min="3091" max="3091" width="15.42578125" style="124" customWidth="1"/>
    <col min="3092" max="3092" width="17.42578125" style="124" customWidth="1"/>
    <col min="3093" max="3327" width="12.42578125" style="124" customWidth="1"/>
    <col min="3328" max="3328" width="8.140625" style="124"/>
    <col min="3329" max="3329" width="2.85546875" style="124" customWidth="1"/>
    <col min="3330" max="3330" width="19.28515625" style="124" customWidth="1"/>
    <col min="3331" max="3331" width="13.7109375" style="124" customWidth="1"/>
    <col min="3332" max="3332" width="14.28515625" style="124" customWidth="1"/>
    <col min="3333" max="3333" width="14" style="124" customWidth="1"/>
    <col min="3334" max="3334" width="4.28515625" style="124" customWidth="1"/>
    <col min="3335" max="3335" width="17.85546875" style="124" customWidth="1"/>
    <col min="3336" max="3336" width="4" style="124" customWidth="1"/>
    <col min="3337" max="3337" width="25.28515625" style="124" customWidth="1"/>
    <col min="3338" max="3338" width="13.5703125" style="124" customWidth="1"/>
    <col min="3339" max="3340" width="0" style="124" hidden="1" customWidth="1"/>
    <col min="3341" max="3341" width="5.5703125" style="124" customWidth="1"/>
    <col min="3342" max="3342" width="24.28515625" style="124" customWidth="1"/>
    <col min="3343" max="3346" width="12.42578125" style="124" customWidth="1"/>
    <col min="3347" max="3347" width="15.42578125" style="124" customWidth="1"/>
    <col min="3348" max="3348" width="17.42578125" style="124" customWidth="1"/>
    <col min="3349" max="3583" width="12.42578125" style="124" customWidth="1"/>
    <col min="3584" max="3584" width="8.140625" style="124"/>
    <col min="3585" max="3585" width="2.85546875" style="124" customWidth="1"/>
    <col min="3586" max="3586" width="19.28515625" style="124" customWidth="1"/>
    <col min="3587" max="3587" width="13.7109375" style="124" customWidth="1"/>
    <col min="3588" max="3588" width="14.28515625" style="124" customWidth="1"/>
    <col min="3589" max="3589" width="14" style="124" customWidth="1"/>
    <col min="3590" max="3590" width="4.28515625" style="124" customWidth="1"/>
    <col min="3591" max="3591" width="17.85546875" style="124" customWidth="1"/>
    <col min="3592" max="3592" width="4" style="124" customWidth="1"/>
    <col min="3593" max="3593" width="25.28515625" style="124" customWidth="1"/>
    <col min="3594" max="3594" width="13.5703125" style="124" customWidth="1"/>
    <col min="3595" max="3596" width="0" style="124" hidden="1" customWidth="1"/>
    <col min="3597" max="3597" width="5.5703125" style="124" customWidth="1"/>
    <col min="3598" max="3598" width="24.28515625" style="124" customWidth="1"/>
    <col min="3599" max="3602" width="12.42578125" style="124" customWidth="1"/>
    <col min="3603" max="3603" width="15.42578125" style="124" customWidth="1"/>
    <col min="3604" max="3604" width="17.42578125" style="124" customWidth="1"/>
    <col min="3605" max="3839" width="12.42578125" style="124" customWidth="1"/>
    <col min="3840" max="3840" width="8.140625" style="124"/>
    <col min="3841" max="3841" width="2.85546875" style="124" customWidth="1"/>
    <col min="3842" max="3842" width="19.28515625" style="124" customWidth="1"/>
    <col min="3843" max="3843" width="13.7109375" style="124" customWidth="1"/>
    <col min="3844" max="3844" width="14.28515625" style="124" customWidth="1"/>
    <col min="3845" max="3845" width="14" style="124" customWidth="1"/>
    <col min="3846" max="3846" width="4.28515625" style="124" customWidth="1"/>
    <col min="3847" max="3847" width="17.85546875" style="124" customWidth="1"/>
    <col min="3848" max="3848" width="4" style="124" customWidth="1"/>
    <col min="3849" max="3849" width="25.28515625" style="124" customWidth="1"/>
    <col min="3850" max="3850" width="13.5703125" style="124" customWidth="1"/>
    <col min="3851" max="3852" width="0" style="124" hidden="1" customWidth="1"/>
    <col min="3853" max="3853" width="5.5703125" style="124" customWidth="1"/>
    <col min="3854" max="3854" width="24.28515625" style="124" customWidth="1"/>
    <col min="3855" max="3858" width="12.42578125" style="124" customWidth="1"/>
    <col min="3859" max="3859" width="15.42578125" style="124" customWidth="1"/>
    <col min="3860" max="3860" width="17.42578125" style="124" customWidth="1"/>
    <col min="3861" max="4095" width="12.42578125" style="124" customWidth="1"/>
    <col min="4096" max="4096" width="8.140625" style="124"/>
    <col min="4097" max="4097" width="2.85546875" style="124" customWidth="1"/>
    <col min="4098" max="4098" width="19.28515625" style="124" customWidth="1"/>
    <col min="4099" max="4099" width="13.7109375" style="124" customWidth="1"/>
    <col min="4100" max="4100" width="14.28515625" style="124" customWidth="1"/>
    <col min="4101" max="4101" width="14" style="124" customWidth="1"/>
    <col min="4102" max="4102" width="4.28515625" style="124" customWidth="1"/>
    <col min="4103" max="4103" width="17.85546875" style="124" customWidth="1"/>
    <col min="4104" max="4104" width="4" style="124" customWidth="1"/>
    <col min="4105" max="4105" width="25.28515625" style="124" customWidth="1"/>
    <col min="4106" max="4106" width="13.5703125" style="124" customWidth="1"/>
    <col min="4107" max="4108" width="0" style="124" hidden="1" customWidth="1"/>
    <col min="4109" max="4109" width="5.5703125" style="124" customWidth="1"/>
    <col min="4110" max="4110" width="24.28515625" style="124" customWidth="1"/>
    <col min="4111" max="4114" width="12.42578125" style="124" customWidth="1"/>
    <col min="4115" max="4115" width="15.42578125" style="124" customWidth="1"/>
    <col min="4116" max="4116" width="17.42578125" style="124" customWidth="1"/>
    <col min="4117" max="4351" width="12.42578125" style="124" customWidth="1"/>
    <col min="4352" max="4352" width="8.140625" style="124"/>
    <col min="4353" max="4353" width="2.85546875" style="124" customWidth="1"/>
    <col min="4354" max="4354" width="19.28515625" style="124" customWidth="1"/>
    <col min="4355" max="4355" width="13.7109375" style="124" customWidth="1"/>
    <col min="4356" max="4356" width="14.28515625" style="124" customWidth="1"/>
    <col min="4357" max="4357" width="14" style="124" customWidth="1"/>
    <col min="4358" max="4358" width="4.28515625" style="124" customWidth="1"/>
    <col min="4359" max="4359" width="17.85546875" style="124" customWidth="1"/>
    <col min="4360" max="4360" width="4" style="124" customWidth="1"/>
    <col min="4361" max="4361" width="25.28515625" style="124" customWidth="1"/>
    <col min="4362" max="4362" width="13.5703125" style="124" customWidth="1"/>
    <col min="4363" max="4364" width="0" style="124" hidden="1" customWidth="1"/>
    <col min="4365" max="4365" width="5.5703125" style="124" customWidth="1"/>
    <col min="4366" max="4366" width="24.28515625" style="124" customWidth="1"/>
    <col min="4367" max="4370" width="12.42578125" style="124" customWidth="1"/>
    <col min="4371" max="4371" width="15.42578125" style="124" customWidth="1"/>
    <col min="4372" max="4372" width="17.42578125" style="124" customWidth="1"/>
    <col min="4373" max="4607" width="12.42578125" style="124" customWidth="1"/>
    <col min="4608" max="4608" width="8.140625" style="124"/>
    <col min="4609" max="4609" width="2.85546875" style="124" customWidth="1"/>
    <col min="4610" max="4610" width="19.28515625" style="124" customWidth="1"/>
    <col min="4611" max="4611" width="13.7109375" style="124" customWidth="1"/>
    <col min="4612" max="4612" width="14.28515625" style="124" customWidth="1"/>
    <col min="4613" max="4613" width="14" style="124" customWidth="1"/>
    <col min="4614" max="4614" width="4.28515625" style="124" customWidth="1"/>
    <col min="4615" max="4615" width="17.85546875" style="124" customWidth="1"/>
    <col min="4616" max="4616" width="4" style="124" customWidth="1"/>
    <col min="4617" max="4617" width="25.28515625" style="124" customWidth="1"/>
    <col min="4618" max="4618" width="13.5703125" style="124" customWidth="1"/>
    <col min="4619" max="4620" width="0" style="124" hidden="1" customWidth="1"/>
    <col min="4621" max="4621" width="5.5703125" style="124" customWidth="1"/>
    <col min="4622" max="4622" width="24.28515625" style="124" customWidth="1"/>
    <col min="4623" max="4626" width="12.42578125" style="124" customWidth="1"/>
    <col min="4627" max="4627" width="15.42578125" style="124" customWidth="1"/>
    <col min="4628" max="4628" width="17.42578125" style="124" customWidth="1"/>
    <col min="4629" max="4863" width="12.42578125" style="124" customWidth="1"/>
    <col min="4864" max="4864" width="8.140625" style="124"/>
    <col min="4865" max="4865" width="2.85546875" style="124" customWidth="1"/>
    <col min="4866" max="4866" width="19.28515625" style="124" customWidth="1"/>
    <col min="4867" max="4867" width="13.7109375" style="124" customWidth="1"/>
    <col min="4868" max="4868" width="14.28515625" style="124" customWidth="1"/>
    <col min="4869" max="4869" width="14" style="124" customWidth="1"/>
    <col min="4870" max="4870" width="4.28515625" style="124" customWidth="1"/>
    <col min="4871" max="4871" width="17.85546875" style="124" customWidth="1"/>
    <col min="4872" max="4872" width="4" style="124" customWidth="1"/>
    <col min="4873" max="4873" width="25.28515625" style="124" customWidth="1"/>
    <col min="4874" max="4874" width="13.5703125" style="124" customWidth="1"/>
    <col min="4875" max="4876" width="0" style="124" hidden="1" customWidth="1"/>
    <col min="4877" max="4877" width="5.5703125" style="124" customWidth="1"/>
    <col min="4878" max="4878" width="24.28515625" style="124" customWidth="1"/>
    <col min="4879" max="4882" width="12.42578125" style="124" customWidth="1"/>
    <col min="4883" max="4883" width="15.42578125" style="124" customWidth="1"/>
    <col min="4884" max="4884" width="17.42578125" style="124" customWidth="1"/>
    <col min="4885" max="5119" width="12.42578125" style="124" customWidth="1"/>
    <col min="5120" max="5120" width="8.140625" style="124"/>
    <col min="5121" max="5121" width="2.85546875" style="124" customWidth="1"/>
    <col min="5122" max="5122" width="19.28515625" style="124" customWidth="1"/>
    <col min="5123" max="5123" width="13.7109375" style="124" customWidth="1"/>
    <col min="5124" max="5124" width="14.28515625" style="124" customWidth="1"/>
    <col min="5125" max="5125" width="14" style="124" customWidth="1"/>
    <col min="5126" max="5126" width="4.28515625" style="124" customWidth="1"/>
    <col min="5127" max="5127" width="17.85546875" style="124" customWidth="1"/>
    <col min="5128" max="5128" width="4" style="124" customWidth="1"/>
    <col min="5129" max="5129" width="25.28515625" style="124" customWidth="1"/>
    <col min="5130" max="5130" width="13.5703125" style="124" customWidth="1"/>
    <col min="5131" max="5132" width="0" style="124" hidden="1" customWidth="1"/>
    <col min="5133" max="5133" width="5.5703125" style="124" customWidth="1"/>
    <col min="5134" max="5134" width="24.28515625" style="124" customWidth="1"/>
    <col min="5135" max="5138" width="12.42578125" style="124" customWidth="1"/>
    <col min="5139" max="5139" width="15.42578125" style="124" customWidth="1"/>
    <col min="5140" max="5140" width="17.42578125" style="124" customWidth="1"/>
    <col min="5141" max="5375" width="12.42578125" style="124" customWidth="1"/>
    <col min="5376" max="5376" width="8.140625" style="124"/>
    <col min="5377" max="5377" width="2.85546875" style="124" customWidth="1"/>
    <col min="5378" max="5378" width="19.28515625" style="124" customWidth="1"/>
    <col min="5379" max="5379" width="13.7109375" style="124" customWidth="1"/>
    <col min="5380" max="5380" width="14.28515625" style="124" customWidth="1"/>
    <col min="5381" max="5381" width="14" style="124" customWidth="1"/>
    <col min="5382" max="5382" width="4.28515625" style="124" customWidth="1"/>
    <col min="5383" max="5383" width="17.85546875" style="124" customWidth="1"/>
    <col min="5384" max="5384" width="4" style="124" customWidth="1"/>
    <col min="5385" max="5385" width="25.28515625" style="124" customWidth="1"/>
    <col min="5386" max="5386" width="13.5703125" style="124" customWidth="1"/>
    <col min="5387" max="5388" width="0" style="124" hidden="1" customWidth="1"/>
    <col min="5389" max="5389" width="5.5703125" style="124" customWidth="1"/>
    <col min="5390" max="5390" width="24.28515625" style="124" customWidth="1"/>
    <col min="5391" max="5394" width="12.42578125" style="124" customWidth="1"/>
    <col min="5395" max="5395" width="15.42578125" style="124" customWidth="1"/>
    <col min="5396" max="5396" width="17.42578125" style="124" customWidth="1"/>
    <col min="5397" max="5631" width="12.42578125" style="124" customWidth="1"/>
    <col min="5632" max="5632" width="8.140625" style="124"/>
    <col min="5633" max="5633" width="2.85546875" style="124" customWidth="1"/>
    <col min="5634" max="5634" width="19.28515625" style="124" customWidth="1"/>
    <col min="5635" max="5635" width="13.7109375" style="124" customWidth="1"/>
    <col min="5636" max="5636" width="14.28515625" style="124" customWidth="1"/>
    <col min="5637" max="5637" width="14" style="124" customWidth="1"/>
    <col min="5638" max="5638" width="4.28515625" style="124" customWidth="1"/>
    <col min="5639" max="5639" width="17.85546875" style="124" customWidth="1"/>
    <col min="5640" max="5640" width="4" style="124" customWidth="1"/>
    <col min="5641" max="5641" width="25.28515625" style="124" customWidth="1"/>
    <col min="5642" max="5642" width="13.5703125" style="124" customWidth="1"/>
    <col min="5643" max="5644" width="0" style="124" hidden="1" customWidth="1"/>
    <col min="5645" max="5645" width="5.5703125" style="124" customWidth="1"/>
    <col min="5646" max="5646" width="24.28515625" style="124" customWidth="1"/>
    <col min="5647" max="5650" width="12.42578125" style="124" customWidth="1"/>
    <col min="5651" max="5651" width="15.42578125" style="124" customWidth="1"/>
    <col min="5652" max="5652" width="17.42578125" style="124" customWidth="1"/>
    <col min="5653" max="5887" width="12.42578125" style="124" customWidth="1"/>
    <col min="5888" max="5888" width="8.140625" style="124"/>
    <col min="5889" max="5889" width="2.85546875" style="124" customWidth="1"/>
    <col min="5890" max="5890" width="19.28515625" style="124" customWidth="1"/>
    <col min="5891" max="5891" width="13.7109375" style="124" customWidth="1"/>
    <col min="5892" max="5892" width="14.28515625" style="124" customWidth="1"/>
    <col min="5893" max="5893" width="14" style="124" customWidth="1"/>
    <col min="5894" max="5894" width="4.28515625" style="124" customWidth="1"/>
    <col min="5895" max="5895" width="17.85546875" style="124" customWidth="1"/>
    <col min="5896" max="5896" width="4" style="124" customWidth="1"/>
    <col min="5897" max="5897" width="25.28515625" style="124" customWidth="1"/>
    <col min="5898" max="5898" width="13.5703125" style="124" customWidth="1"/>
    <col min="5899" max="5900" width="0" style="124" hidden="1" customWidth="1"/>
    <col min="5901" max="5901" width="5.5703125" style="124" customWidth="1"/>
    <col min="5902" max="5902" width="24.28515625" style="124" customWidth="1"/>
    <col min="5903" max="5906" width="12.42578125" style="124" customWidth="1"/>
    <col min="5907" max="5907" width="15.42578125" style="124" customWidth="1"/>
    <col min="5908" max="5908" width="17.42578125" style="124" customWidth="1"/>
    <col min="5909" max="6143" width="12.42578125" style="124" customWidth="1"/>
    <col min="6144" max="6144" width="8.140625" style="124"/>
    <col min="6145" max="6145" width="2.85546875" style="124" customWidth="1"/>
    <col min="6146" max="6146" width="19.28515625" style="124" customWidth="1"/>
    <col min="6147" max="6147" width="13.7109375" style="124" customWidth="1"/>
    <col min="6148" max="6148" width="14.28515625" style="124" customWidth="1"/>
    <col min="6149" max="6149" width="14" style="124" customWidth="1"/>
    <col min="6150" max="6150" width="4.28515625" style="124" customWidth="1"/>
    <col min="6151" max="6151" width="17.85546875" style="124" customWidth="1"/>
    <col min="6152" max="6152" width="4" style="124" customWidth="1"/>
    <col min="6153" max="6153" width="25.28515625" style="124" customWidth="1"/>
    <col min="6154" max="6154" width="13.5703125" style="124" customWidth="1"/>
    <col min="6155" max="6156" width="0" style="124" hidden="1" customWidth="1"/>
    <col min="6157" max="6157" width="5.5703125" style="124" customWidth="1"/>
    <col min="6158" max="6158" width="24.28515625" style="124" customWidth="1"/>
    <col min="6159" max="6162" width="12.42578125" style="124" customWidth="1"/>
    <col min="6163" max="6163" width="15.42578125" style="124" customWidth="1"/>
    <col min="6164" max="6164" width="17.42578125" style="124" customWidth="1"/>
    <col min="6165" max="6399" width="12.42578125" style="124" customWidth="1"/>
    <col min="6400" max="6400" width="8.140625" style="124"/>
    <col min="6401" max="6401" width="2.85546875" style="124" customWidth="1"/>
    <col min="6402" max="6402" width="19.28515625" style="124" customWidth="1"/>
    <col min="6403" max="6403" width="13.7109375" style="124" customWidth="1"/>
    <col min="6404" max="6404" width="14.28515625" style="124" customWidth="1"/>
    <col min="6405" max="6405" width="14" style="124" customWidth="1"/>
    <col min="6406" max="6406" width="4.28515625" style="124" customWidth="1"/>
    <col min="6407" max="6407" width="17.85546875" style="124" customWidth="1"/>
    <col min="6408" max="6408" width="4" style="124" customWidth="1"/>
    <col min="6409" max="6409" width="25.28515625" style="124" customWidth="1"/>
    <col min="6410" max="6410" width="13.5703125" style="124" customWidth="1"/>
    <col min="6411" max="6412" width="0" style="124" hidden="1" customWidth="1"/>
    <col min="6413" max="6413" width="5.5703125" style="124" customWidth="1"/>
    <col min="6414" max="6414" width="24.28515625" style="124" customWidth="1"/>
    <col min="6415" max="6418" width="12.42578125" style="124" customWidth="1"/>
    <col min="6419" max="6419" width="15.42578125" style="124" customWidth="1"/>
    <col min="6420" max="6420" width="17.42578125" style="124" customWidth="1"/>
    <col min="6421" max="6655" width="12.42578125" style="124" customWidth="1"/>
    <col min="6656" max="6656" width="8.140625" style="124"/>
    <col min="6657" max="6657" width="2.85546875" style="124" customWidth="1"/>
    <col min="6658" max="6658" width="19.28515625" style="124" customWidth="1"/>
    <col min="6659" max="6659" width="13.7109375" style="124" customWidth="1"/>
    <col min="6660" max="6660" width="14.28515625" style="124" customWidth="1"/>
    <col min="6661" max="6661" width="14" style="124" customWidth="1"/>
    <col min="6662" max="6662" width="4.28515625" style="124" customWidth="1"/>
    <col min="6663" max="6663" width="17.85546875" style="124" customWidth="1"/>
    <col min="6664" max="6664" width="4" style="124" customWidth="1"/>
    <col min="6665" max="6665" width="25.28515625" style="124" customWidth="1"/>
    <col min="6666" max="6666" width="13.5703125" style="124" customWidth="1"/>
    <col min="6667" max="6668" width="0" style="124" hidden="1" customWidth="1"/>
    <col min="6669" max="6669" width="5.5703125" style="124" customWidth="1"/>
    <col min="6670" max="6670" width="24.28515625" style="124" customWidth="1"/>
    <col min="6671" max="6674" width="12.42578125" style="124" customWidth="1"/>
    <col min="6675" max="6675" width="15.42578125" style="124" customWidth="1"/>
    <col min="6676" max="6676" width="17.42578125" style="124" customWidth="1"/>
    <col min="6677" max="6911" width="12.42578125" style="124" customWidth="1"/>
    <col min="6912" max="6912" width="8.140625" style="124"/>
    <col min="6913" max="6913" width="2.85546875" style="124" customWidth="1"/>
    <col min="6914" max="6914" width="19.28515625" style="124" customWidth="1"/>
    <col min="6915" max="6915" width="13.7109375" style="124" customWidth="1"/>
    <col min="6916" max="6916" width="14.28515625" style="124" customWidth="1"/>
    <col min="6917" max="6917" width="14" style="124" customWidth="1"/>
    <col min="6918" max="6918" width="4.28515625" style="124" customWidth="1"/>
    <col min="6919" max="6919" width="17.85546875" style="124" customWidth="1"/>
    <col min="6920" max="6920" width="4" style="124" customWidth="1"/>
    <col min="6921" max="6921" width="25.28515625" style="124" customWidth="1"/>
    <col min="6922" max="6922" width="13.5703125" style="124" customWidth="1"/>
    <col min="6923" max="6924" width="0" style="124" hidden="1" customWidth="1"/>
    <col min="6925" max="6925" width="5.5703125" style="124" customWidth="1"/>
    <col min="6926" max="6926" width="24.28515625" style="124" customWidth="1"/>
    <col min="6927" max="6930" width="12.42578125" style="124" customWidth="1"/>
    <col min="6931" max="6931" width="15.42578125" style="124" customWidth="1"/>
    <col min="6932" max="6932" width="17.42578125" style="124" customWidth="1"/>
    <col min="6933" max="7167" width="12.42578125" style="124" customWidth="1"/>
    <col min="7168" max="7168" width="8.140625" style="124"/>
    <col min="7169" max="7169" width="2.85546875" style="124" customWidth="1"/>
    <col min="7170" max="7170" width="19.28515625" style="124" customWidth="1"/>
    <col min="7171" max="7171" width="13.7109375" style="124" customWidth="1"/>
    <col min="7172" max="7172" width="14.28515625" style="124" customWidth="1"/>
    <col min="7173" max="7173" width="14" style="124" customWidth="1"/>
    <col min="7174" max="7174" width="4.28515625" style="124" customWidth="1"/>
    <col min="7175" max="7175" width="17.85546875" style="124" customWidth="1"/>
    <col min="7176" max="7176" width="4" style="124" customWidth="1"/>
    <col min="7177" max="7177" width="25.28515625" style="124" customWidth="1"/>
    <col min="7178" max="7178" width="13.5703125" style="124" customWidth="1"/>
    <col min="7179" max="7180" width="0" style="124" hidden="1" customWidth="1"/>
    <col min="7181" max="7181" width="5.5703125" style="124" customWidth="1"/>
    <col min="7182" max="7182" width="24.28515625" style="124" customWidth="1"/>
    <col min="7183" max="7186" width="12.42578125" style="124" customWidth="1"/>
    <col min="7187" max="7187" width="15.42578125" style="124" customWidth="1"/>
    <col min="7188" max="7188" width="17.42578125" style="124" customWidth="1"/>
    <col min="7189" max="7423" width="12.42578125" style="124" customWidth="1"/>
    <col min="7424" max="7424" width="8.140625" style="124"/>
    <col min="7425" max="7425" width="2.85546875" style="124" customWidth="1"/>
    <col min="7426" max="7426" width="19.28515625" style="124" customWidth="1"/>
    <col min="7427" max="7427" width="13.7109375" style="124" customWidth="1"/>
    <col min="7428" max="7428" width="14.28515625" style="124" customWidth="1"/>
    <col min="7429" max="7429" width="14" style="124" customWidth="1"/>
    <col min="7430" max="7430" width="4.28515625" style="124" customWidth="1"/>
    <col min="7431" max="7431" width="17.85546875" style="124" customWidth="1"/>
    <col min="7432" max="7432" width="4" style="124" customWidth="1"/>
    <col min="7433" max="7433" width="25.28515625" style="124" customWidth="1"/>
    <col min="7434" max="7434" width="13.5703125" style="124" customWidth="1"/>
    <col min="7435" max="7436" width="0" style="124" hidden="1" customWidth="1"/>
    <col min="7437" max="7437" width="5.5703125" style="124" customWidth="1"/>
    <col min="7438" max="7438" width="24.28515625" style="124" customWidth="1"/>
    <col min="7439" max="7442" width="12.42578125" style="124" customWidth="1"/>
    <col min="7443" max="7443" width="15.42578125" style="124" customWidth="1"/>
    <col min="7444" max="7444" width="17.42578125" style="124" customWidth="1"/>
    <col min="7445" max="7679" width="12.42578125" style="124" customWidth="1"/>
    <col min="7680" max="7680" width="8.140625" style="124"/>
    <col min="7681" max="7681" width="2.85546875" style="124" customWidth="1"/>
    <col min="7682" max="7682" width="19.28515625" style="124" customWidth="1"/>
    <col min="7683" max="7683" width="13.7109375" style="124" customWidth="1"/>
    <col min="7684" max="7684" width="14.28515625" style="124" customWidth="1"/>
    <col min="7685" max="7685" width="14" style="124" customWidth="1"/>
    <col min="7686" max="7686" width="4.28515625" style="124" customWidth="1"/>
    <col min="7687" max="7687" width="17.85546875" style="124" customWidth="1"/>
    <col min="7688" max="7688" width="4" style="124" customWidth="1"/>
    <col min="7689" max="7689" width="25.28515625" style="124" customWidth="1"/>
    <col min="7690" max="7690" width="13.5703125" style="124" customWidth="1"/>
    <col min="7691" max="7692" width="0" style="124" hidden="1" customWidth="1"/>
    <col min="7693" max="7693" width="5.5703125" style="124" customWidth="1"/>
    <col min="7694" max="7694" width="24.28515625" style="124" customWidth="1"/>
    <col min="7695" max="7698" width="12.42578125" style="124" customWidth="1"/>
    <col min="7699" max="7699" width="15.42578125" style="124" customWidth="1"/>
    <col min="7700" max="7700" width="17.42578125" style="124" customWidth="1"/>
    <col min="7701" max="7935" width="12.42578125" style="124" customWidth="1"/>
    <col min="7936" max="7936" width="8.140625" style="124"/>
    <col min="7937" max="7937" width="2.85546875" style="124" customWidth="1"/>
    <col min="7938" max="7938" width="19.28515625" style="124" customWidth="1"/>
    <col min="7939" max="7939" width="13.7109375" style="124" customWidth="1"/>
    <col min="7940" max="7940" width="14.28515625" style="124" customWidth="1"/>
    <col min="7941" max="7941" width="14" style="124" customWidth="1"/>
    <col min="7942" max="7942" width="4.28515625" style="124" customWidth="1"/>
    <col min="7943" max="7943" width="17.85546875" style="124" customWidth="1"/>
    <col min="7944" max="7944" width="4" style="124" customWidth="1"/>
    <col min="7945" max="7945" width="25.28515625" style="124" customWidth="1"/>
    <col min="7946" max="7946" width="13.5703125" style="124" customWidth="1"/>
    <col min="7947" max="7948" width="0" style="124" hidden="1" customWidth="1"/>
    <col min="7949" max="7949" width="5.5703125" style="124" customWidth="1"/>
    <col min="7950" max="7950" width="24.28515625" style="124" customWidth="1"/>
    <col min="7951" max="7954" width="12.42578125" style="124" customWidth="1"/>
    <col min="7955" max="7955" width="15.42578125" style="124" customWidth="1"/>
    <col min="7956" max="7956" width="17.42578125" style="124" customWidth="1"/>
    <col min="7957" max="8191" width="12.42578125" style="124" customWidth="1"/>
    <col min="8192" max="8192" width="8.140625" style="124"/>
    <col min="8193" max="8193" width="2.85546875" style="124" customWidth="1"/>
    <col min="8194" max="8194" width="19.28515625" style="124" customWidth="1"/>
    <col min="8195" max="8195" width="13.7109375" style="124" customWidth="1"/>
    <col min="8196" max="8196" width="14.28515625" style="124" customWidth="1"/>
    <col min="8197" max="8197" width="14" style="124" customWidth="1"/>
    <col min="8198" max="8198" width="4.28515625" style="124" customWidth="1"/>
    <col min="8199" max="8199" width="17.85546875" style="124" customWidth="1"/>
    <col min="8200" max="8200" width="4" style="124" customWidth="1"/>
    <col min="8201" max="8201" width="25.28515625" style="124" customWidth="1"/>
    <col min="8202" max="8202" width="13.5703125" style="124" customWidth="1"/>
    <col min="8203" max="8204" width="0" style="124" hidden="1" customWidth="1"/>
    <col min="8205" max="8205" width="5.5703125" style="124" customWidth="1"/>
    <col min="8206" max="8206" width="24.28515625" style="124" customWidth="1"/>
    <col min="8207" max="8210" width="12.42578125" style="124" customWidth="1"/>
    <col min="8211" max="8211" width="15.42578125" style="124" customWidth="1"/>
    <col min="8212" max="8212" width="17.42578125" style="124" customWidth="1"/>
    <col min="8213" max="8447" width="12.42578125" style="124" customWidth="1"/>
    <col min="8448" max="8448" width="8.140625" style="124"/>
    <col min="8449" max="8449" width="2.85546875" style="124" customWidth="1"/>
    <col min="8450" max="8450" width="19.28515625" style="124" customWidth="1"/>
    <col min="8451" max="8451" width="13.7109375" style="124" customWidth="1"/>
    <col min="8452" max="8452" width="14.28515625" style="124" customWidth="1"/>
    <col min="8453" max="8453" width="14" style="124" customWidth="1"/>
    <col min="8454" max="8454" width="4.28515625" style="124" customWidth="1"/>
    <col min="8455" max="8455" width="17.85546875" style="124" customWidth="1"/>
    <col min="8456" max="8456" width="4" style="124" customWidth="1"/>
    <col min="8457" max="8457" width="25.28515625" style="124" customWidth="1"/>
    <col min="8458" max="8458" width="13.5703125" style="124" customWidth="1"/>
    <col min="8459" max="8460" width="0" style="124" hidden="1" customWidth="1"/>
    <col min="8461" max="8461" width="5.5703125" style="124" customWidth="1"/>
    <col min="8462" max="8462" width="24.28515625" style="124" customWidth="1"/>
    <col min="8463" max="8466" width="12.42578125" style="124" customWidth="1"/>
    <col min="8467" max="8467" width="15.42578125" style="124" customWidth="1"/>
    <col min="8468" max="8468" width="17.42578125" style="124" customWidth="1"/>
    <col min="8469" max="8703" width="12.42578125" style="124" customWidth="1"/>
    <col min="8704" max="8704" width="8.140625" style="124"/>
    <col min="8705" max="8705" width="2.85546875" style="124" customWidth="1"/>
    <col min="8706" max="8706" width="19.28515625" style="124" customWidth="1"/>
    <col min="8707" max="8707" width="13.7109375" style="124" customWidth="1"/>
    <col min="8708" max="8708" width="14.28515625" style="124" customWidth="1"/>
    <col min="8709" max="8709" width="14" style="124" customWidth="1"/>
    <col min="8710" max="8710" width="4.28515625" style="124" customWidth="1"/>
    <col min="8711" max="8711" width="17.85546875" style="124" customWidth="1"/>
    <col min="8712" max="8712" width="4" style="124" customWidth="1"/>
    <col min="8713" max="8713" width="25.28515625" style="124" customWidth="1"/>
    <col min="8714" max="8714" width="13.5703125" style="124" customWidth="1"/>
    <col min="8715" max="8716" width="0" style="124" hidden="1" customWidth="1"/>
    <col min="8717" max="8717" width="5.5703125" style="124" customWidth="1"/>
    <col min="8718" max="8718" width="24.28515625" style="124" customWidth="1"/>
    <col min="8719" max="8722" width="12.42578125" style="124" customWidth="1"/>
    <col min="8723" max="8723" width="15.42578125" style="124" customWidth="1"/>
    <col min="8724" max="8724" width="17.42578125" style="124" customWidth="1"/>
    <col min="8725" max="8959" width="12.42578125" style="124" customWidth="1"/>
    <col min="8960" max="8960" width="8.140625" style="124"/>
    <col min="8961" max="8961" width="2.85546875" style="124" customWidth="1"/>
    <col min="8962" max="8962" width="19.28515625" style="124" customWidth="1"/>
    <col min="8963" max="8963" width="13.7109375" style="124" customWidth="1"/>
    <col min="8964" max="8964" width="14.28515625" style="124" customWidth="1"/>
    <col min="8965" max="8965" width="14" style="124" customWidth="1"/>
    <col min="8966" max="8966" width="4.28515625" style="124" customWidth="1"/>
    <col min="8967" max="8967" width="17.85546875" style="124" customWidth="1"/>
    <col min="8968" max="8968" width="4" style="124" customWidth="1"/>
    <col min="8969" max="8969" width="25.28515625" style="124" customWidth="1"/>
    <col min="8970" max="8970" width="13.5703125" style="124" customWidth="1"/>
    <col min="8971" max="8972" width="0" style="124" hidden="1" customWidth="1"/>
    <col min="8973" max="8973" width="5.5703125" style="124" customWidth="1"/>
    <col min="8974" max="8974" width="24.28515625" style="124" customWidth="1"/>
    <col min="8975" max="8978" width="12.42578125" style="124" customWidth="1"/>
    <col min="8979" max="8979" width="15.42578125" style="124" customWidth="1"/>
    <col min="8980" max="8980" width="17.42578125" style="124" customWidth="1"/>
    <col min="8981" max="9215" width="12.42578125" style="124" customWidth="1"/>
    <col min="9216" max="9216" width="8.140625" style="124"/>
    <col min="9217" max="9217" width="2.85546875" style="124" customWidth="1"/>
    <col min="9218" max="9218" width="19.28515625" style="124" customWidth="1"/>
    <col min="9219" max="9219" width="13.7109375" style="124" customWidth="1"/>
    <col min="9220" max="9220" width="14.28515625" style="124" customWidth="1"/>
    <col min="9221" max="9221" width="14" style="124" customWidth="1"/>
    <col min="9222" max="9222" width="4.28515625" style="124" customWidth="1"/>
    <col min="9223" max="9223" width="17.85546875" style="124" customWidth="1"/>
    <col min="9224" max="9224" width="4" style="124" customWidth="1"/>
    <col min="9225" max="9225" width="25.28515625" style="124" customWidth="1"/>
    <col min="9226" max="9226" width="13.5703125" style="124" customWidth="1"/>
    <col min="9227" max="9228" width="0" style="124" hidden="1" customWidth="1"/>
    <col min="9229" max="9229" width="5.5703125" style="124" customWidth="1"/>
    <col min="9230" max="9230" width="24.28515625" style="124" customWidth="1"/>
    <col min="9231" max="9234" width="12.42578125" style="124" customWidth="1"/>
    <col min="9235" max="9235" width="15.42578125" style="124" customWidth="1"/>
    <col min="9236" max="9236" width="17.42578125" style="124" customWidth="1"/>
    <col min="9237" max="9471" width="12.42578125" style="124" customWidth="1"/>
    <col min="9472" max="9472" width="8.140625" style="124"/>
    <col min="9473" max="9473" width="2.85546875" style="124" customWidth="1"/>
    <col min="9474" max="9474" width="19.28515625" style="124" customWidth="1"/>
    <col min="9475" max="9475" width="13.7109375" style="124" customWidth="1"/>
    <col min="9476" max="9476" width="14.28515625" style="124" customWidth="1"/>
    <col min="9477" max="9477" width="14" style="124" customWidth="1"/>
    <col min="9478" max="9478" width="4.28515625" style="124" customWidth="1"/>
    <col min="9479" max="9479" width="17.85546875" style="124" customWidth="1"/>
    <col min="9480" max="9480" width="4" style="124" customWidth="1"/>
    <col min="9481" max="9481" width="25.28515625" style="124" customWidth="1"/>
    <col min="9482" max="9482" width="13.5703125" style="124" customWidth="1"/>
    <col min="9483" max="9484" width="0" style="124" hidden="1" customWidth="1"/>
    <col min="9485" max="9485" width="5.5703125" style="124" customWidth="1"/>
    <col min="9486" max="9486" width="24.28515625" style="124" customWidth="1"/>
    <col min="9487" max="9490" width="12.42578125" style="124" customWidth="1"/>
    <col min="9491" max="9491" width="15.42578125" style="124" customWidth="1"/>
    <col min="9492" max="9492" width="17.42578125" style="124" customWidth="1"/>
    <col min="9493" max="9727" width="12.42578125" style="124" customWidth="1"/>
    <col min="9728" max="9728" width="8.140625" style="124"/>
    <col min="9729" max="9729" width="2.85546875" style="124" customWidth="1"/>
    <col min="9730" max="9730" width="19.28515625" style="124" customWidth="1"/>
    <col min="9731" max="9731" width="13.7109375" style="124" customWidth="1"/>
    <col min="9732" max="9732" width="14.28515625" style="124" customWidth="1"/>
    <col min="9733" max="9733" width="14" style="124" customWidth="1"/>
    <col min="9734" max="9734" width="4.28515625" style="124" customWidth="1"/>
    <col min="9735" max="9735" width="17.85546875" style="124" customWidth="1"/>
    <col min="9736" max="9736" width="4" style="124" customWidth="1"/>
    <col min="9737" max="9737" width="25.28515625" style="124" customWidth="1"/>
    <col min="9738" max="9738" width="13.5703125" style="124" customWidth="1"/>
    <col min="9739" max="9740" width="0" style="124" hidden="1" customWidth="1"/>
    <col min="9741" max="9741" width="5.5703125" style="124" customWidth="1"/>
    <col min="9742" max="9742" width="24.28515625" style="124" customWidth="1"/>
    <col min="9743" max="9746" width="12.42578125" style="124" customWidth="1"/>
    <col min="9747" max="9747" width="15.42578125" style="124" customWidth="1"/>
    <col min="9748" max="9748" width="17.42578125" style="124" customWidth="1"/>
    <col min="9749" max="9983" width="12.42578125" style="124" customWidth="1"/>
    <col min="9984" max="9984" width="8.140625" style="124"/>
    <col min="9985" max="9985" width="2.85546875" style="124" customWidth="1"/>
    <col min="9986" max="9986" width="19.28515625" style="124" customWidth="1"/>
    <col min="9987" max="9987" width="13.7109375" style="124" customWidth="1"/>
    <col min="9988" max="9988" width="14.28515625" style="124" customWidth="1"/>
    <col min="9989" max="9989" width="14" style="124" customWidth="1"/>
    <col min="9990" max="9990" width="4.28515625" style="124" customWidth="1"/>
    <col min="9991" max="9991" width="17.85546875" style="124" customWidth="1"/>
    <col min="9992" max="9992" width="4" style="124" customWidth="1"/>
    <col min="9993" max="9993" width="25.28515625" style="124" customWidth="1"/>
    <col min="9994" max="9994" width="13.5703125" style="124" customWidth="1"/>
    <col min="9995" max="9996" width="0" style="124" hidden="1" customWidth="1"/>
    <col min="9997" max="9997" width="5.5703125" style="124" customWidth="1"/>
    <col min="9998" max="9998" width="24.28515625" style="124" customWidth="1"/>
    <col min="9999" max="10002" width="12.42578125" style="124" customWidth="1"/>
    <col min="10003" max="10003" width="15.42578125" style="124" customWidth="1"/>
    <col min="10004" max="10004" width="17.42578125" style="124" customWidth="1"/>
    <col min="10005" max="10239" width="12.42578125" style="124" customWidth="1"/>
    <col min="10240" max="10240" width="8.140625" style="124"/>
    <col min="10241" max="10241" width="2.85546875" style="124" customWidth="1"/>
    <col min="10242" max="10242" width="19.28515625" style="124" customWidth="1"/>
    <col min="10243" max="10243" width="13.7109375" style="124" customWidth="1"/>
    <col min="10244" max="10244" width="14.28515625" style="124" customWidth="1"/>
    <col min="10245" max="10245" width="14" style="124" customWidth="1"/>
    <col min="10246" max="10246" width="4.28515625" style="124" customWidth="1"/>
    <col min="10247" max="10247" width="17.85546875" style="124" customWidth="1"/>
    <col min="10248" max="10248" width="4" style="124" customWidth="1"/>
    <col min="10249" max="10249" width="25.28515625" style="124" customWidth="1"/>
    <col min="10250" max="10250" width="13.5703125" style="124" customWidth="1"/>
    <col min="10251" max="10252" width="0" style="124" hidden="1" customWidth="1"/>
    <col min="10253" max="10253" width="5.5703125" style="124" customWidth="1"/>
    <col min="10254" max="10254" width="24.28515625" style="124" customWidth="1"/>
    <col min="10255" max="10258" width="12.42578125" style="124" customWidth="1"/>
    <col min="10259" max="10259" width="15.42578125" style="124" customWidth="1"/>
    <col min="10260" max="10260" width="17.42578125" style="124" customWidth="1"/>
    <col min="10261" max="10495" width="12.42578125" style="124" customWidth="1"/>
    <col min="10496" max="10496" width="8.140625" style="124"/>
    <col min="10497" max="10497" width="2.85546875" style="124" customWidth="1"/>
    <col min="10498" max="10498" width="19.28515625" style="124" customWidth="1"/>
    <col min="10499" max="10499" width="13.7109375" style="124" customWidth="1"/>
    <col min="10500" max="10500" width="14.28515625" style="124" customWidth="1"/>
    <col min="10501" max="10501" width="14" style="124" customWidth="1"/>
    <col min="10502" max="10502" width="4.28515625" style="124" customWidth="1"/>
    <col min="10503" max="10503" width="17.85546875" style="124" customWidth="1"/>
    <col min="10504" max="10504" width="4" style="124" customWidth="1"/>
    <col min="10505" max="10505" width="25.28515625" style="124" customWidth="1"/>
    <col min="10506" max="10506" width="13.5703125" style="124" customWidth="1"/>
    <col min="10507" max="10508" width="0" style="124" hidden="1" customWidth="1"/>
    <col min="10509" max="10509" width="5.5703125" style="124" customWidth="1"/>
    <col min="10510" max="10510" width="24.28515625" style="124" customWidth="1"/>
    <col min="10511" max="10514" width="12.42578125" style="124" customWidth="1"/>
    <col min="10515" max="10515" width="15.42578125" style="124" customWidth="1"/>
    <col min="10516" max="10516" width="17.42578125" style="124" customWidth="1"/>
    <col min="10517" max="10751" width="12.42578125" style="124" customWidth="1"/>
    <col min="10752" max="10752" width="8.140625" style="124"/>
    <col min="10753" max="10753" width="2.85546875" style="124" customWidth="1"/>
    <col min="10754" max="10754" width="19.28515625" style="124" customWidth="1"/>
    <col min="10755" max="10755" width="13.7109375" style="124" customWidth="1"/>
    <col min="10756" max="10756" width="14.28515625" style="124" customWidth="1"/>
    <col min="10757" max="10757" width="14" style="124" customWidth="1"/>
    <col min="10758" max="10758" width="4.28515625" style="124" customWidth="1"/>
    <col min="10759" max="10759" width="17.85546875" style="124" customWidth="1"/>
    <col min="10760" max="10760" width="4" style="124" customWidth="1"/>
    <col min="10761" max="10761" width="25.28515625" style="124" customWidth="1"/>
    <col min="10762" max="10762" width="13.5703125" style="124" customWidth="1"/>
    <col min="10763" max="10764" width="0" style="124" hidden="1" customWidth="1"/>
    <col min="10765" max="10765" width="5.5703125" style="124" customWidth="1"/>
    <col min="10766" max="10766" width="24.28515625" style="124" customWidth="1"/>
    <col min="10767" max="10770" width="12.42578125" style="124" customWidth="1"/>
    <col min="10771" max="10771" width="15.42578125" style="124" customWidth="1"/>
    <col min="10772" max="10772" width="17.42578125" style="124" customWidth="1"/>
    <col min="10773" max="11007" width="12.42578125" style="124" customWidth="1"/>
    <col min="11008" max="11008" width="8.140625" style="124"/>
    <col min="11009" max="11009" width="2.85546875" style="124" customWidth="1"/>
    <col min="11010" max="11010" width="19.28515625" style="124" customWidth="1"/>
    <col min="11011" max="11011" width="13.7109375" style="124" customWidth="1"/>
    <col min="11012" max="11012" width="14.28515625" style="124" customWidth="1"/>
    <col min="11013" max="11013" width="14" style="124" customWidth="1"/>
    <col min="11014" max="11014" width="4.28515625" style="124" customWidth="1"/>
    <col min="11015" max="11015" width="17.85546875" style="124" customWidth="1"/>
    <col min="11016" max="11016" width="4" style="124" customWidth="1"/>
    <col min="11017" max="11017" width="25.28515625" style="124" customWidth="1"/>
    <col min="11018" max="11018" width="13.5703125" style="124" customWidth="1"/>
    <col min="11019" max="11020" width="0" style="124" hidden="1" customWidth="1"/>
    <col min="11021" max="11021" width="5.5703125" style="124" customWidth="1"/>
    <col min="11022" max="11022" width="24.28515625" style="124" customWidth="1"/>
    <col min="11023" max="11026" width="12.42578125" style="124" customWidth="1"/>
    <col min="11027" max="11027" width="15.42578125" style="124" customWidth="1"/>
    <col min="11028" max="11028" width="17.42578125" style="124" customWidth="1"/>
    <col min="11029" max="11263" width="12.42578125" style="124" customWidth="1"/>
    <col min="11264" max="11264" width="8.140625" style="124"/>
    <col min="11265" max="11265" width="2.85546875" style="124" customWidth="1"/>
    <col min="11266" max="11266" width="19.28515625" style="124" customWidth="1"/>
    <col min="11267" max="11267" width="13.7109375" style="124" customWidth="1"/>
    <col min="11268" max="11268" width="14.28515625" style="124" customWidth="1"/>
    <col min="11269" max="11269" width="14" style="124" customWidth="1"/>
    <col min="11270" max="11270" width="4.28515625" style="124" customWidth="1"/>
    <col min="11271" max="11271" width="17.85546875" style="124" customWidth="1"/>
    <col min="11272" max="11272" width="4" style="124" customWidth="1"/>
    <col min="11273" max="11273" width="25.28515625" style="124" customWidth="1"/>
    <col min="11274" max="11274" width="13.5703125" style="124" customWidth="1"/>
    <col min="11275" max="11276" width="0" style="124" hidden="1" customWidth="1"/>
    <col min="11277" max="11277" width="5.5703125" style="124" customWidth="1"/>
    <col min="11278" max="11278" width="24.28515625" style="124" customWidth="1"/>
    <col min="11279" max="11282" width="12.42578125" style="124" customWidth="1"/>
    <col min="11283" max="11283" width="15.42578125" style="124" customWidth="1"/>
    <col min="11284" max="11284" width="17.42578125" style="124" customWidth="1"/>
    <col min="11285" max="11519" width="12.42578125" style="124" customWidth="1"/>
    <col min="11520" max="11520" width="8.140625" style="124"/>
    <col min="11521" max="11521" width="2.85546875" style="124" customWidth="1"/>
    <col min="11522" max="11522" width="19.28515625" style="124" customWidth="1"/>
    <col min="11523" max="11523" width="13.7109375" style="124" customWidth="1"/>
    <col min="11524" max="11524" width="14.28515625" style="124" customWidth="1"/>
    <col min="11525" max="11525" width="14" style="124" customWidth="1"/>
    <col min="11526" max="11526" width="4.28515625" style="124" customWidth="1"/>
    <col min="11527" max="11527" width="17.85546875" style="124" customWidth="1"/>
    <col min="11528" max="11528" width="4" style="124" customWidth="1"/>
    <col min="11529" max="11529" width="25.28515625" style="124" customWidth="1"/>
    <col min="11530" max="11530" width="13.5703125" style="124" customWidth="1"/>
    <col min="11531" max="11532" width="0" style="124" hidden="1" customWidth="1"/>
    <col min="11533" max="11533" width="5.5703125" style="124" customWidth="1"/>
    <col min="11534" max="11534" width="24.28515625" style="124" customWidth="1"/>
    <col min="11535" max="11538" width="12.42578125" style="124" customWidth="1"/>
    <col min="11539" max="11539" width="15.42578125" style="124" customWidth="1"/>
    <col min="11540" max="11540" width="17.42578125" style="124" customWidth="1"/>
    <col min="11541" max="11775" width="12.42578125" style="124" customWidth="1"/>
    <col min="11776" max="11776" width="8.140625" style="124"/>
    <col min="11777" max="11777" width="2.85546875" style="124" customWidth="1"/>
    <col min="11778" max="11778" width="19.28515625" style="124" customWidth="1"/>
    <col min="11779" max="11779" width="13.7109375" style="124" customWidth="1"/>
    <col min="11780" max="11780" width="14.28515625" style="124" customWidth="1"/>
    <col min="11781" max="11781" width="14" style="124" customWidth="1"/>
    <col min="11782" max="11782" width="4.28515625" style="124" customWidth="1"/>
    <col min="11783" max="11783" width="17.85546875" style="124" customWidth="1"/>
    <col min="11784" max="11784" width="4" style="124" customWidth="1"/>
    <col min="11785" max="11785" width="25.28515625" style="124" customWidth="1"/>
    <col min="11786" max="11786" width="13.5703125" style="124" customWidth="1"/>
    <col min="11787" max="11788" width="0" style="124" hidden="1" customWidth="1"/>
    <col min="11789" max="11789" width="5.5703125" style="124" customWidth="1"/>
    <col min="11790" max="11790" width="24.28515625" style="124" customWidth="1"/>
    <col min="11791" max="11794" width="12.42578125" style="124" customWidth="1"/>
    <col min="11795" max="11795" width="15.42578125" style="124" customWidth="1"/>
    <col min="11796" max="11796" width="17.42578125" style="124" customWidth="1"/>
    <col min="11797" max="12031" width="12.42578125" style="124" customWidth="1"/>
    <col min="12032" max="12032" width="8.140625" style="124"/>
    <col min="12033" max="12033" width="2.85546875" style="124" customWidth="1"/>
    <col min="12034" max="12034" width="19.28515625" style="124" customWidth="1"/>
    <col min="12035" max="12035" width="13.7109375" style="124" customWidth="1"/>
    <col min="12036" max="12036" width="14.28515625" style="124" customWidth="1"/>
    <col min="12037" max="12037" width="14" style="124" customWidth="1"/>
    <col min="12038" max="12038" width="4.28515625" style="124" customWidth="1"/>
    <col min="12039" max="12039" width="17.85546875" style="124" customWidth="1"/>
    <col min="12040" max="12040" width="4" style="124" customWidth="1"/>
    <col min="12041" max="12041" width="25.28515625" style="124" customWidth="1"/>
    <col min="12042" max="12042" width="13.5703125" style="124" customWidth="1"/>
    <col min="12043" max="12044" width="0" style="124" hidden="1" customWidth="1"/>
    <col min="12045" max="12045" width="5.5703125" style="124" customWidth="1"/>
    <col min="12046" max="12046" width="24.28515625" style="124" customWidth="1"/>
    <col min="12047" max="12050" width="12.42578125" style="124" customWidth="1"/>
    <col min="12051" max="12051" width="15.42578125" style="124" customWidth="1"/>
    <col min="12052" max="12052" width="17.42578125" style="124" customWidth="1"/>
    <col min="12053" max="12287" width="12.42578125" style="124" customWidth="1"/>
    <col min="12288" max="12288" width="8.140625" style="124"/>
    <col min="12289" max="12289" width="2.85546875" style="124" customWidth="1"/>
    <col min="12290" max="12290" width="19.28515625" style="124" customWidth="1"/>
    <col min="12291" max="12291" width="13.7109375" style="124" customWidth="1"/>
    <col min="12292" max="12292" width="14.28515625" style="124" customWidth="1"/>
    <col min="12293" max="12293" width="14" style="124" customWidth="1"/>
    <col min="12294" max="12294" width="4.28515625" style="124" customWidth="1"/>
    <col min="12295" max="12295" width="17.85546875" style="124" customWidth="1"/>
    <col min="12296" max="12296" width="4" style="124" customWidth="1"/>
    <col min="12297" max="12297" width="25.28515625" style="124" customWidth="1"/>
    <col min="12298" max="12298" width="13.5703125" style="124" customWidth="1"/>
    <col min="12299" max="12300" width="0" style="124" hidden="1" customWidth="1"/>
    <col min="12301" max="12301" width="5.5703125" style="124" customWidth="1"/>
    <col min="12302" max="12302" width="24.28515625" style="124" customWidth="1"/>
    <col min="12303" max="12306" width="12.42578125" style="124" customWidth="1"/>
    <col min="12307" max="12307" width="15.42578125" style="124" customWidth="1"/>
    <col min="12308" max="12308" width="17.42578125" style="124" customWidth="1"/>
    <col min="12309" max="12543" width="12.42578125" style="124" customWidth="1"/>
    <col min="12544" max="12544" width="8.140625" style="124"/>
    <col min="12545" max="12545" width="2.85546875" style="124" customWidth="1"/>
    <col min="12546" max="12546" width="19.28515625" style="124" customWidth="1"/>
    <col min="12547" max="12547" width="13.7109375" style="124" customWidth="1"/>
    <col min="12548" max="12548" width="14.28515625" style="124" customWidth="1"/>
    <col min="12549" max="12549" width="14" style="124" customWidth="1"/>
    <col min="12550" max="12550" width="4.28515625" style="124" customWidth="1"/>
    <col min="12551" max="12551" width="17.85546875" style="124" customWidth="1"/>
    <col min="12552" max="12552" width="4" style="124" customWidth="1"/>
    <col min="12553" max="12553" width="25.28515625" style="124" customWidth="1"/>
    <col min="12554" max="12554" width="13.5703125" style="124" customWidth="1"/>
    <col min="12555" max="12556" width="0" style="124" hidden="1" customWidth="1"/>
    <col min="12557" max="12557" width="5.5703125" style="124" customWidth="1"/>
    <col min="12558" max="12558" width="24.28515625" style="124" customWidth="1"/>
    <col min="12559" max="12562" width="12.42578125" style="124" customWidth="1"/>
    <col min="12563" max="12563" width="15.42578125" style="124" customWidth="1"/>
    <col min="12564" max="12564" width="17.42578125" style="124" customWidth="1"/>
    <col min="12565" max="12799" width="12.42578125" style="124" customWidth="1"/>
    <col min="12800" max="12800" width="8.140625" style="124"/>
    <col min="12801" max="12801" width="2.85546875" style="124" customWidth="1"/>
    <col min="12802" max="12802" width="19.28515625" style="124" customWidth="1"/>
    <col min="12803" max="12803" width="13.7109375" style="124" customWidth="1"/>
    <col min="12804" max="12804" width="14.28515625" style="124" customWidth="1"/>
    <col min="12805" max="12805" width="14" style="124" customWidth="1"/>
    <col min="12806" max="12806" width="4.28515625" style="124" customWidth="1"/>
    <col min="12807" max="12807" width="17.85546875" style="124" customWidth="1"/>
    <col min="12808" max="12808" width="4" style="124" customWidth="1"/>
    <col min="12809" max="12809" width="25.28515625" style="124" customWidth="1"/>
    <col min="12810" max="12810" width="13.5703125" style="124" customWidth="1"/>
    <col min="12811" max="12812" width="0" style="124" hidden="1" customWidth="1"/>
    <col min="12813" max="12813" width="5.5703125" style="124" customWidth="1"/>
    <col min="12814" max="12814" width="24.28515625" style="124" customWidth="1"/>
    <col min="12815" max="12818" width="12.42578125" style="124" customWidth="1"/>
    <col min="12819" max="12819" width="15.42578125" style="124" customWidth="1"/>
    <col min="12820" max="12820" width="17.42578125" style="124" customWidth="1"/>
    <col min="12821" max="13055" width="12.42578125" style="124" customWidth="1"/>
    <col min="13056" max="13056" width="8.140625" style="124"/>
    <col min="13057" max="13057" width="2.85546875" style="124" customWidth="1"/>
    <col min="13058" max="13058" width="19.28515625" style="124" customWidth="1"/>
    <col min="13059" max="13059" width="13.7109375" style="124" customWidth="1"/>
    <col min="13060" max="13060" width="14.28515625" style="124" customWidth="1"/>
    <col min="13061" max="13061" width="14" style="124" customWidth="1"/>
    <col min="13062" max="13062" width="4.28515625" style="124" customWidth="1"/>
    <col min="13063" max="13063" width="17.85546875" style="124" customWidth="1"/>
    <col min="13064" max="13064" width="4" style="124" customWidth="1"/>
    <col min="13065" max="13065" width="25.28515625" style="124" customWidth="1"/>
    <col min="13066" max="13066" width="13.5703125" style="124" customWidth="1"/>
    <col min="13067" max="13068" width="0" style="124" hidden="1" customWidth="1"/>
    <col min="13069" max="13069" width="5.5703125" style="124" customWidth="1"/>
    <col min="13070" max="13070" width="24.28515625" style="124" customWidth="1"/>
    <col min="13071" max="13074" width="12.42578125" style="124" customWidth="1"/>
    <col min="13075" max="13075" width="15.42578125" style="124" customWidth="1"/>
    <col min="13076" max="13076" width="17.42578125" style="124" customWidth="1"/>
    <col min="13077" max="13311" width="12.42578125" style="124" customWidth="1"/>
    <col min="13312" max="13312" width="8.140625" style="124"/>
    <col min="13313" max="13313" width="2.85546875" style="124" customWidth="1"/>
    <col min="13314" max="13314" width="19.28515625" style="124" customWidth="1"/>
    <col min="13315" max="13315" width="13.7109375" style="124" customWidth="1"/>
    <col min="13316" max="13316" width="14.28515625" style="124" customWidth="1"/>
    <col min="13317" max="13317" width="14" style="124" customWidth="1"/>
    <col min="13318" max="13318" width="4.28515625" style="124" customWidth="1"/>
    <col min="13319" max="13319" width="17.85546875" style="124" customWidth="1"/>
    <col min="13320" max="13320" width="4" style="124" customWidth="1"/>
    <col min="13321" max="13321" width="25.28515625" style="124" customWidth="1"/>
    <col min="13322" max="13322" width="13.5703125" style="124" customWidth="1"/>
    <col min="13323" max="13324" width="0" style="124" hidden="1" customWidth="1"/>
    <col min="13325" max="13325" width="5.5703125" style="124" customWidth="1"/>
    <col min="13326" max="13326" width="24.28515625" style="124" customWidth="1"/>
    <col min="13327" max="13330" width="12.42578125" style="124" customWidth="1"/>
    <col min="13331" max="13331" width="15.42578125" style="124" customWidth="1"/>
    <col min="13332" max="13332" width="17.42578125" style="124" customWidth="1"/>
    <col min="13333" max="13567" width="12.42578125" style="124" customWidth="1"/>
    <col min="13568" max="13568" width="8.140625" style="124"/>
    <col min="13569" max="13569" width="2.85546875" style="124" customWidth="1"/>
    <col min="13570" max="13570" width="19.28515625" style="124" customWidth="1"/>
    <col min="13571" max="13571" width="13.7109375" style="124" customWidth="1"/>
    <col min="13572" max="13572" width="14.28515625" style="124" customWidth="1"/>
    <col min="13573" max="13573" width="14" style="124" customWidth="1"/>
    <col min="13574" max="13574" width="4.28515625" style="124" customWidth="1"/>
    <col min="13575" max="13575" width="17.85546875" style="124" customWidth="1"/>
    <col min="13576" max="13576" width="4" style="124" customWidth="1"/>
    <col min="13577" max="13577" width="25.28515625" style="124" customWidth="1"/>
    <col min="13578" max="13578" width="13.5703125" style="124" customWidth="1"/>
    <col min="13579" max="13580" width="0" style="124" hidden="1" customWidth="1"/>
    <col min="13581" max="13581" width="5.5703125" style="124" customWidth="1"/>
    <col min="13582" max="13582" width="24.28515625" style="124" customWidth="1"/>
    <col min="13583" max="13586" width="12.42578125" style="124" customWidth="1"/>
    <col min="13587" max="13587" width="15.42578125" style="124" customWidth="1"/>
    <col min="13588" max="13588" width="17.42578125" style="124" customWidth="1"/>
    <col min="13589" max="13823" width="12.42578125" style="124" customWidth="1"/>
    <col min="13824" max="13824" width="8.140625" style="124"/>
    <col min="13825" max="13825" width="2.85546875" style="124" customWidth="1"/>
    <col min="13826" max="13826" width="19.28515625" style="124" customWidth="1"/>
    <col min="13827" max="13827" width="13.7109375" style="124" customWidth="1"/>
    <col min="13828" max="13828" width="14.28515625" style="124" customWidth="1"/>
    <col min="13829" max="13829" width="14" style="124" customWidth="1"/>
    <col min="13830" max="13830" width="4.28515625" style="124" customWidth="1"/>
    <col min="13831" max="13831" width="17.85546875" style="124" customWidth="1"/>
    <col min="13832" max="13832" width="4" style="124" customWidth="1"/>
    <col min="13833" max="13833" width="25.28515625" style="124" customWidth="1"/>
    <col min="13834" max="13834" width="13.5703125" style="124" customWidth="1"/>
    <col min="13835" max="13836" width="0" style="124" hidden="1" customWidth="1"/>
    <col min="13837" max="13837" width="5.5703125" style="124" customWidth="1"/>
    <col min="13838" max="13838" width="24.28515625" style="124" customWidth="1"/>
    <col min="13839" max="13842" width="12.42578125" style="124" customWidth="1"/>
    <col min="13843" max="13843" width="15.42578125" style="124" customWidth="1"/>
    <col min="13844" max="13844" width="17.42578125" style="124" customWidth="1"/>
    <col min="13845" max="14079" width="12.42578125" style="124" customWidth="1"/>
    <col min="14080" max="14080" width="8.140625" style="124"/>
    <col min="14081" max="14081" width="2.85546875" style="124" customWidth="1"/>
    <col min="14082" max="14082" width="19.28515625" style="124" customWidth="1"/>
    <col min="14083" max="14083" width="13.7109375" style="124" customWidth="1"/>
    <col min="14084" max="14084" width="14.28515625" style="124" customWidth="1"/>
    <col min="14085" max="14085" width="14" style="124" customWidth="1"/>
    <col min="14086" max="14086" width="4.28515625" style="124" customWidth="1"/>
    <col min="14087" max="14087" width="17.85546875" style="124" customWidth="1"/>
    <col min="14088" max="14088" width="4" style="124" customWidth="1"/>
    <col min="14089" max="14089" width="25.28515625" style="124" customWidth="1"/>
    <col min="14090" max="14090" width="13.5703125" style="124" customWidth="1"/>
    <col min="14091" max="14092" width="0" style="124" hidden="1" customWidth="1"/>
    <col min="14093" max="14093" width="5.5703125" style="124" customWidth="1"/>
    <col min="14094" max="14094" width="24.28515625" style="124" customWidth="1"/>
    <col min="14095" max="14098" width="12.42578125" style="124" customWidth="1"/>
    <col min="14099" max="14099" width="15.42578125" style="124" customWidth="1"/>
    <col min="14100" max="14100" width="17.42578125" style="124" customWidth="1"/>
    <col min="14101" max="14335" width="12.42578125" style="124" customWidth="1"/>
    <col min="14336" max="14336" width="8.140625" style="124"/>
    <col min="14337" max="14337" width="2.85546875" style="124" customWidth="1"/>
    <col min="14338" max="14338" width="19.28515625" style="124" customWidth="1"/>
    <col min="14339" max="14339" width="13.7109375" style="124" customWidth="1"/>
    <col min="14340" max="14340" width="14.28515625" style="124" customWidth="1"/>
    <col min="14341" max="14341" width="14" style="124" customWidth="1"/>
    <col min="14342" max="14342" width="4.28515625" style="124" customWidth="1"/>
    <col min="14343" max="14343" width="17.85546875" style="124" customWidth="1"/>
    <col min="14344" max="14344" width="4" style="124" customWidth="1"/>
    <col min="14345" max="14345" width="25.28515625" style="124" customWidth="1"/>
    <col min="14346" max="14346" width="13.5703125" style="124" customWidth="1"/>
    <col min="14347" max="14348" width="0" style="124" hidden="1" customWidth="1"/>
    <col min="14349" max="14349" width="5.5703125" style="124" customWidth="1"/>
    <col min="14350" max="14350" width="24.28515625" style="124" customWidth="1"/>
    <col min="14351" max="14354" width="12.42578125" style="124" customWidth="1"/>
    <col min="14355" max="14355" width="15.42578125" style="124" customWidth="1"/>
    <col min="14356" max="14356" width="17.42578125" style="124" customWidth="1"/>
    <col min="14357" max="14591" width="12.42578125" style="124" customWidth="1"/>
    <col min="14592" max="14592" width="8.140625" style="124"/>
    <col min="14593" max="14593" width="2.85546875" style="124" customWidth="1"/>
    <col min="14594" max="14594" width="19.28515625" style="124" customWidth="1"/>
    <col min="14595" max="14595" width="13.7109375" style="124" customWidth="1"/>
    <col min="14596" max="14596" width="14.28515625" style="124" customWidth="1"/>
    <col min="14597" max="14597" width="14" style="124" customWidth="1"/>
    <col min="14598" max="14598" width="4.28515625" style="124" customWidth="1"/>
    <col min="14599" max="14599" width="17.85546875" style="124" customWidth="1"/>
    <col min="14600" max="14600" width="4" style="124" customWidth="1"/>
    <col min="14601" max="14601" width="25.28515625" style="124" customWidth="1"/>
    <col min="14602" max="14602" width="13.5703125" style="124" customWidth="1"/>
    <col min="14603" max="14604" width="0" style="124" hidden="1" customWidth="1"/>
    <col min="14605" max="14605" width="5.5703125" style="124" customWidth="1"/>
    <col min="14606" max="14606" width="24.28515625" style="124" customWidth="1"/>
    <col min="14607" max="14610" width="12.42578125" style="124" customWidth="1"/>
    <col min="14611" max="14611" width="15.42578125" style="124" customWidth="1"/>
    <col min="14612" max="14612" width="17.42578125" style="124" customWidth="1"/>
    <col min="14613" max="14847" width="12.42578125" style="124" customWidth="1"/>
    <col min="14848" max="14848" width="8.140625" style="124"/>
    <col min="14849" max="14849" width="2.85546875" style="124" customWidth="1"/>
    <col min="14850" max="14850" width="19.28515625" style="124" customWidth="1"/>
    <col min="14851" max="14851" width="13.7109375" style="124" customWidth="1"/>
    <col min="14852" max="14852" width="14.28515625" style="124" customWidth="1"/>
    <col min="14853" max="14853" width="14" style="124" customWidth="1"/>
    <col min="14854" max="14854" width="4.28515625" style="124" customWidth="1"/>
    <col min="14855" max="14855" width="17.85546875" style="124" customWidth="1"/>
    <col min="14856" max="14856" width="4" style="124" customWidth="1"/>
    <col min="14857" max="14857" width="25.28515625" style="124" customWidth="1"/>
    <col min="14858" max="14858" width="13.5703125" style="124" customWidth="1"/>
    <col min="14859" max="14860" width="0" style="124" hidden="1" customWidth="1"/>
    <col min="14861" max="14861" width="5.5703125" style="124" customWidth="1"/>
    <col min="14862" max="14862" width="24.28515625" style="124" customWidth="1"/>
    <col min="14863" max="14866" width="12.42578125" style="124" customWidth="1"/>
    <col min="14867" max="14867" width="15.42578125" style="124" customWidth="1"/>
    <col min="14868" max="14868" width="17.42578125" style="124" customWidth="1"/>
    <col min="14869" max="15103" width="12.42578125" style="124" customWidth="1"/>
    <col min="15104" max="15104" width="8.140625" style="124"/>
    <col min="15105" max="15105" width="2.85546875" style="124" customWidth="1"/>
    <col min="15106" max="15106" width="19.28515625" style="124" customWidth="1"/>
    <col min="15107" max="15107" width="13.7109375" style="124" customWidth="1"/>
    <col min="15108" max="15108" width="14.28515625" style="124" customWidth="1"/>
    <col min="15109" max="15109" width="14" style="124" customWidth="1"/>
    <col min="15110" max="15110" width="4.28515625" style="124" customWidth="1"/>
    <col min="15111" max="15111" width="17.85546875" style="124" customWidth="1"/>
    <col min="15112" max="15112" width="4" style="124" customWidth="1"/>
    <col min="15113" max="15113" width="25.28515625" style="124" customWidth="1"/>
    <col min="15114" max="15114" width="13.5703125" style="124" customWidth="1"/>
    <col min="15115" max="15116" width="0" style="124" hidden="1" customWidth="1"/>
    <col min="15117" max="15117" width="5.5703125" style="124" customWidth="1"/>
    <col min="15118" max="15118" width="24.28515625" style="124" customWidth="1"/>
    <col min="15119" max="15122" width="12.42578125" style="124" customWidth="1"/>
    <col min="15123" max="15123" width="15.42578125" style="124" customWidth="1"/>
    <col min="15124" max="15124" width="17.42578125" style="124" customWidth="1"/>
    <col min="15125" max="15359" width="12.42578125" style="124" customWidth="1"/>
    <col min="15360" max="15360" width="8.140625" style="124"/>
    <col min="15361" max="15361" width="2.85546875" style="124" customWidth="1"/>
    <col min="15362" max="15362" width="19.28515625" style="124" customWidth="1"/>
    <col min="15363" max="15363" width="13.7109375" style="124" customWidth="1"/>
    <col min="15364" max="15364" width="14.28515625" style="124" customWidth="1"/>
    <col min="15365" max="15365" width="14" style="124" customWidth="1"/>
    <col min="15366" max="15366" width="4.28515625" style="124" customWidth="1"/>
    <col min="15367" max="15367" width="17.85546875" style="124" customWidth="1"/>
    <col min="15368" max="15368" width="4" style="124" customWidth="1"/>
    <col min="15369" max="15369" width="25.28515625" style="124" customWidth="1"/>
    <col min="15370" max="15370" width="13.5703125" style="124" customWidth="1"/>
    <col min="15371" max="15372" width="0" style="124" hidden="1" customWidth="1"/>
    <col min="15373" max="15373" width="5.5703125" style="124" customWidth="1"/>
    <col min="15374" max="15374" width="24.28515625" style="124" customWidth="1"/>
    <col min="15375" max="15378" width="12.42578125" style="124" customWidth="1"/>
    <col min="15379" max="15379" width="15.42578125" style="124" customWidth="1"/>
    <col min="15380" max="15380" width="17.42578125" style="124" customWidth="1"/>
    <col min="15381" max="15615" width="12.42578125" style="124" customWidth="1"/>
    <col min="15616" max="15616" width="8.140625" style="124"/>
    <col min="15617" max="15617" width="2.85546875" style="124" customWidth="1"/>
    <col min="15618" max="15618" width="19.28515625" style="124" customWidth="1"/>
    <col min="15619" max="15619" width="13.7109375" style="124" customWidth="1"/>
    <col min="15620" max="15620" width="14.28515625" style="124" customWidth="1"/>
    <col min="15621" max="15621" width="14" style="124" customWidth="1"/>
    <col min="15622" max="15622" width="4.28515625" style="124" customWidth="1"/>
    <col min="15623" max="15623" width="17.85546875" style="124" customWidth="1"/>
    <col min="15624" max="15624" width="4" style="124" customWidth="1"/>
    <col min="15625" max="15625" width="25.28515625" style="124" customWidth="1"/>
    <col min="15626" max="15626" width="13.5703125" style="124" customWidth="1"/>
    <col min="15627" max="15628" width="0" style="124" hidden="1" customWidth="1"/>
    <col min="15629" max="15629" width="5.5703125" style="124" customWidth="1"/>
    <col min="15630" max="15630" width="24.28515625" style="124" customWidth="1"/>
    <col min="15631" max="15634" width="12.42578125" style="124" customWidth="1"/>
    <col min="15635" max="15635" width="15.42578125" style="124" customWidth="1"/>
    <col min="15636" max="15636" width="17.42578125" style="124" customWidth="1"/>
    <col min="15637" max="15871" width="12.42578125" style="124" customWidth="1"/>
    <col min="15872" max="15872" width="8.140625" style="124"/>
    <col min="15873" max="15873" width="2.85546875" style="124" customWidth="1"/>
    <col min="15874" max="15874" width="19.28515625" style="124" customWidth="1"/>
    <col min="15875" max="15875" width="13.7109375" style="124" customWidth="1"/>
    <col min="15876" max="15876" width="14.28515625" style="124" customWidth="1"/>
    <col min="15877" max="15877" width="14" style="124" customWidth="1"/>
    <col min="15878" max="15878" width="4.28515625" style="124" customWidth="1"/>
    <col min="15879" max="15879" width="17.85546875" style="124" customWidth="1"/>
    <col min="15880" max="15880" width="4" style="124" customWidth="1"/>
    <col min="15881" max="15881" width="25.28515625" style="124" customWidth="1"/>
    <col min="15882" max="15882" width="13.5703125" style="124" customWidth="1"/>
    <col min="15883" max="15884" width="0" style="124" hidden="1" customWidth="1"/>
    <col min="15885" max="15885" width="5.5703125" style="124" customWidth="1"/>
    <col min="15886" max="15886" width="24.28515625" style="124" customWidth="1"/>
    <col min="15887" max="15890" width="12.42578125" style="124" customWidth="1"/>
    <col min="15891" max="15891" width="15.42578125" style="124" customWidth="1"/>
    <col min="15892" max="15892" width="17.42578125" style="124" customWidth="1"/>
    <col min="15893" max="16127" width="12.42578125" style="124" customWidth="1"/>
    <col min="16128" max="16128" width="8.140625" style="124"/>
    <col min="16129" max="16129" width="2.85546875" style="124" customWidth="1"/>
    <col min="16130" max="16130" width="19.28515625" style="124" customWidth="1"/>
    <col min="16131" max="16131" width="13.7109375" style="124" customWidth="1"/>
    <col min="16132" max="16132" width="14.28515625" style="124" customWidth="1"/>
    <col min="16133" max="16133" width="14" style="124" customWidth="1"/>
    <col min="16134" max="16134" width="4.28515625" style="124" customWidth="1"/>
    <col min="16135" max="16135" width="17.85546875" style="124" customWidth="1"/>
    <col min="16136" max="16136" width="4" style="124" customWidth="1"/>
    <col min="16137" max="16137" width="25.28515625" style="124" customWidth="1"/>
    <col min="16138" max="16138" width="13.5703125" style="124" customWidth="1"/>
    <col min="16139" max="16140" width="0" style="124" hidden="1" customWidth="1"/>
    <col min="16141" max="16141" width="5.5703125" style="124" customWidth="1"/>
    <col min="16142" max="16142" width="24.28515625" style="124" customWidth="1"/>
    <col min="16143" max="16146" width="12.42578125" style="124" customWidth="1"/>
    <col min="16147" max="16147" width="15.42578125" style="124" customWidth="1"/>
    <col min="16148" max="16148" width="17.42578125" style="124" customWidth="1"/>
    <col min="16149" max="16383" width="12.42578125" style="124" customWidth="1"/>
    <col min="16384" max="16384" width="8.140625" style="124"/>
  </cols>
  <sheetData>
    <row r="4" spans="1:22" ht="15" customHeight="1" thickBot="1">
      <c r="B4" s="125"/>
      <c r="C4" s="125"/>
      <c r="D4" s="125"/>
      <c r="E4" s="125"/>
      <c r="F4" s="126"/>
      <c r="G4" s="126"/>
      <c r="N4" s="124">
        <v>2</v>
      </c>
      <c r="T4" s="124">
        <v>2</v>
      </c>
      <c r="U4" s="124">
        <v>3</v>
      </c>
      <c r="V4" s="124">
        <v>4</v>
      </c>
    </row>
    <row r="5" spans="1:22" ht="21.75" customHeight="1" thickTop="1" thickBot="1">
      <c r="B5" s="127" t="s">
        <v>293</v>
      </c>
      <c r="C5" s="647" t="s">
        <v>294</v>
      </c>
      <c r="D5" s="648"/>
      <c r="E5" s="649"/>
      <c r="F5" s="128"/>
      <c r="G5" s="128"/>
    </row>
    <row r="6" spans="1:22" ht="13.5" thickBot="1">
      <c r="B6" s="129"/>
      <c r="C6" s="130" t="s">
        <v>295</v>
      </c>
      <c r="D6" s="130" t="s">
        <v>296</v>
      </c>
      <c r="E6" s="130" t="s">
        <v>297</v>
      </c>
      <c r="F6" s="131"/>
      <c r="G6" s="131"/>
      <c r="N6" s="650" t="s">
        <v>298</v>
      </c>
      <c r="O6" s="651"/>
      <c r="P6" s="651"/>
      <c r="Q6" s="652"/>
      <c r="R6" s="132"/>
      <c r="S6" s="650" t="s">
        <v>298</v>
      </c>
      <c r="T6" s="651"/>
      <c r="U6" s="651"/>
      <c r="V6" s="652"/>
    </row>
    <row r="7" spans="1:22" ht="13.5" thickBot="1">
      <c r="B7" s="133" t="s">
        <v>299</v>
      </c>
      <c r="C7" s="134"/>
      <c r="D7" s="134"/>
      <c r="E7" s="134"/>
      <c r="F7" s="126"/>
      <c r="G7" s="135" t="s">
        <v>300</v>
      </c>
      <c r="I7" s="659" t="s">
        <v>301</v>
      </c>
      <c r="J7" s="660"/>
      <c r="N7" s="653"/>
      <c r="O7" s="654"/>
      <c r="P7" s="654"/>
      <c r="Q7" s="655"/>
      <c r="R7" s="132"/>
      <c r="S7" s="656"/>
      <c r="T7" s="657"/>
      <c r="U7" s="657"/>
      <c r="V7" s="658"/>
    </row>
    <row r="8" spans="1:22">
      <c r="A8" s="136"/>
      <c r="B8" s="134" t="s">
        <v>302</v>
      </c>
      <c r="C8" s="137">
        <v>67663.741299999994</v>
      </c>
      <c r="D8" s="137">
        <v>82939.323600000003</v>
      </c>
      <c r="E8" s="137">
        <v>97648.007899999997</v>
      </c>
      <c r="F8" s="138"/>
      <c r="G8" s="438">
        <f>(E8/C8)^(1/2)-1</f>
        <v>0.20130612171735063</v>
      </c>
      <c r="I8" s="139" t="s">
        <v>294</v>
      </c>
      <c r="J8" s="139" t="s">
        <v>296</v>
      </c>
      <c r="K8" s="140" t="s">
        <v>296</v>
      </c>
      <c r="L8" s="140" t="s">
        <v>296</v>
      </c>
      <c r="N8" s="141" t="s">
        <v>294</v>
      </c>
      <c r="O8" s="140" t="s">
        <v>295</v>
      </c>
      <c r="P8" s="140" t="s">
        <v>296</v>
      </c>
      <c r="Q8" s="142" t="s">
        <v>297</v>
      </c>
      <c r="R8" s="143"/>
      <c r="S8" s="140" t="s">
        <v>294</v>
      </c>
      <c r="T8" s="140" t="s">
        <v>295</v>
      </c>
      <c r="U8" s="144" t="s">
        <v>297</v>
      </c>
      <c r="V8" s="144" t="s">
        <v>296</v>
      </c>
    </row>
    <row r="9" spans="1:22">
      <c r="A9" s="136"/>
      <c r="B9" s="134" t="s">
        <v>303</v>
      </c>
      <c r="C9" s="137">
        <v>47540.9977</v>
      </c>
      <c r="D9" s="137">
        <v>56592.389600000002</v>
      </c>
      <c r="E9" s="137">
        <v>68469.207599999994</v>
      </c>
      <c r="F9" s="138"/>
      <c r="G9" s="438">
        <f t="shared" ref="G9:G10" si="0">(E9/C9)^(1/2)-1</f>
        <v>0.20008913827668695</v>
      </c>
      <c r="I9" s="145" t="s">
        <v>304</v>
      </c>
      <c r="J9" s="486">
        <f>VLOOKUP(I9,$B$6:$E$41,3,FALSE)</f>
        <v>123955.79150000001</v>
      </c>
      <c r="K9" s="146"/>
      <c r="L9" s="146"/>
      <c r="N9" s="147" t="s">
        <v>304</v>
      </c>
      <c r="O9" s="532">
        <f>VLOOKUP($N9,$B$6:$E$41,MATCH(O$8,$B$6:$E$6,0),FALSE)</f>
        <v>93008.084099999993</v>
      </c>
      <c r="P9" s="532">
        <f t="shared" ref="P9:Q13" si="1">VLOOKUP($N9,$B$6:$E$41,MATCH(P$8,$B$6:$E$6,0),FALSE)</f>
        <v>123955.79150000001</v>
      </c>
      <c r="Q9" s="532">
        <f t="shared" si="1"/>
        <v>147655.2237</v>
      </c>
      <c r="S9" s="145" t="s">
        <v>304</v>
      </c>
      <c r="T9" s="533">
        <f>VLOOKUP($S9,$B$6:$E$41,MATCH(T$8,$B$6:$E$6,0),FALSE)</f>
        <v>93008.084099999993</v>
      </c>
      <c r="U9" s="533">
        <f t="shared" ref="U9:V13" si="2">VLOOKUP($S9,$B$6:$E$41,MATCH(U$8,$B$6:$E$6,0),FALSE)</f>
        <v>147655.2237</v>
      </c>
      <c r="V9" s="533">
        <f t="shared" si="2"/>
        <v>123955.79150000001</v>
      </c>
    </row>
    <row r="10" spans="1:22">
      <c r="A10" s="136"/>
      <c r="B10" s="134" t="s">
        <v>305</v>
      </c>
      <c r="C10" s="137">
        <v>143146.17000000001</v>
      </c>
      <c r="D10" s="137">
        <v>179599.51620000001</v>
      </c>
      <c r="E10" s="137">
        <v>227406.7254</v>
      </c>
      <c r="F10" s="138"/>
      <c r="G10" s="438">
        <f t="shared" si="0"/>
        <v>0.26040984265375955</v>
      </c>
      <c r="I10" s="145" t="s">
        <v>306</v>
      </c>
      <c r="J10" s="486">
        <f t="shared" ref="J10:J13" si="3">VLOOKUP(I10,$B$6:$E$41,3,FALSE)</f>
        <v>721526.31209999998</v>
      </c>
      <c r="K10" s="146"/>
      <c r="L10" s="146"/>
      <c r="N10" s="147" t="s">
        <v>306</v>
      </c>
      <c r="O10" s="532">
        <f t="shared" ref="O10:O13" si="4">VLOOKUP($N10,$B$6:$E$41,MATCH(O$8,$B$6:$E$6,0),FALSE)</f>
        <v>566565.24</v>
      </c>
      <c r="P10" s="532">
        <f>VLOOKUP($N$10,$B$6:$E$41,MATCH(P$8,$B$6:$E$6,0),FALSE)</f>
        <v>721526.31209999998</v>
      </c>
      <c r="Q10" s="532">
        <f t="shared" si="1"/>
        <v>964432.08070000005</v>
      </c>
      <c r="S10" s="145" t="s">
        <v>306</v>
      </c>
      <c r="T10" s="533">
        <f t="shared" ref="T10:T13" si="5">VLOOKUP($S10,$B$6:$E$41,MATCH(T$8,$B$6:$E$6,0),FALSE)</f>
        <v>566565.24</v>
      </c>
      <c r="U10" s="533">
        <f t="shared" si="2"/>
        <v>964432.08070000005</v>
      </c>
      <c r="V10" s="533">
        <f t="shared" si="2"/>
        <v>721526.31209999998</v>
      </c>
    </row>
    <row r="11" spans="1:22">
      <c r="A11" s="136"/>
      <c r="B11" s="134" t="s">
        <v>307</v>
      </c>
      <c r="C11" s="137">
        <v>141816.99129999999</v>
      </c>
      <c r="D11" s="137">
        <v>178829.97769999999</v>
      </c>
      <c r="E11" s="137">
        <v>225501.7671</v>
      </c>
      <c r="F11" s="138"/>
      <c r="G11" s="438">
        <f>(E11/C11)^(1/2)-1</f>
        <v>0.26098767288969782</v>
      </c>
      <c r="I11" s="145" t="s">
        <v>308</v>
      </c>
      <c r="J11" s="486">
        <f t="shared" si="3"/>
        <v>199020.36060000001</v>
      </c>
      <c r="K11" s="146"/>
      <c r="L11" s="146"/>
      <c r="N11" s="147" t="s">
        <v>308</v>
      </c>
      <c r="O11" s="532">
        <f t="shared" si="4"/>
        <v>162422.5</v>
      </c>
      <c r="P11" s="532">
        <f t="shared" si="1"/>
        <v>199020.36060000001</v>
      </c>
      <c r="Q11" s="532">
        <f t="shared" si="1"/>
        <v>246918.61730000001</v>
      </c>
      <c r="S11" s="145" t="s">
        <v>308</v>
      </c>
      <c r="T11" s="533">
        <f t="shared" si="5"/>
        <v>162422.5</v>
      </c>
      <c r="U11" s="533">
        <f t="shared" si="2"/>
        <v>246918.61730000001</v>
      </c>
      <c r="V11" s="533">
        <f t="shared" si="2"/>
        <v>199020.36060000001</v>
      </c>
    </row>
    <row r="12" spans="1:22">
      <c r="A12" s="136"/>
      <c r="B12" s="134" t="s">
        <v>309</v>
      </c>
      <c r="C12" s="137">
        <v>39009.47</v>
      </c>
      <c r="D12" s="137">
        <v>48150.913399999998</v>
      </c>
      <c r="E12" s="137">
        <v>59030.353600000002</v>
      </c>
      <c r="F12" s="138"/>
      <c r="G12" s="438">
        <f>(E12/C12)^(1/2)-1</f>
        <v>0.23013469451111201</v>
      </c>
      <c r="I12" s="145" t="s">
        <v>310</v>
      </c>
      <c r="J12" s="486">
        <f t="shared" si="3"/>
        <v>90705.324299999993</v>
      </c>
      <c r="K12" s="146"/>
      <c r="L12" s="146"/>
      <c r="N12" s="147" t="s">
        <v>310</v>
      </c>
      <c r="O12" s="532">
        <f t="shared" si="4"/>
        <v>73936.27</v>
      </c>
      <c r="P12" s="532">
        <f t="shared" si="1"/>
        <v>90705.324299999993</v>
      </c>
      <c r="Q12" s="532">
        <f>VLOOKUP($N12,$B$6:$E$41,MATCH(Q$8,$B$6:$E$6,0),FALSE)</f>
        <v>112582.5934</v>
      </c>
      <c r="S12" s="145" t="s">
        <v>310</v>
      </c>
      <c r="T12" s="533">
        <f t="shared" si="5"/>
        <v>73936.27</v>
      </c>
      <c r="U12" s="533">
        <f t="shared" si="2"/>
        <v>112582.5934</v>
      </c>
      <c r="V12" s="533">
        <f t="shared" si="2"/>
        <v>90705.324299999993</v>
      </c>
    </row>
    <row r="13" spans="1:22" ht="13.5" thickBot="1">
      <c r="A13" s="136"/>
      <c r="B13" s="134" t="s">
        <v>311</v>
      </c>
      <c r="C13" s="137">
        <v>165961.04269999999</v>
      </c>
      <c r="D13" s="137">
        <v>180528.69200000001</v>
      </c>
      <c r="E13" s="137">
        <v>219645.8034</v>
      </c>
      <c r="F13" s="138"/>
      <c r="G13" s="438">
        <f>(E13/C13)^(1/2)-1</f>
        <v>0.15042517685749157</v>
      </c>
      <c r="I13" s="145" t="s">
        <v>312</v>
      </c>
      <c r="J13" s="486">
        <f t="shared" si="3"/>
        <v>70507.6872</v>
      </c>
      <c r="K13" s="146"/>
      <c r="L13" s="146"/>
      <c r="N13" s="148" t="s">
        <v>312</v>
      </c>
      <c r="O13" s="532">
        <f t="shared" si="4"/>
        <v>56148.646399999998</v>
      </c>
      <c r="P13" s="532">
        <f t="shared" si="1"/>
        <v>70507.6872</v>
      </c>
      <c r="Q13" s="532">
        <f t="shared" si="1"/>
        <v>84121.745899999994</v>
      </c>
      <c r="S13" s="145" t="s">
        <v>312</v>
      </c>
      <c r="T13" s="533">
        <f t="shared" si="5"/>
        <v>56148.646399999998</v>
      </c>
      <c r="U13" s="533">
        <f t="shared" si="2"/>
        <v>84121.745899999994</v>
      </c>
      <c r="V13" s="533">
        <f t="shared" si="2"/>
        <v>70507.6872</v>
      </c>
    </row>
    <row r="14" spans="1:22">
      <c r="A14" s="136"/>
      <c r="B14" s="134" t="s">
        <v>304</v>
      </c>
      <c r="C14" s="137">
        <v>93008.084099999993</v>
      </c>
      <c r="D14" s="137">
        <v>123955.79150000001</v>
      </c>
      <c r="E14" s="137">
        <v>147655.2237</v>
      </c>
      <c r="F14" s="138"/>
      <c r="G14" s="138"/>
    </row>
    <row r="15" spans="1:22">
      <c r="A15" s="136"/>
      <c r="B15" s="134" t="s">
        <v>313</v>
      </c>
      <c r="C15" s="137">
        <v>52720.639999999999</v>
      </c>
      <c r="D15" s="137">
        <v>66597.681400000001</v>
      </c>
      <c r="E15" s="137">
        <v>86905.810200000007</v>
      </c>
      <c r="F15" s="138"/>
      <c r="G15" s="138"/>
    </row>
    <row r="16" spans="1:22">
      <c r="A16" s="136"/>
      <c r="B16" s="134" t="s">
        <v>314</v>
      </c>
      <c r="C16" s="137">
        <v>31450.65</v>
      </c>
      <c r="D16" s="137">
        <v>38641.726000000002</v>
      </c>
      <c r="E16" s="137">
        <v>48460.506600000001</v>
      </c>
      <c r="F16" s="138"/>
      <c r="G16" s="138"/>
      <c r="S16" s="140" t="s">
        <v>294</v>
      </c>
      <c r="T16" s="140" t="s">
        <v>295</v>
      </c>
      <c r="U16" s="144" t="s">
        <v>297</v>
      </c>
      <c r="V16" s="144" t="s">
        <v>296</v>
      </c>
    </row>
    <row r="17" spans="1:22">
      <c r="A17" s="136"/>
      <c r="B17" s="134" t="s">
        <v>312</v>
      </c>
      <c r="C17" s="137">
        <v>56148.646399999998</v>
      </c>
      <c r="D17" s="137">
        <v>70507.6872</v>
      </c>
      <c r="E17" s="137">
        <v>84121.745899999994</v>
      </c>
      <c r="F17" s="138"/>
      <c r="G17" s="138"/>
      <c r="S17" s="145" t="s">
        <v>304</v>
      </c>
      <c r="T17" s="533">
        <f>VLOOKUP($S17,$B$6:$E$41,MATCH(T$16,$B$6:$E$6,0),FALSE)</f>
        <v>93008.084099999993</v>
      </c>
      <c r="U17" s="533">
        <f>VLOOKUP($S17,$B$6:$E$41,MATCH(U$16,$B$6:$E$6,0),FALSE)</f>
        <v>147655.2237</v>
      </c>
      <c r="V17" s="533">
        <f>VLOOKUP($S17,$B$6:$E$41,MATCH(V$16,$B$6:$E$6,0),FALSE)</f>
        <v>123955.79150000001</v>
      </c>
    </row>
    <row r="18" spans="1:22">
      <c r="A18" s="136"/>
      <c r="B18" s="134" t="s">
        <v>315</v>
      </c>
      <c r="C18" s="137">
        <v>82256.828399999999</v>
      </c>
      <c r="D18" s="137">
        <v>101837.71610000001</v>
      </c>
      <c r="E18" s="137">
        <v>121073.39870000001</v>
      </c>
      <c r="F18" s="138"/>
      <c r="G18" s="138"/>
      <c r="N18" s="124">
        <v>1</v>
      </c>
      <c r="P18" s="124">
        <f>MATCH(N19,$N$18:$N$22,0)</f>
        <v>2</v>
      </c>
      <c r="S18" s="145" t="s">
        <v>306</v>
      </c>
      <c r="T18" s="533">
        <f t="shared" ref="T18:U18" si="6">VLOOKUP($S18,$B$6:$E$41,MATCH(T$16,$B$6:$E$6,0),FALSE)</f>
        <v>566565.24</v>
      </c>
      <c r="U18" s="533">
        <f t="shared" si="6"/>
        <v>964432.08070000005</v>
      </c>
      <c r="V18" s="533">
        <f>VLOOKUP($S18,$B$6:$E$41,MATCH(V$16,$B$6:$E$6,0),FALSE)</f>
        <v>721526.31209999998</v>
      </c>
    </row>
    <row r="19" spans="1:22">
      <c r="A19" s="136"/>
      <c r="B19" s="134" t="s">
        <v>310</v>
      </c>
      <c r="C19" s="137">
        <v>73936.27</v>
      </c>
      <c r="D19" s="137">
        <v>90705.324299999993</v>
      </c>
      <c r="E19" s="137">
        <v>112582.5934</v>
      </c>
      <c r="F19" s="138"/>
      <c r="G19" s="138"/>
      <c r="N19" s="487">
        <v>2</v>
      </c>
      <c r="P19" s="124">
        <f>MATCH(N20,N18:$N$22,0)</f>
        <v>3</v>
      </c>
      <c r="S19" s="145" t="s">
        <v>308</v>
      </c>
      <c r="T19" s="533">
        <f>VLOOKUP($S19,$B$6:$E$41,MATCH(T$16,$B$6:$E$6,0),FALSE)</f>
        <v>162422.5</v>
      </c>
      <c r="U19" s="533">
        <f>VLOOKUP($S19,$B$6:$E$41,MATCH(U$16,$B$6:$E$6,0),FALSE)</f>
        <v>246918.61730000001</v>
      </c>
      <c r="V19" s="533">
        <f>VLOOKUP($S19,$B$6:$E$41,MATCH(V$16,$B$6:$E$6,0),FALSE)</f>
        <v>199020.36060000001</v>
      </c>
    </row>
    <row r="20" spans="1:22">
      <c r="A20" s="136"/>
      <c r="B20" s="134" t="s">
        <v>316</v>
      </c>
      <c r="C20" s="137">
        <v>21963.033299999999</v>
      </c>
      <c r="D20" s="137">
        <v>30949.196400000001</v>
      </c>
      <c r="E20" s="137">
        <v>41363.786899999999</v>
      </c>
      <c r="F20" s="138"/>
      <c r="G20" s="187"/>
      <c r="N20" s="124">
        <v>3</v>
      </c>
      <c r="S20" s="145" t="s">
        <v>310</v>
      </c>
      <c r="T20" s="533">
        <f t="shared" ref="T20:T21" si="7">VLOOKUP($S20,$B$6:$E$41,MATCH(T$16,$B$6:$E$6,0),FALSE)</f>
        <v>73936.27</v>
      </c>
      <c r="U20" s="533">
        <f>VLOOKUP($S20,$B$6:$E$41,MATCH(U$16,$B$6:$E$6,0),FALSE)</f>
        <v>112582.5934</v>
      </c>
      <c r="V20" s="533">
        <f>VLOOKUP($S20,$B$6:$E$41,MATCH(V$16,$B$6:$E$6,0),FALSE)</f>
        <v>90705.324299999993</v>
      </c>
    </row>
    <row r="21" spans="1:22">
      <c r="A21" s="136"/>
      <c r="B21" s="134" t="s">
        <v>308</v>
      </c>
      <c r="C21" s="137">
        <v>162422.5</v>
      </c>
      <c r="D21" s="137">
        <v>199020.36060000001</v>
      </c>
      <c r="E21" s="137">
        <v>246918.61730000001</v>
      </c>
      <c r="F21" s="138"/>
      <c r="G21" s="138"/>
      <c r="N21" s="124">
        <v>4</v>
      </c>
      <c r="S21" s="145" t="s">
        <v>312</v>
      </c>
      <c r="T21" s="533">
        <f t="shared" si="7"/>
        <v>56148.646399999998</v>
      </c>
      <c r="U21" s="533">
        <f>VLOOKUP($S21,$B$6:$E$41,MATCH(U$16,$B$6:$E$6,0),FALSE)</f>
        <v>84121.745899999994</v>
      </c>
      <c r="V21" s="533">
        <f t="shared" ref="V21" si="8">VLOOKUP($S21,$B$6:$E$41,MATCH(V$16,$B$6:$E$6,0),FALSE)</f>
        <v>70507.6872</v>
      </c>
    </row>
    <row r="22" spans="1:22">
      <c r="A22" s="136"/>
      <c r="B22" s="134" t="s">
        <v>317</v>
      </c>
      <c r="C22" s="137">
        <v>89277.36</v>
      </c>
      <c r="D22" s="137">
        <v>107132.2801</v>
      </c>
      <c r="E22" s="137">
        <v>130255.66529999999</v>
      </c>
      <c r="F22" s="138"/>
      <c r="G22" s="138"/>
      <c r="N22" s="124">
        <v>5</v>
      </c>
    </row>
    <row r="23" spans="1:22">
      <c r="A23" s="136"/>
      <c r="B23" s="134" t="s">
        <v>318</v>
      </c>
      <c r="C23" s="137">
        <v>74863.899999999994</v>
      </c>
      <c r="D23" s="137">
        <v>89794.937900000004</v>
      </c>
      <c r="E23" s="137">
        <v>111664.1678</v>
      </c>
      <c r="F23" s="138"/>
      <c r="G23" s="138"/>
    </row>
    <row r="24" spans="1:22">
      <c r="A24" s="136"/>
      <c r="B24" s="134" t="s">
        <v>319</v>
      </c>
      <c r="C24" s="137">
        <v>102677.88</v>
      </c>
      <c r="D24" s="137">
        <v>123991.8836</v>
      </c>
      <c r="E24" s="137">
        <v>160975.51149999999</v>
      </c>
      <c r="F24" s="138"/>
      <c r="G24" s="138"/>
      <c r="N24" s="124" t="s">
        <v>3938</v>
      </c>
      <c r="O24" s="124" t="s">
        <v>3939</v>
      </c>
      <c r="P24" s="124" t="s">
        <v>3940</v>
      </c>
      <c r="Q24" s="124" t="s">
        <v>3941</v>
      </c>
      <c r="R24" s="124" t="s">
        <v>3942</v>
      </c>
    </row>
    <row r="25" spans="1:22">
      <c r="A25" s="136"/>
      <c r="B25" s="134" t="s">
        <v>320</v>
      </c>
      <c r="C25" s="137">
        <v>42309.74</v>
      </c>
      <c r="D25" s="137">
        <v>54310.947899999999</v>
      </c>
      <c r="E25" s="137">
        <v>62040.713799999998</v>
      </c>
      <c r="F25" s="138"/>
      <c r="G25" s="138"/>
    </row>
    <row r="26" spans="1:22">
      <c r="A26" s="136"/>
      <c r="B26" s="134" t="s">
        <v>321</v>
      </c>
      <c r="C26" s="137">
        <v>42357.49</v>
      </c>
      <c r="D26" s="137">
        <v>56184.3099</v>
      </c>
      <c r="E26" s="137">
        <v>62382.602299999999</v>
      </c>
      <c r="F26" s="138"/>
      <c r="G26" s="138"/>
    </row>
    <row r="27" spans="1:22" ht="30.2" customHeight="1">
      <c r="A27" s="136"/>
      <c r="B27" s="149" t="s">
        <v>322</v>
      </c>
      <c r="C27" s="150">
        <f>SUM(C8:C26)</f>
        <v>1530531.4352000002</v>
      </c>
      <c r="D27" s="150">
        <f>SUM(D8:D26)</f>
        <v>1880270.6554000003</v>
      </c>
      <c r="E27" s="150">
        <f>SUM(E8:E26)</f>
        <v>2314102.2083999994</v>
      </c>
      <c r="F27" s="151"/>
      <c r="G27" s="151"/>
      <c r="N27" s="124">
        <f>MATCH(P24,$N$24:$R$24,0)</f>
        <v>3</v>
      </c>
      <c r="O27" s="124">
        <f>MATCH(Q24,$N$24:$R$24,0)</f>
        <v>4</v>
      </c>
    </row>
    <row r="28" spans="1:22">
      <c r="A28" s="136"/>
      <c r="B28" s="133" t="s">
        <v>306</v>
      </c>
      <c r="C28" s="137">
        <v>566565.24</v>
      </c>
      <c r="D28" s="137">
        <v>721526.31209999998</v>
      </c>
      <c r="E28" s="137">
        <v>964432.08070000005</v>
      </c>
      <c r="F28" s="138"/>
      <c r="G28" s="138"/>
    </row>
    <row r="29" spans="1:22">
      <c r="A29" s="136"/>
      <c r="B29" s="133" t="s">
        <v>323</v>
      </c>
      <c r="C29" s="137"/>
      <c r="D29" s="137"/>
      <c r="E29" s="137"/>
      <c r="F29" s="151"/>
      <c r="G29" s="151"/>
    </row>
    <row r="30" spans="1:22">
      <c r="A30" s="136"/>
      <c r="B30" s="134" t="s">
        <v>324</v>
      </c>
      <c r="C30" s="137">
        <v>34507.479700000004</v>
      </c>
      <c r="D30" s="137">
        <v>41153.999499999998</v>
      </c>
      <c r="E30" s="137">
        <v>46370.200499999999</v>
      </c>
      <c r="F30" s="138"/>
      <c r="G30" s="138"/>
    </row>
    <row r="31" spans="1:22">
      <c r="A31" s="136"/>
      <c r="B31" s="134" t="s">
        <v>325</v>
      </c>
      <c r="C31" s="137">
        <v>49052.33</v>
      </c>
      <c r="D31" s="137">
        <v>61619.719899999996</v>
      </c>
      <c r="E31" s="137">
        <v>76721.892800000001</v>
      </c>
      <c r="F31" s="138"/>
      <c r="G31" s="138"/>
    </row>
    <row r="32" spans="1:22">
      <c r="A32" s="136"/>
      <c r="B32" s="134" t="s">
        <v>326</v>
      </c>
      <c r="C32" s="137">
        <v>24526.79</v>
      </c>
      <c r="D32" s="137">
        <v>29275.983499999998</v>
      </c>
      <c r="E32" s="137">
        <v>33075.8946</v>
      </c>
      <c r="F32" s="138"/>
      <c r="G32" s="138"/>
    </row>
    <row r="33" spans="1:7">
      <c r="A33" s="136"/>
      <c r="B33" s="134" t="s">
        <v>327</v>
      </c>
      <c r="C33" s="137">
        <v>26842.65</v>
      </c>
      <c r="D33" s="137">
        <v>33069.7045</v>
      </c>
      <c r="E33" s="137">
        <v>40485.79</v>
      </c>
      <c r="F33" s="138"/>
      <c r="G33" s="138"/>
    </row>
    <row r="34" spans="1:7">
      <c r="A34" s="136"/>
      <c r="B34" s="134" t="s">
        <v>328</v>
      </c>
      <c r="C34" s="137">
        <v>47460.7</v>
      </c>
      <c r="D34" s="137">
        <v>59060.041899999997</v>
      </c>
      <c r="E34" s="137">
        <v>69665.440700000006</v>
      </c>
      <c r="F34" s="138"/>
      <c r="G34" s="138"/>
    </row>
    <row r="35" spans="1:7">
      <c r="A35" s="136"/>
      <c r="B35" s="134" t="s">
        <v>329</v>
      </c>
      <c r="C35" s="137">
        <v>18846.84</v>
      </c>
      <c r="D35" s="137">
        <v>21358.444444444402</v>
      </c>
      <c r="E35" s="137"/>
      <c r="F35" s="138"/>
      <c r="G35" s="138"/>
    </row>
    <row r="36" spans="1:7">
      <c r="A36" s="136"/>
      <c r="B36" s="134" t="s">
        <v>330</v>
      </c>
      <c r="C36" s="137">
        <v>37993.129999999997</v>
      </c>
      <c r="D36" s="137">
        <v>43894.358999999997</v>
      </c>
      <c r="E36" s="137">
        <v>49460.5118</v>
      </c>
      <c r="F36" s="138"/>
      <c r="G36" s="138"/>
    </row>
    <row r="37" spans="1:7" ht="30.2" customHeight="1">
      <c r="A37" s="136"/>
      <c r="B37" s="149" t="s">
        <v>331</v>
      </c>
      <c r="C37" s="150">
        <f>SUM(C30:C36)</f>
        <v>239229.9197</v>
      </c>
      <c r="D37" s="150">
        <f>SUM(D30:D36)</f>
        <v>289432.25274444441</v>
      </c>
      <c r="E37" s="150">
        <f>SUM(E30:E36)</f>
        <v>315779.7304</v>
      </c>
      <c r="F37" s="151"/>
      <c r="G37" s="151"/>
    </row>
    <row r="38" spans="1:7" ht="30.2" customHeight="1">
      <c r="A38" s="136"/>
      <c r="B38" s="149" t="s">
        <v>332</v>
      </c>
      <c r="C38" s="152">
        <f>C28+C37</f>
        <v>805795.15969999996</v>
      </c>
      <c r="D38" s="150">
        <f>D28+D37</f>
        <v>1010958.5648444444</v>
      </c>
      <c r="E38" s="150">
        <f>E28+E37</f>
        <v>1280211.8111</v>
      </c>
      <c r="F38" s="151"/>
      <c r="G38" s="151"/>
    </row>
    <row r="39" spans="1:7" ht="30.2" customHeight="1">
      <c r="A39" s="136"/>
      <c r="B39" s="149" t="s">
        <v>333</v>
      </c>
      <c r="C39" s="150"/>
      <c r="D39" s="150"/>
      <c r="E39" s="150"/>
      <c r="F39" s="138"/>
      <c r="G39" s="138"/>
    </row>
    <row r="40" spans="1:7" ht="14.25" customHeight="1">
      <c r="A40" s="136"/>
      <c r="B40" s="153" t="s">
        <v>334</v>
      </c>
      <c r="C40" s="137">
        <v>103839.32</v>
      </c>
      <c r="D40" s="137">
        <v>130694.39260000001</v>
      </c>
      <c r="E40" s="137">
        <v>172402.321</v>
      </c>
      <c r="F40" s="138"/>
      <c r="G40" s="138"/>
    </row>
    <row r="41" spans="1:7" ht="30.2" customHeight="1" thickBot="1">
      <c r="A41" s="136"/>
      <c r="B41" s="154" t="s">
        <v>335</v>
      </c>
      <c r="C41" s="155">
        <f>SUM(C38+C27+C40)</f>
        <v>2440165.9148999997</v>
      </c>
      <c r="D41" s="155">
        <f>SUM(D38+D27+D40)</f>
        <v>3021923.6128444448</v>
      </c>
      <c r="E41" s="155">
        <f>SUM(E38+E27+E40)</f>
        <v>3766716.3404999995</v>
      </c>
      <c r="F41" s="151"/>
      <c r="G41" s="151"/>
    </row>
    <row r="42" spans="1:7" ht="13.5" thickTop="1"/>
    <row r="43" spans="1:7">
      <c r="B43" s="125"/>
      <c r="C43" s="156"/>
      <c r="D43" s="156"/>
      <c r="E43" s="156"/>
      <c r="F43" s="157"/>
      <c r="G43" s="157"/>
    </row>
    <row r="45" spans="1:7" ht="15" customHeight="1"/>
    <row r="47" spans="1:7" ht="15" customHeight="1"/>
    <row r="78" ht="15" customHeight="1"/>
    <row r="79" ht="15" customHeight="1"/>
    <row r="80" ht="15" customHeight="1"/>
    <row r="91" ht="21" customHeight="1"/>
  </sheetData>
  <mergeCells count="4">
    <mergeCell ref="C5:E5"/>
    <mergeCell ref="N6:Q7"/>
    <mergeCell ref="S6:V7"/>
    <mergeCell ref="I7:J7"/>
  </mergeCells>
  <dataValidations disablePrompts="1" count="1">
    <dataValidation type="list" allowBlank="1" showInputMessage="1" showErrorMessage="1" sqref="J21" xr:uid="{00000000-0002-0000-0900-000000000000}">
      <formula1>$I$20:$I$24</formula1>
    </dataValidation>
  </dataValidations>
  <pageMargins left="1.41" right="0.75" top="0.65" bottom="0.61" header="0.5" footer="0.5"/>
  <pageSetup paperSize="9"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6">
    <tabColor theme="0" tint="-0.34998626667073579"/>
  </sheetPr>
  <dimension ref="A1:G19"/>
  <sheetViews>
    <sheetView showGridLines="0" workbookViewId="0"/>
  </sheetViews>
  <sheetFormatPr defaultRowHeight="15"/>
  <cols>
    <col min="1" max="1" width="14.140625" bestFit="1" customWidth="1"/>
    <col min="2" max="2" width="14" bestFit="1" customWidth="1"/>
    <col min="3" max="3" width="20" bestFit="1" customWidth="1"/>
    <col min="6" max="6" width="10.85546875" bestFit="1" customWidth="1"/>
  </cols>
  <sheetData>
    <row r="1" spans="1:7" ht="15.75">
      <c r="A1" s="385" t="s">
        <v>53</v>
      </c>
      <c r="B1" s="386" t="s">
        <v>54</v>
      </c>
      <c r="C1" s="386" t="s">
        <v>55</v>
      </c>
      <c r="D1" s="31"/>
      <c r="E1" s="35" t="s">
        <v>56</v>
      </c>
    </row>
    <row r="2" spans="1:7" ht="15.75">
      <c r="A2" s="36">
        <v>0</v>
      </c>
      <c r="B2" s="36">
        <v>160</v>
      </c>
      <c r="C2" s="36" t="s">
        <v>57</v>
      </c>
      <c r="D2" s="31"/>
      <c r="E2" s="35"/>
    </row>
    <row r="3" spans="1:7" ht="15.75">
      <c r="A3" s="36">
        <v>161</v>
      </c>
      <c r="B3" s="36">
        <v>320</v>
      </c>
      <c r="C3" s="36" t="s">
        <v>58</v>
      </c>
      <c r="D3" s="31"/>
      <c r="E3" s="35"/>
    </row>
    <row r="4" spans="1:7" ht="15.75">
      <c r="A4" s="36">
        <v>321</v>
      </c>
      <c r="B4" s="36">
        <v>480</v>
      </c>
      <c r="C4" s="36" t="s">
        <v>59</v>
      </c>
      <c r="D4" s="31"/>
      <c r="E4" s="244" t="s">
        <v>60</v>
      </c>
      <c r="F4" s="245" t="s">
        <v>61</v>
      </c>
    </row>
    <row r="5" spans="1:7" ht="16.5" thickBot="1">
      <c r="A5" s="36">
        <v>481</v>
      </c>
      <c r="B5" s="36">
        <v>640</v>
      </c>
      <c r="C5" s="36" t="s">
        <v>62</v>
      </c>
      <c r="D5" s="34"/>
      <c r="E5" s="38">
        <v>175</v>
      </c>
      <c r="F5" s="37" t="str">
        <f>VLOOKUP(E5,$A$1:$C$17,3,TRUE)</f>
        <v>161-320</v>
      </c>
    </row>
    <row r="6" spans="1:7" ht="15.75">
      <c r="A6" s="36">
        <v>641</v>
      </c>
      <c r="B6" s="36">
        <v>800</v>
      </c>
      <c r="C6" s="36" t="s">
        <v>63</v>
      </c>
      <c r="D6" s="31"/>
      <c r="E6" s="38">
        <v>151</v>
      </c>
      <c r="F6" s="37" t="str">
        <f t="shared" ref="F6:F13" si="0">VLOOKUP(E6,$A$1:$C$17,3,TRUE)</f>
        <v>0-160</v>
      </c>
    </row>
    <row r="7" spans="1:7" ht="15.75">
      <c r="A7" s="36">
        <v>801</v>
      </c>
      <c r="B7" s="36">
        <v>960</v>
      </c>
      <c r="C7" s="36" t="s">
        <v>64</v>
      </c>
      <c r="D7" s="31"/>
      <c r="E7" s="38">
        <v>237</v>
      </c>
      <c r="F7" s="37" t="str">
        <f t="shared" si="0"/>
        <v>161-320</v>
      </c>
    </row>
    <row r="8" spans="1:7" ht="15.75">
      <c r="A8" s="36">
        <v>961</v>
      </c>
      <c r="B8" s="36">
        <v>1120</v>
      </c>
      <c r="C8" s="36" t="s">
        <v>65</v>
      </c>
      <c r="D8" s="31"/>
      <c r="E8" s="38">
        <v>1378</v>
      </c>
      <c r="F8" s="37" t="str">
        <f t="shared" si="0"/>
        <v>1281-1440</v>
      </c>
    </row>
    <row r="9" spans="1:7" ht="15.75">
      <c r="A9" s="36">
        <v>1121</v>
      </c>
      <c r="B9" s="36">
        <v>1280</v>
      </c>
      <c r="C9" s="36" t="s">
        <v>66</v>
      </c>
      <c r="D9" s="31"/>
      <c r="E9" s="38">
        <v>1367</v>
      </c>
      <c r="F9" s="37" t="str">
        <f t="shared" si="0"/>
        <v>1281-1440</v>
      </c>
    </row>
    <row r="10" spans="1:7" ht="15.75">
      <c r="A10" s="36">
        <v>1281</v>
      </c>
      <c r="B10" s="36">
        <v>1440</v>
      </c>
      <c r="C10" s="36" t="s">
        <v>67</v>
      </c>
      <c r="D10" s="31"/>
      <c r="E10" s="38">
        <v>2161</v>
      </c>
      <c r="F10" s="37" t="str">
        <f t="shared" si="0"/>
        <v>2081-2240</v>
      </c>
    </row>
    <row r="11" spans="1:7" ht="15.75">
      <c r="A11" s="36">
        <v>1441</v>
      </c>
      <c r="B11" s="36">
        <v>1600</v>
      </c>
      <c r="C11" s="36" t="s">
        <v>68</v>
      </c>
      <c r="D11" s="31"/>
      <c r="E11" s="38">
        <v>1620</v>
      </c>
      <c r="F11" s="37" t="str">
        <f t="shared" si="0"/>
        <v>1601-1760</v>
      </c>
    </row>
    <row r="12" spans="1:7" ht="15.75">
      <c r="A12" s="36">
        <v>1601</v>
      </c>
      <c r="B12" s="36">
        <v>1760</v>
      </c>
      <c r="C12" s="36" t="s">
        <v>69</v>
      </c>
      <c r="D12" s="31"/>
      <c r="E12" s="38">
        <v>920</v>
      </c>
      <c r="F12" s="37" t="str">
        <f t="shared" si="0"/>
        <v>801-960</v>
      </c>
    </row>
    <row r="13" spans="1:7" ht="15.75">
      <c r="A13" s="36">
        <v>1761</v>
      </c>
      <c r="B13" s="36">
        <v>1920</v>
      </c>
      <c r="C13" s="36" t="s">
        <v>70</v>
      </c>
      <c r="D13" s="31"/>
      <c r="E13" s="38">
        <v>669</v>
      </c>
      <c r="F13" s="37" t="str">
        <f t="shared" si="0"/>
        <v>641-800</v>
      </c>
      <c r="G13" t="s">
        <v>3957</v>
      </c>
    </row>
    <row r="14" spans="1:7" ht="15.75">
      <c r="A14" s="36">
        <v>1921</v>
      </c>
      <c r="B14" s="36">
        <v>2080</v>
      </c>
      <c r="C14" s="36" t="s">
        <v>71</v>
      </c>
      <c r="D14" s="31"/>
      <c r="E14" s="31"/>
    </row>
    <row r="15" spans="1:7" ht="15.75">
      <c r="A15" s="36">
        <v>2081</v>
      </c>
      <c r="B15" s="36">
        <v>2240</v>
      </c>
      <c r="C15" s="36" t="s">
        <v>72</v>
      </c>
      <c r="D15" s="31"/>
      <c r="E15" s="31"/>
    </row>
    <row r="16" spans="1:7" ht="15.75">
      <c r="A16" s="36">
        <v>2241</v>
      </c>
      <c r="B16" s="36">
        <v>2400</v>
      </c>
      <c r="C16" s="36" t="s">
        <v>73</v>
      </c>
      <c r="D16" s="31"/>
      <c r="E16" s="31"/>
    </row>
    <row r="17" spans="1:5" ht="15.75">
      <c r="A17" s="36">
        <v>2401</v>
      </c>
      <c r="B17" s="36">
        <v>2560</v>
      </c>
      <c r="C17" s="36" t="s">
        <v>74</v>
      </c>
      <c r="D17" s="31"/>
      <c r="E17" s="31"/>
    </row>
    <row r="18" spans="1:5" ht="15.75">
      <c r="E18" s="31"/>
    </row>
    <row r="19" spans="1:5" ht="15.75">
      <c r="E19" s="3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AC49-E68F-4562-B4DF-494BB77FC590}">
  <sheetPr codeName="Sheet21">
    <tabColor theme="0" tint="-0.34998626667073579"/>
  </sheetPr>
  <dimension ref="B3:J108"/>
  <sheetViews>
    <sheetView showGridLines="0" topLeftCell="A7" zoomScale="151" workbookViewId="0">
      <selection activeCell="G12" sqref="G12"/>
    </sheetView>
  </sheetViews>
  <sheetFormatPr defaultRowHeight="14.25"/>
  <cols>
    <col min="1" max="1" width="4.140625" style="349" customWidth="1"/>
    <col min="2" max="2" width="8" style="356" customWidth="1"/>
    <col min="3" max="3" width="12.42578125" style="356" customWidth="1"/>
    <col min="4" max="4" width="26.42578125" style="349" bestFit="1" customWidth="1"/>
    <col min="5" max="5" width="8" style="356" bestFit="1" customWidth="1"/>
    <col min="6" max="6" width="14.5703125" style="356" bestFit="1" customWidth="1"/>
    <col min="7" max="7" width="9.140625" style="349"/>
    <col min="8" max="8" width="6" style="349" customWidth="1"/>
    <col min="9" max="9" width="10" style="349" customWidth="1"/>
    <col min="10" max="10" width="18.85546875" style="349" customWidth="1"/>
    <col min="11" max="256" width="9.140625" style="349"/>
    <col min="257" max="257" width="6" style="349" customWidth="1"/>
    <col min="258" max="258" width="9.7109375" style="349" bestFit="1" customWidth="1"/>
    <col min="259" max="259" width="23.28515625" style="349" customWidth="1"/>
    <col min="260" max="260" width="12.28515625" style="349" customWidth="1"/>
    <col min="261" max="261" width="23.5703125" style="349" customWidth="1"/>
    <col min="262" max="264" width="9.140625" style="349"/>
    <col min="265" max="265" width="12" style="349" bestFit="1" customWidth="1"/>
    <col min="266" max="266" width="13.28515625" style="349" customWidth="1"/>
    <col min="267" max="512" width="9.140625" style="349"/>
    <col min="513" max="513" width="6" style="349" customWidth="1"/>
    <col min="514" max="514" width="9.7109375" style="349" bestFit="1" customWidth="1"/>
    <col min="515" max="515" width="23.28515625" style="349" customWidth="1"/>
    <col min="516" max="516" width="12.28515625" style="349" customWidth="1"/>
    <col min="517" max="517" width="23.5703125" style="349" customWidth="1"/>
    <col min="518" max="520" width="9.140625" style="349"/>
    <col min="521" max="521" width="12" style="349" bestFit="1" customWidth="1"/>
    <col min="522" max="522" width="13.28515625" style="349" customWidth="1"/>
    <col min="523" max="768" width="9.140625" style="349"/>
    <col min="769" max="769" width="6" style="349" customWidth="1"/>
    <col min="770" max="770" width="9.7109375" style="349" bestFit="1" customWidth="1"/>
    <col min="771" max="771" width="23.28515625" style="349" customWidth="1"/>
    <col min="772" max="772" width="12.28515625" style="349" customWidth="1"/>
    <col min="773" max="773" width="23.5703125" style="349" customWidth="1"/>
    <col min="774" max="776" width="9.140625" style="349"/>
    <col min="777" max="777" width="12" style="349" bestFit="1" customWidth="1"/>
    <col min="778" max="778" width="13.28515625" style="349" customWidth="1"/>
    <col min="779" max="1024" width="9.140625" style="349"/>
    <col min="1025" max="1025" width="6" style="349" customWidth="1"/>
    <col min="1026" max="1026" width="9.7109375" style="349" bestFit="1" customWidth="1"/>
    <col min="1027" max="1027" width="23.28515625" style="349" customWidth="1"/>
    <col min="1028" max="1028" width="12.28515625" style="349" customWidth="1"/>
    <col min="1029" max="1029" width="23.5703125" style="349" customWidth="1"/>
    <col min="1030" max="1032" width="9.140625" style="349"/>
    <col min="1033" max="1033" width="12" style="349" bestFit="1" customWidth="1"/>
    <col min="1034" max="1034" width="13.28515625" style="349" customWidth="1"/>
    <col min="1035" max="1280" width="9.140625" style="349"/>
    <col min="1281" max="1281" width="6" style="349" customWidth="1"/>
    <col min="1282" max="1282" width="9.7109375" style="349" bestFit="1" customWidth="1"/>
    <col min="1283" max="1283" width="23.28515625" style="349" customWidth="1"/>
    <col min="1284" max="1284" width="12.28515625" style="349" customWidth="1"/>
    <col min="1285" max="1285" width="23.5703125" style="349" customWidth="1"/>
    <col min="1286" max="1288" width="9.140625" style="349"/>
    <col min="1289" max="1289" width="12" style="349" bestFit="1" customWidth="1"/>
    <col min="1290" max="1290" width="13.28515625" style="349" customWidth="1"/>
    <col min="1291" max="1536" width="9.140625" style="349"/>
    <col min="1537" max="1537" width="6" style="349" customWidth="1"/>
    <col min="1538" max="1538" width="9.7109375" style="349" bestFit="1" customWidth="1"/>
    <col min="1539" max="1539" width="23.28515625" style="349" customWidth="1"/>
    <col min="1540" max="1540" width="12.28515625" style="349" customWidth="1"/>
    <col min="1541" max="1541" width="23.5703125" style="349" customWidth="1"/>
    <col min="1542" max="1544" width="9.140625" style="349"/>
    <col min="1545" max="1545" width="12" style="349" bestFit="1" customWidth="1"/>
    <col min="1546" max="1546" width="13.28515625" style="349" customWidth="1"/>
    <col min="1547" max="1792" width="9.140625" style="349"/>
    <col min="1793" max="1793" width="6" style="349" customWidth="1"/>
    <col min="1794" max="1794" width="9.7109375" style="349" bestFit="1" customWidth="1"/>
    <col min="1795" max="1795" width="23.28515625" style="349" customWidth="1"/>
    <col min="1796" max="1796" width="12.28515625" style="349" customWidth="1"/>
    <col min="1797" max="1797" width="23.5703125" style="349" customWidth="1"/>
    <col min="1798" max="1800" width="9.140625" style="349"/>
    <col min="1801" max="1801" width="12" style="349" bestFit="1" customWidth="1"/>
    <col min="1802" max="1802" width="13.28515625" style="349" customWidth="1"/>
    <col min="1803" max="2048" width="9.140625" style="349"/>
    <col min="2049" max="2049" width="6" style="349" customWidth="1"/>
    <col min="2050" max="2050" width="9.7109375" style="349" bestFit="1" customWidth="1"/>
    <col min="2051" max="2051" width="23.28515625" style="349" customWidth="1"/>
    <col min="2052" max="2052" width="12.28515625" style="349" customWidth="1"/>
    <col min="2053" max="2053" width="23.5703125" style="349" customWidth="1"/>
    <col min="2054" max="2056" width="9.140625" style="349"/>
    <col min="2057" max="2057" width="12" style="349" bestFit="1" customWidth="1"/>
    <col min="2058" max="2058" width="13.28515625" style="349" customWidth="1"/>
    <col min="2059" max="2304" width="9.140625" style="349"/>
    <col min="2305" max="2305" width="6" style="349" customWidth="1"/>
    <col min="2306" max="2306" width="9.7109375" style="349" bestFit="1" customWidth="1"/>
    <col min="2307" max="2307" width="23.28515625" style="349" customWidth="1"/>
    <col min="2308" max="2308" width="12.28515625" style="349" customWidth="1"/>
    <col min="2309" max="2309" width="23.5703125" style="349" customWidth="1"/>
    <col min="2310" max="2312" width="9.140625" style="349"/>
    <col min="2313" max="2313" width="12" style="349" bestFit="1" customWidth="1"/>
    <col min="2314" max="2314" width="13.28515625" style="349" customWidth="1"/>
    <col min="2315" max="2560" width="9.140625" style="349"/>
    <col min="2561" max="2561" width="6" style="349" customWidth="1"/>
    <col min="2562" max="2562" width="9.7109375" style="349" bestFit="1" customWidth="1"/>
    <col min="2563" max="2563" width="23.28515625" style="349" customWidth="1"/>
    <col min="2564" max="2564" width="12.28515625" style="349" customWidth="1"/>
    <col min="2565" max="2565" width="23.5703125" style="349" customWidth="1"/>
    <col min="2566" max="2568" width="9.140625" style="349"/>
    <col min="2569" max="2569" width="12" style="349" bestFit="1" customWidth="1"/>
    <col min="2570" max="2570" width="13.28515625" style="349" customWidth="1"/>
    <col min="2571" max="2816" width="9.140625" style="349"/>
    <col min="2817" max="2817" width="6" style="349" customWidth="1"/>
    <col min="2818" max="2818" width="9.7109375" style="349" bestFit="1" customWidth="1"/>
    <col min="2819" max="2819" width="23.28515625" style="349" customWidth="1"/>
    <col min="2820" max="2820" width="12.28515625" style="349" customWidth="1"/>
    <col min="2821" max="2821" width="23.5703125" style="349" customWidth="1"/>
    <col min="2822" max="2824" width="9.140625" style="349"/>
    <col min="2825" max="2825" width="12" style="349" bestFit="1" customWidth="1"/>
    <col min="2826" max="2826" width="13.28515625" style="349" customWidth="1"/>
    <col min="2827" max="3072" width="9.140625" style="349"/>
    <col min="3073" max="3073" width="6" style="349" customWidth="1"/>
    <col min="3074" max="3074" width="9.7109375" style="349" bestFit="1" customWidth="1"/>
    <col min="3075" max="3075" width="23.28515625" style="349" customWidth="1"/>
    <col min="3076" max="3076" width="12.28515625" style="349" customWidth="1"/>
    <col min="3077" max="3077" width="23.5703125" style="349" customWidth="1"/>
    <col min="3078" max="3080" width="9.140625" style="349"/>
    <col min="3081" max="3081" width="12" style="349" bestFit="1" customWidth="1"/>
    <col min="3082" max="3082" width="13.28515625" style="349" customWidth="1"/>
    <col min="3083" max="3328" width="9.140625" style="349"/>
    <col min="3329" max="3329" width="6" style="349" customWidth="1"/>
    <col min="3330" max="3330" width="9.7109375" style="349" bestFit="1" customWidth="1"/>
    <col min="3331" max="3331" width="23.28515625" style="349" customWidth="1"/>
    <col min="3332" max="3332" width="12.28515625" style="349" customWidth="1"/>
    <col min="3333" max="3333" width="23.5703125" style="349" customWidth="1"/>
    <col min="3334" max="3336" width="9.140625" style="349"/>
    <col min="3337" max="3337" width="12" style="349" bestFit="1" customWidth="1"/>
    <col min="3338" max="3338" width="13.28515625" style="349" customWidth="1"/>
    <col min="3339" max="3584" width="9.140625" style="349"/>
    <col min="3585" max="3585" width="6" style="349" customWidth="1"/>
    <col min="3586" max="3586" width="9.7109375" style="349" bestFit="1" customWidth="1"/>
    <col min="3587" max="3587" width="23.28515625" style="349" customWidth="1"/>
    <col min="3588" max="3588" width="12.28515625" style="349" customWidth="1"/>
    <col min="3589" max="3589" width="23.5703125" style="349" customWidth="1"/>
    <col min="3590" max="3592" width="9.140625" style="349"/>
    <col min="3593" max="3593" width="12" style="349" bestFit="1" customWidth="1"/>
    <col min="3594" max="3594" width="13.28515625" style="349" customWidth="1"/>
    <col min="3595" max="3840" width="9.140625" style="349"/>
    <col min="3841" max="3841" width="6" style="349" customWidth="1"/>
    <col min="3842" max="3842" width="9.7109375" style="349" bestFit="1" customWidth="1"/>
    <col min="3843" max="3843" width="23.28515625" style="349" customWidth="1"/>
    <col min="3844" max="3844" width="12.28515625" style="349" customWidth="1"/>
    <col min="3845" max="3845" width="23.5703125" style="349" customWidth="1"/>
    <col min="3846" max="3848" width="9.140625" style="349"/>
    <col min="3849" max="3849" width="12" style="349" bestFit="1" customWidth="1"/>
    <col min="3850" max="3850" width="13.28515625" style="349" customWidth="1"/>
    <col min="3851" max="4096" width="9.140625" style="349"/>
    <col min="4097" max="4097" width="6" style="349" customWidth="1"/>
    <col min="4098" max="4098" width="9.7109375" style="349" bestFit="1" customWidth="1"/>
    <col min="4099" max="4099" width="23.28515625" style="349" customWidth="1"/>
    <col min="4100" max="4100" width="12.28515625" style="349" customWidth="1"/>
    <col min="4101" max="4101" width="23.5703125" style="349" customWidth="1"/>
    <col min="4102" max="4104" width="9.140625" style="349"/>
    <col min="4105" max="4105" width="12" style="349" bestFit="1" customWidth="1"/>
    <col min="4106" max="4106" width="13.28515625" style="349" customWidth="1"/>
    <col min="4107" max="4352" width="9.140625" style="349"/>
    <col min="4353" max="4353" width="6" style="349" customWidth="1"/>
    <col min="4354" max="4354" width="9.7109375" style="349" bestFit="1" customWidth="1"/>
    <col min="4355" max="4355" width="23.28515625" style="349" customWidth="1"/>
    <col min="4356" max="4356" width="12.28515625" style="349" customWidth="1"/>
    <col min="4357" max="4357" width="23.5703125" style="349" customWidth="1"/>
    <col min="4358" max="4360" width="9.140625" style="349"/>
    <col min="4361" max="4361" width="12" style="349" bestFit="1" customWidth="1"/>
    <col min="4362" max="4362" width="13.28515625" style="349" customWidth="1"/>
    <col min="4363" max="4608" width="9.140625" style="349"/>
    <col min="4609" max="4609" width="6" style="349" customWidth="1"/>
    <col min="4610" max="4610" width="9.7109375" style="349" bestFit="1" customWidth="1"/>
    <col min="4611" max="4611" width="23.28515625" style="349" customWidth="1"/>
    <col min="4612" max="4612" width="12.28515625" style="349" customWidth="1"/>
    <col min="4613" max="4613" width="23.5703125" style="349" customWidth="1"/>
    <col min="4614" max="4616" width="9.140625" style="349"/>
    <col min="4617" max="4617" width="12" style="349" bestFit="1" customWidth="1"/>
    <col min="4618" max="4618" width="13.28515625" style="349" customWidth="1"/>
    <col min="4619" max="4864" width="9.140625" style="349"/>
    <col min="4865" max="4865" width="6" style="349" customWidth="1"/>
    <col min="4866" max="4866" width="9.7109375" style="349" bestFit="1" customWidth="1"/>
    <col min="4867" max="4867" width="23.28515625" style="349" customWidth="1"/>
    <col min="4868" max="4868" width="12.28515625" style="349" customWidth="1"/>
    <col min="4869" max="4869" width="23.5703125" style="349" customWidth="1"/>
    <col min="4870" max="4872" width="9.140625" style="349"/>
    <col min="4873" max="4873" width="12" style="349" bestFit="1" customWidth="1"/>
    <col min="4874" max="4874" width="13.28515625" style="349" customWidth="1"/>
    <col min="4875" max="5120" width="9.140625" style="349"/>
    <col min="5121" max="5121" width="6" style="349" customWidth="1"/>
    <col min="5122" max="5122" width="9.7109375" style="349" bestFit="1" customWidth="1"/>
    <col min="5123" max="5123" width="23.28515625" style="349" customWidth="1"/>
    <col min="5124" max="5124" width="12.28515625" style="349" customWidth="1"/>
    <col min="5125" max="5125" width="23.5703125" style="349" customWidth="1"/>
    <col min="5126" max="5128" width="9.140625" style="349"/>
    <col min="5129" max="5129" width="12" style="349" bestFit="1" customWidth="1"/>
    <col min="5130" max="5130" width="13.28515625" style="349" customWidth="1"/>
    <col min="5131" max="5376" width="9.140625" style="349"/>
    <col min="5377" max="5377" width="6" style="349" customWidth="1"/>
    <col min="5378" max="5378" width="9.7109375" style="349" bestFit="1" customWidth="1"/>
    <col min="5379" max="5379" width="23.28515625" style="349" customWidth="1"/>
    <col min="5380" max="5380" width="12.28515625" style="349" customWidth="1"/>
    <col min="5381" max="5381" width="23.5703125" style="349" customWidth="1"/>
    <col min="5382" max="5384" width="9.140625" style="349"/>
    <col min="5385" max="5385" width="12" style="349" bestFit="1" customWidth="1"/>
    <col min="5386" max="5386" width="13.28515625" style="349" customWidth="1"/>
    <col min="5387" max="5632" width="9.140625" style="349"/>
    <col min="5633" max="5633" width="6" style="349" customWidth="1"/>
    <col min="5634" max="5634" width="9.7109375" style="349" bestFit="1" customWidth="1"/>
    <col min="5635" max="5635" width="23.28515625" style="349" customWidth="1"/>
    <col min="5636" max="5636" width="12.28515625" style="349" customWidth="1"/>
    <col min="5637" max="5637" width="23.5703125" style="349" customWidth="1"/>
    <col min="5638" max="5640" width="9.140625" style="349"/>
    <col min="5641" max="5641" width="12" style="349" bestFit="1" customWidth="1"/>
    <col min="5642" max="5642" width="13.28515625" style="349" customWidth="1"/>
    <col min="5643" max="5888" width="9.140625" style="349"/>
    <col min="5889" max="5889" width="6" style="349" customWidth="1"/>
    <col min="5890" max="5890" width="9.7109375" style="349" bestFit="1" customWidth="1"/>
    <col min="5891" max="5891" width="23.28515625" style="349" customWidth="1"/>
    <col min="5892" max="5892" width="12.28515625" style="349" customWidth="1"/>
    <col min="5893" max="5893" width="23.5703125" style="349" customWidth="1"/>
    <col min="5894" max="5896" width="9.140625" style="349"/>
    <col min="5897" max="5897" width="12" style="349" bestFit="1" customWidth="1"/>
    <col min="5898" max="5898" width="13.28515625" style="349" customWidth="1"/>
    <col min="5899" max="6144" width="9.140625" style="349"/>
    <col min="6145" max="6145" width="6" style="349" customWidth="1"/>
    <col min="6146" max="6146" width="9.7109375" style="349" bestFit="1" customWidth="1"/>
    <col min="6147" max="6147" width="23.28515625" style="349" customWidth="1"/>
    <col min="6148" max="6148" width="12.28515625" style="349" customWidth="1"/>
    <col min="6149" max="6149" width="23.5703125" style="349" customWidth="1"/>
    <col min="6150" max="6152" width="9.140625" style="349"/>
    <col min="6153" max="6153" width="12" style="349" bestFit="1" customWidth="1"/>
    <col min="6154" max="6154" width="13.28515625" style="349" customWidth="1"/>
    <col min="6155" max="6400" width="9.140625" style="349"/>
    <col min="6401" max="6401" width="6" style="349" customWidth="1"/>
    <col min="6402" max="6402" width="9.7109375" style="349" bestFit="1" customWidth="1"/>
    <col min="6403" max="6403" width="23.28515625" style="349" customWidth="1"/>
    <col min="6404" max="6404" width="12.28515625" style="349" customWidth="1"/>
    <col min="6405" max="6405" width="23.5703125" style="349" customWidth="1"/>
    <col min="6406" max="6408" width="9.140625" style="349"/>
    <col min="6409" max="6409" width="12" style="349" bestFit="1" customWidth="1"/>
    <col min="6410" max="6410" width="13.28515625" style="349" customWidth="1"/>
    <col min="6411" max="6656" width="9.140625" style="349"/>
    <col min="6657" max="6657" width="6" style="349" customWidth="1"/>
    <col min="6658" max="6658" width="9.7109375" style="349" bestFit="1" customWidth="1"/>
    <col min="6659" max="6659" width="23.28515625" style="349" customWidth="1"/>
    <col min="6660" max="6660" width="12.28515625" style="349" customWidth="1"/>
    <col min="6661" max="6661" width="23.5703125" style="349" customWidth="1"/>
    <col min="6662" max="6664" width="9.140625" style="349"/>
    <col min="6665" max="6665" width="12" style="349" bestFit="1" customWidth="1"/>
    <col min="6666" max="6666" width="13.28515625" style="349" customWidth="1"/>
    <col min="6667" max="6912" width="9.140625" style="349"/>
    <col min="6913" max="6913" width="6" style="349" customWidth="1"/>
    <col min="6914" max="6914" width="9.7109375" style="349" bestFit="1" customWidth="1"/>
    <col min="6915" max="6915" width="23.28515625" style="349" customWidth="1"/>
    <col min="6916" max="6916" width="12.28515625" style="349" customWidth="1"/>
    <col min="6917" max="6917" width="23.5703125" style="349" customWidth="1"/>
    <col min="6918" max="6920" width="9.140625" style="349"/>
    <col min="6921" max="6921" width="12" style="349" bestFit="1" customWidth="1"/>
    <col min="6922" max="6922" width="13.28515625" style="349" customWidth="1"/>
    <col min="6923" max="7168" width="9.140625" style="349"/>
    <col min="7169" max="7169" width="6" style="349" customWidth="1"/>
    <col min="7170" max="7170" width="9.7109375" style="349" bestFit="1" customWidth="1"/>
    <col min="7171" max="7171" width="23.28515625" style="349" customWidth="1"/>
    <col min="7172" max="7172" width="12.28515625" style="349" customWidth="1"/>
    <col min="7173" max="7173" width="23.5703125" style="349" customWidth="1"/>
    <col min="7174" max="7176" width="9.140625" style="349"/>
    <col min="7177" max="7177" width="12" style="349" bestFit="1" customWidth="1"/>
    <col min="7178" max="7178" width="13.28515625" style="349" customWidth="1"/>
    <col min="7179" max="7424" width="9.140625" style="349"/>
    <col min="7425" max="7425" width="6" style="349" customWidth="1"/>
    <col min="7426" max="7426" width="9.7109375" style="349" bestFit="1" customWidth="1"/>
    <col min="7427" max="7427" width="23.28515625" style="349" customWidth="1"/>
    <col min="7428" max="7428" width="12.28515625" style="349" customWidth="1"/>
    <col min="7429" max="7429" width="23.5703125" style="349" customWidth="1"/>
    <col min="7430" max="7432" width="9.140625" style="349"/>
    <col min="7433" max="7433" width="12" style="349" bestFit="1" customWidth="1"/>
    <col min="7434" max="7434" width="13.28515625" style="349" customWidth="1"/>
    <col min="7435" max="7680" width="9.140625" style="349"/>
    <col min="7681" max="7681" width="6" style="349" customWidth="1"/>
    <col min="7682" max="7682" width="9.7109375" style="349" bestFit="1" customWidth="1"/>
    <col min="7683" max="7683" width="23.28515625" style="349" customWidth="1"/>
    <col min="7684" max="7684" width="12.28515625" style="349" customWidth="1"/>
    <col min="7685" max="7685" width="23.5703125" style="349" customWidth="1"/>
    <col min="7686" max="7688" width="9.140625" style="349"/>
    <col min="7689" max="7689" width="12" style="349" bestFit="1" customWidth="1"/>
    <col min="7690" max="7690" width="13.28515625" style="349" customWidth="1"/>
    <col min="7691" max="7936" width="9.140625" style="349"/>
    <col min="7937" max="7937" width="6" style="349" customWidth="1"/>
    <col min="7938" max="7938" width="9.7109375" style="349" bestFit="1" customWidth="1"/>
    <col min="7939" max="7939" width="23.28515625" style="349" customWidth="1"/>
    <col min="7940" max="7940" width="12.28515625" style="349" customWidth="1"/>
    <col min="7941" max="7941" width="23.5703125" style="349" customWidth="1"/>
    <col min="7942" max="7944" width="9.140625" style="349"/>
    <col min="7945" max="7945" width="12" style="349" bestFit="1" customWidth="1"/>
    <col min="7946" max="7946" width="13.28515625" style="349" customWidth="1"/>
    <col min="7947" max="8192" width="9.140625" style="349"/>
    <col min="8193" max="8193" width="6" style="349" customWidth="1"/>
    <col min="8194" max="8194" width="9.7109375" style="349" bestFit="1" customWidth="1"/>
    <col min="8195" max="8195" width="23.28515625" style="349" customWidth="1"/>
    <col min="8196" max="8196" width="12.28515625" style="349" customWidth="1"/>
    <col min="8197" max="8197" width="23.5703125" style="349" customWidth="1"/>
    <col min="8198" max="8200" width="9.140625" style="349"/>
    <col min="8201" max="8201" width="12" style="349" bestFit="1" customWidth="1"/>
    <col min="8202" max="8202" width="13.28515625" style="349" customWidth="1"/>
    <col min="8203" max="8448" width="9.140625" style="349"/>
    <col min="8449" max="8449" width="6" style="349" customWidth="1"/>
    <col min="8450" max="8450" width="9.7109375" style="349" bestFit="1" customWidth="1"/>
    <col min="8451" max="8451" width="23.28515625" style="349" customWidth="1"/>
    <col min="8452" max="8452" width="12.28515625" style="349" customWidth="1"/>
    <col min="8453" max="8453" width="23.5703125" style="349" customWidth="1"/>
    <col min="8454" max="8456" width="9.140625" style="349"/>
    <col min="8457" max="8457" width="12" style="349" bestFit="1" customWidth="1"/>
    <col min="8458" max="8458" width="13.28515625" style="349" customWidth="1"/>
    <col min="8459" max="8704" width="9.140625" style="349"/>
    <col min="8705" max="8705" width="6" style="349" customWidth="1"/>
    <col min="8706" max="8706" width="9.7109375" style="349" bestFit="1" customWidth="1"/>
    <col min="8707" max="8707" width="23.28515625" style="349" customWidth="1"/>
    <col min="8708" max="8708" width="12.28515625" style="349" customWidth="1"/>
    <col min="8709" max="8709" width="23.5703125" style="349" customWidth="1"/>
    <col min="8710" max="8712" width="9.140625" style="349"/>
    <col min="8713" max="8713" width="12" style="349" bestFit="1" customWidth="1"/>
    <col min="8714" max="8714" width="13.28515625" style="349" customWidth="1"/>
    <col min="8715" max="8960" width="9.140625" style="349"/>
    <col min="8961" max="8961" width="6" style="349" customWidth="1"/>
    <col min="8962" max="8962" width="9.7109375" style="349" bestFit="1" customWidth="1"/>
    <col min="8963" max="8963" width="23.28515625" style="349" customWidth="1"/>
    <col min="8964" max="8964" width="12.28515625" style="349" customWidth="1"/>
    <col min="8965" max="8965" width="23.5703125" style="349" customWidth="1"/>
    <col min="8966" max="8968" width="9.140625" style="349"/>
    <col min="8969" max="8969" width="12" style="349" bestFit="1" customWidth="1"/>
    <col min="8970" max="8970" width="13.28515625" style="349" customWidth="1"/>
    <col min="8971" max="9216" width="9.140625" style="349"/>
    <col min="9217" max="9217" width="6" style="349" customWidth="1"/>
    <col min="9218" max="9218" width="9.7109375" style="349" bestFit="1" customWidth="1"/>
    <col min="9219" max="9219" width="23.28515625" style="349" customWidth="1"/>
    <col min="9220" max="9220" width="12.28515625" style="349" customWidth="1"/>
    <col min="9221" max="9221" width="23.5703125" style="349" customWidth="1"/>
    <col min="9222" max="9224" width="9.140625" style="349"/>
    <col min="9225" max="9225" width="12" style="349" bestFit="1" customWidth="1"/>
    <col min="9226" max="9226" width="13.28515625" style="349" customWidth="1"/>
    <col min="9227" max="9472" width="9.140625" style="349"/>
    <col min="9473" max="9473" width="6" style="349" customWidth="1"/>
    <col min="9474" max="9474" width="9.7109375" style="349" bestFit="1" customWidth="1"/>
    <col min="9475" max="9475" width="23.28515625" style="349" customWidth="1"/>
    <col min="9476" max="9476" width="12.28515625" style="349" customWidth="1"/>
    <col min="9477" max="9477" width="23.5703125" style="349" customWidth="1"/>
    <col min="9478" max="9480" width="9.140625" style="349"/>
    <col min="9481" max="9481" width="12" style="349" bestFit="1" customWidth="1"/>
    <col min="9482" max="9482" width="13.28515625" style="349" customWidth="1"/>
    <col min="9483" max="9728" width="9.140625" style="349"/>
    <col min="9729" max="9729" width="6" style="349" customWidth="1"/>
    <col min="9730" max="9730" width="9.7109375" style="349" bestFit="1" customWidth="1"/>
    <col min="9731" max="9731" width="23.28515625" style="349" customWidth="1"/>
    <col min="9732" max="9732" width="12.28515625" style="349" customWidth="1"/>
    <col min="9733" max="9733" width="23.5703125" style="349" customWidth="1"/>
    <col min="9734" max="9736" width="9.140625" style="349"/>
    <col min="9737" max="9737" width="12" style="349" bestFit="1" customWidth="1"/>
    <col min="9738" max="9738" width="13.28515625" style="349" customWidth="1"/>
    <col min="9739" max="9984" width="9.140625" style="349"/>
    <col min="9985" max="9985" width="6" style="349" customWidth="1"/>
    <col min="9986" max="9986" width="9.7109375" style="349" bestFit="1" customWidth="1"/>
    <col min="9987" max="9987" width="23.28515625" style="349" customWidth="1"/>
    <col min="9988" max="9988" width="12.28515625" style="349" customWidth="1"/>
    <col min="9989" max="9989" width="23.5703125" style="349" customWidth="1"/>
    <col min="9990" max="9992" width="9.140625" style="349"/>
    <col min="9993" max="9993" width="12" style="349" bestFit="1" customWidth="1"/>
    <col min="9994" max="9994" width="13.28515625" style="349" customWidth="1"/>
    <col min="9995" max="10240" width="9.140625" style="349"/>
    <col min="10241" max="10241" width="6" style="349" customWidth="1"/>
    <col min="10242" max="10242" width="9.7109375" style="349" bestFit="1" customWidth="1"/>
    <col min="10243" max="10243" width="23.28515625" style="349" customWidth="1"/>
    <col min="10244" max="10244" width="12.28515625" style="349" customWidth="1"/>
    <col min="10245" max="10245" width="23.5703125" style="349" customWidth="1"/>
    <col min="10246" max="10248" width="9.140625" style="349"/>
    <col min="10249" max="10249" width="12" style="349" bestFit="1" customWidth="1"/>
    <col min="10250" max="10250" width="13.28515625" style="349" customWidth="1"/>
    <col min="10251" max="10496" width="9.140625" style="349"/>
    <col min="10497" max="10497" width="6" style="349" customWidth="1"/>
    <col min="10498" max="10498" width="9.7109375" style="349" bestFit="1" customWidth="1"/>
    <col min="10499" max="10499" width="23.28515625" style="349" customWidth="1"/>
    <col min="10500" max="10500" width="12.28515625" style="349" customWidth="1"/>
    <col min="10501" max="10501" width="23.5703125" style="349" customWidth="1"/>
    <col min="10502" max="10504" width="9.140625" style="349"/>
    <col min="10505" max="10505" width="12" style="349" bestFit="1" customWidth="1"/>
    <col min="10506" max="10506" width="13.28515625" style="349" customWidth="1"/>
    <col min="10507" max="10752" width="9.140625" style="349"/>
    <col min="10753" max="10753" width="6" style="349" customWidth="1"/>
    <col min="10754" max="10754" width="9.7109375" style="349" bestFit="1" customWidth="1"/>
    <col min="10755" max="10755" width="23.28515625" style="349" customWidth="1"/>
    <col min="10756" max="10756" width="12.28515625" style="349" customWidth="1"/>
    <col min="10757" max="10757" width="23.5703125" style="349" customWidth="1"/>
    <col min="10758" max="10760" width="9.140625" style="349"/>
    <col min="10761" max="10761" width="12" style="349" bestFit="1" customWidth="1"/>
    <col min="10762" max="10762" width="13.28515625" style="349" customWidth="1"/>
    <col min="10763" max="11008" width="9.140625" style="349"/>
    <col min="11009" max="11009" width="6" style="349" customWidth="1"/>
    <col min="11010" max="11010" width="9.7109375" style="349" bestFit="1" customWidth="1"/>
    <col min="11011" max="11011" width="23.28515625" style="349" customWidth="1"/>
    <col min="11012" max="11012" width="12.28515625" style="349" customWidth="1"/>
    <col min="11013" max="11013" width="23.5703125" style="349" customWidth="1"/>
    <col min="11014" max="11016" width="9.140625" style="349"/>
    <col min="11017" max="11017" width="12" style="349" bestFit="1" customWidth="1"/>
    <col min="11018" max="11018" width="13.28515625" style="349" customWidth="1"/>
    <col min="11019" max="11264" width="9.140625" style="349"/>
    <col min="11265" max="11265" width="6" style="349" customWidth="1"/>
    <col min="11266" max="11266" width="9.7109375" style="349" bestFit="1" customWidth="1"/>
    <col min="11267" max="11267" width="23.28515625" style="349" customWidth="1"/>
    <col min="11268" max="11268" width="12.28515625" style="349" customWidth="1"/>
    <col min="11269" max="11269" width="23.5703125" style="349" customWidth="1"/>
    <col min="11270" max="11272" width="9.140625" style="349"/>
    <col min="11273" max="11273" width="12" style="349" bestFit="1" customWidth="1"/>
    <col min="11274" max="11274" width="13.28515625" style="349" customWidth="1"/>
    <col min="11275" max="11520" width="9.140625" style="349"/>
    <col min="11521" max="11521" width="6" style="349" customWidth="1"/>
    <col min="11522" max="11522" width="9.7109375" style="349" bestFit="1" customWidth="1"/>
    <col min="11523" max="11523" width="23.28515625" style="349" customWidth="1"/>
    <col min="11524" max="11524" width="12.28515625" style="349" customWidth="1"/>
    <col min="11525" max="11525" width="23.5703125" style="349" customWidth="1"/>
    <col min="11526" max="11528" width="9.140625" style="349"/>
    <col min="11529" max="11529" width="12" style="349" bestFit="1" customWidth="1"/>
    <col min="11530" max="11530" width="13.28515625" style="349" customWidth="1"/>
    <col min="11531" max="11776" width="9.140625" style="349"/>
    <col min="11777" max="11777" width="6" style="349" customWidth="1"/>
    <col min="11778" max="11778" width="9.7109375" style="349" bestFit="1" customWidth="1"/>
    <col min="11779" max="11779" width="23.28515625" style="349" customWidth="1"/>
    <col min="11780" max="11780" width="12.28515625" style="349" customWidth="1"/>
    <col min="11781" max="11781" width="23.5703125" style="349" customWidth="1"/>
    <col min="11782" max="11784" width="9.140625" style="349"/>
    <col min="11785" max="11785" width="12" style="349" bestFit="1" customWidth="1"/>
    <col min="11786" max="11786" width="13.28515625" style="349" customWidth="1"/>
    <col min="11787" max="12032" width="9.140625" style="349"/>
    <col min="12033" max="12033" width="6" style="349" customWidth="1"/>
    <col min="12034" max="12034" width="9.7109375" style="349" bestFit="1" customWidth="1"/>
    <col min="12035" max="12035" width="23.28515625" style="349" customWidth="1"/>
    <col min="12036" max="12036" width="12.28515625" style="349" customWidth="1"/>
    <col min="12037" max="12037" width="23.5703125" style="349" customWidth="1"/>
    <col min="12038" max="12040" width="9.140625" style="349"/>
    <col min="12041" max="12041" width="12" style="349" bestFit="1" customWidth="1"/>
    <col min="12042" max="12042" width="13.28515625" style="349" customWidth="1"/>
    <col min="12043" max="12288" width="9.140625" style="349"/>
    <col min="12289" max="12289" width="6" style="349" customWidth="1"/>
    <col min="12290" max="12290" width="9.7109375" style="349" bestFit="1" customWidth="1"/>
    <col min="12291" max="12291" width="23.28515625" style="349" customWidth="1"/>
    <col min="12292" max="12292" width="12.28515625" style="349" customWidth="1"/>
    <col min="12293" max="12293" width="23.5703125" style="349" customWidth="1"/>
    <col min="12294" max="12296" width="9.140625" style="349"/>
    <col min="12297" max="12297" width="12" style="349" bestFit="1" customWidth="1"/>
    <col min="12298" max="12298" width="13.28515625" style="349" customWidth="1"/>
    <col min="12299" max="12544" width="9.140625" style="349"/>
    <col min="12545" max="12545" width="6" style="349" customWidth="1"/>
    <col min="12546" max="12546" width="9.7109375" style="349" bestFit="1" customWidth="1"/>
    <col min="12547" max="12547" width="23.28515625" style="349" customWidth="1"/>
    <col min="12548" max="12548" width="12.28515625" style="349" customWidth="1"/>
    <col min="12549" max="12549" width="23.5703125" style="349" customWidth="1"/>
    <col min="12550" max="12552" width="9.140625" style="349"/>
    <col min="12553" max="12553" width="12" style="349" bestFit="1" customWidth="1"/>
    <col min="12554" max="12554" width="13.28515625" style="349" customWidth="1"/>
    <col min="12555" max="12800" width="9.140625" style="349"/>
    <col min="12801" max="12801" width="6" style="349" customWidth="1"/>
    <col min="12802" max="12802" width="9.7109375" style="349" bestFit="1" customWidth="1"/>
    <col min="12803" max="12803" width="23.28515625" style="349" customWidth="1"/>
    <col min="12804" max="12804" width="12.28515625" style="349" customWidth="1"/>
    <col min="12805" max="12805" width="23.5703125" style="349" customWidth="1"/>
    <col min="12806" max="12808" width="9.140625" style="349"/>
    <col min="12809" max="12809" width="12" style="349" bestFit="1" customWidth="1"/>
    <col min="12810" max="12810" width="13.28515625" style="349" customWidth="1"/>
    <col min="12811" max="13056" width="9.140625" style="349"/>
    <col min="13057" max="13057" width="6" style="349" customWidth="1"/>
    <col min="13058" max="13058" width="9.7109375" style="349" bestFit="1" customWidth="1"/>
    <col min="13059" max="13059" width="23.28515625" style="349" customWidth="1"/>
    <col min="13060" max="13060" width="12.28515625" style="349" customWidth="1"/>
    <col min="13061" max="13061" width="23.5703125" style="349" customWidth="1"/>
    <col min="13062" max="13064" width="9.140625" style="349"/>
    <col min="13065" max="13065" width="12" style="349" bestFit="1" customWidth="1"/>
    <col min="13066" max="13066" width="13.28515625" style="349" customWidth="1"/>
    <col min="13067" max="13312" width="9.140625" style="349"/>
    <col min="13313" max="13313" width="6" style="349" customWidth="1"/>
    <col min="13314" max="13314" width="9.7109375" style="349" bestFit="1" customWidth="1"/>
    <col min="13315" max="13315" width="23.28515625" style="349" customWidth="1"/>
    <col min="13316" max="13316" width="12.28515625" style="349" customWidth="1"/>
    <col min="13317" max="13317" width="23.5703125" style="349" customWidth="1"/>
    <col min="13318" max="13320" width="9.140625" style="349"/>
    <col min="13321" max="13321" width="12" style="349" bestFit="1" customWidth="1"/>
    <col min="13322" max="13322" width="13.28515625" style="349" customWidth="1"/>
    <col min="13323" max="13568" width="9.140625" style="349"/>
    <col min="13569" max="13569" width="6" style="349" customWidth="1"/>
    <col min="13570" max="13570" width="9.7109375" style="349" bestFit="1" customWidth="1"/>
    <col min="13571" max="13571" width="23.28515625" style="349" customWidth="1"/>
    <col min="13572" max="13572" width="12.28515625" style="349" customWidth="1"/>
    <col min="13573" max="13573" width="23.5703125" style="349" customWidth="1"/>
    <col min="13574" max="13576" width="9.140625" style="349"/>
    <col min="13577" max="13577" width="12" style="349" bestFit="1" customWidth="1"/>
    <col min="13578" max="13578" width="13.28515625" style="349" customWidth="1"/>
    <col min="13579" max="13824" width="9.140625" style="349"/>
    <col min="13825" max="13825" width="6" style="349" customWidth="1"/>
    <col min="13826" max="13826" width="9.7109375" style="349" bestFit="1" customWidth="1"/>
    <col min="13827" max="13827" width="23.28515625" style="349" customWidth="1"/>
    <col min="13828" max="13828" width="12.28515625" style="349" customWidth="1"/>
    <col min="13829" max="13829" width="23.5703125" style="349" customWidth="1"/>
    <col min="13830" max="13832" width="9.140625" style="349"/>
    <col min="13833" max="13833" width="12" style="349" bestFit="1" customWidth="1"/>
    <col min="13834" max="13834" width="13.28515625" style="349" customWidth="1"/>
    <col min="13835" max="14080" width="9.140625" style="349"/>
    <col min="14081" max="14081" width="6" style="349" customWidth="1"/>
    <col min="14082" max="14082" width="9.7109375" style="349" bestFit="1" customWidth="1"/>
    <col min="14083" max="14083" width="23.28515625" style="349" customWidth="1"/>
    <col min="14084" max="14084" width="12.28515625" style="349" customWidth="1"/>
    <col min="14085" max="14085" width="23.5703125" style="349" customWidth="1"/>
    <col min="14086" max="14088" width="9.140625" style="349"/>
    <col min="14089" max="14089" width="12" style="349" bestFit="1" customWidth="1"/>
    <col min="14090" max="14090" width="13.28515625" style="349" customWidth="1"/>
    <col min="14091" max="14336" width="9.140625" style="349"/>
    <col min="14337" max="14337" width="6" style="349" customWidth="1"/>
    <col min="14338" max="14338" width="9.7109375" style="349" bestFit="1" customWidth="1"/>
    <col min="14339" max="14339" width="23.28515625" style="349" customWidth="1"/>
    <col min="14340" max="14340" width="12.28515625" style="349" customWidth="1"/>
    <col min="14341" max="14341" width="23.5703125" style="349" customWidth="1"/>
    <col min="14342" max="14344" width="9.140625" style="349"/>
    <col min="14345" max="14345" width="12" style="349" bestFit="1" customWidth="1"/>
    <col min="14346" max="14346" width="13.28515625" style="349" customWidth="1"/>
    <col min="14347" max="14592" width="9.140625" style="349"/>
    <col min="14593" max="14593" width="6" style="349" customWidth="1"/>
    <col min="14594" max="14594" width="9.7109375" style="349" bestFit="1" customWidth="1"/>
    <col min="14595" max="14595" width="23.28515625" style="349" customWidth="1"/>
    <col min="14596" max="14596" width="12.28515625" style="349" customWidth="1"/>
    <col min="14597" max="14597" width="23.5703125" style="349" customWidth="1"/>
    <col min="14598" max="14600" width="9.140625" style="349"/>
    <col min="14601" max="14601" width="12" style="349" bestFit="1" customWidth="1"/>
    <col min="14602" max="14602" width="13.28515625" style="349" customWidth="1"/>
    <col min="14603" max="14848" width="9.140625" style="349"/>
    <col min="14849" max="14849" width="6" style="349" customWidth="1"/>
    <col min="14850" max="14850" width="9.7109375" style="349" bestFit="1" customWidth="1"/>
    <col min="14851" max="14851" width="23.28515625" style="349" customWidth="1"/>
    <col min="14852" max="14852" width="12.28515625" style="349" customWidth="1"/>
    <col min="14853" max="14853" width="23.5703125" style="349" customWidth="1"/>
    <col min="14854" max="14856" width="9.140625" style="349"/>
    <col min="14857" max="14857" width="12" style="349" bestFit="1" customWidth="1"/>
    <col min="14858" max="14858" width="13.28515625" style="349" customWidth="1"/>
    <col min="14859" max="15104" width="9.140625" style="349"/>
    <col min="15105" max="15105" width="6" style="349" customWidth="1"/>
    <col min="15106" max="15106" width="9.7109375" style="349" bestFit="1" customWidth="1"/>
    <col min="15107" max="15107" width="23.28515625" style="349" customWidth="1"/>
    <col min="15108" max="15108" width="12.28515625" style="349" customWidth="1"/>
    <col min="15109" max="15109" width="23.5703125" style="349" customWidth="1"/>
    <col min="15110" max="15112" width="9.140625" style="349"/>
    <col min="15113" max="15113" width="12" style="349" bestFit="1" customWidth="1"/>
    <col min="15114" max="15114" width="13.28515625" style="349" customWidth="1"/>
    <col min="15115" max="15360" width="9.140625" style="349"/>
    <col min="15361" max="15361" width="6" style="349" customWidth="1"/>
    <col min="15362" max="15362" width="9.7109375" style="349" bestFit="1" customWidth="1"/>
    <col min="15363" max="15363" width="23.28515625" style="349" customWidth="1"/>
    <col min="15364" max="15364" width="12.28515625" style="349" customWidth="1"/>
    <col min="15365" max="15365" width="23.5703125" style="349" customWidth="1"/>
    <col min="15366" max="15368" width="9.140625" style="349"/>
    <col min="15369" max="15369" width="12" style="349" bestFit="1" customWidth="1"/>
    <col min="15370" max="15370" width="13.28515625" style="349" customWidth="1"/>
    <col min="15371" max="15616" width="9.140625" style="349"/>
    <col min="15617" max="15617" width="6" style="349" customWidth="1"/>
    <col min="15618" max="15618" width="9.7109375" style="349" bestFit="1" customWidth="1"/>
    <col min="15619" max="15619" width="23.28515625" style="349" customWidth="1"/>
    <col min="15620" max="15620" width="12.28515625" style="349" customWidth="1"/>
    <col min="15621" max="15621" width="23.5703125" style="349" customWidth="1"/>
    <col min="15622" max="15624" width="9.140625" style="349"/>
    <col min="15625" max="15625" width="12" style="349" bestFit="1" customWidth="1"/>
    <col min="15626" max="15626" width="13.28515625" style="349" customWidth="1"/>
    <col min="15627" max="15872" width="9.140625" style="349"/>
    <col min="15873" max="15873" width="6" style="349" customWidth="1"/>
    <col min="15874" max="15874" width="9.7109375" style="349" bestFit="1" customWidth="1"/>
    <col min="15875" max="15875" width="23.28515625" style="349" customWidth="1"/>
    <col min="15876" max="15876" width="12.28515625" style="349" customWidth="1"/>
    <col min="15877" max="15877" width="23.5703125" style="349" customWidth="1"/>
    <col min="15878" max="15880" width="9.140625" style="349"/>
    <col min="15881" max="15881" width="12" style="349" bestFit="1" customWidth="1"/>
    <col min="15882" max="15882" width="13.28515625" style="349" customWidth="1"/>
    <col min="15883" max="16128" width="9.140625" style="349"/>
    <col min="16129" max="16129" width="6" style="349" customWidth="1"/>
    <col min="16130" max="16130" width="9.7109375" style="349" bestFit="1" customWidth="1"/>
    <col min="16131" max="16131" width="23.28515625" style="349" customWidth="1"/>
    <col min="16132" max="16132" width="12.28515625" style="349" customWidth="1"/>
    <col min="16133" max="16133" width="23.5703125" style="349" customWidth="1"/>
    <col min="16134" max="16136" width="9.140625" style="349"/>
    <col min="16137" max="16137" width="12" style="349" bestFit="1" customWidth="1"/>
    <col min="16138" max="16138" width="13.28515625" style="349" customWidth="1"/>
    <col min="16139" max="16384" width="9.140625" style="349"/>
  </cols>
  <sheetData>
    <row r="3" spans="2:10" s="311" customFormat="1" ht="17.25" customHeight="1">
      <c r="B3" s="344"/>
      <c r="C3" s="345"/>
      <c r="D3" s="345"/>
      <c r="E3" s="345"/>
      <c r="H3" s="345"/>
    </row>
    <row r="4" spans="2:10" s="316" customFormat="1" ht="21" customHeight="1">
      <c r="G4" s="311"/>
    </row>
    <row r="5" spans="2:10" s="345" customFormat="1" ht="35.25" customHeight="1">
      <c r="B5" s="346" t="s">
        <v>3615</v>
      </c>
      <c r="C5" s="346"/>
    </row>
    <row r="7" spans="2:10" ht="25.5" customHeight="1">
      <c r="B7" s="347" t="s">
        <v>3616</v>
      </c>
      <c r="C7" s="348"/>
      <c r="D7" s="348"/>
      <c r="E7" s="348"/>
      <c r="F7" s="348"/>
    </row>
    <row r="8" spans="2:10" ht="18.75" customHeight="1" thickBot="1">
      <c r="B8" s="350" t="s">
        <v>3617</v>
      </c>
      <c r="C8" s="350" t="s">
        <v>3618</v>
      </c>
      <c r="D8" s="350" t="s">
        <v>3553</v>
      </c>
      <c r="E8" s="350" t="s">
        <v>3619</v>
      </c>
      <c r="F8" s="350" t="s">
        <v>3620</v>
      </c>
      <c r="I8" s="351" t="s">
        <v>3619</v>
      </c>
      <c r="J8" s="351" t="s">
        <v>3620</v>
      </c>
    </row>
    <row r="9" spans="2:10">
      <c r="B9" s="352">
        <v>1</v>
      </c>
      <c r="C9" s="352">
        <v>891</v>
      </c>
      <c r="D9" s="353" t="s">
        <v>3621</v>
      </c>
      <c r="E9" s="352" t="s">
        <v>3622</v>
      </c>
      <c r="F9" s="353" t="str">
        <f>VLOOKUP(E9,$I$8:$J$17,2,FALSE)</f>
        <v>India</v>
      </c>
      <c r="I9" s="352" t="s">
        <v>3622</v>
      </c>
      <c r="J9" s="353" t="s">
        <v>3623</v>
      </c>
    </row>
    <row r="10" spans="2:10">
      <c r="B10" s="354">
        <v>2</v>
      </c>
      <c r="C10" s="354">
        <v>874</v>
      </c>
      <c r="D10" s="355" t="s">
        <v>3624</v>
      </c>
      <c r="E10" s="354" t="s">
        <v>3625</v>
      </c>
      <c r="F10" s="353" t="str">
        <f t="shared" ref="F10:F73" si="0">VLOOKUP(E10,$I$8:$J$17,2,FALSE)</f>
        <v>Sri Lanka</v>
      </c>
      <c r="I10" s="354" t="s">
        <v>3625</v>
      </c>
      <c r="J10" s="355" t="s">
        <v>3626</v>
      </c>
    </row>
    <row r="11" spans="2:10">
      <c r="B11" s="352">
        <v>3</v>
      </c>
      <c r="C11" s="352">
        <v>819</v>
      </c>
      <c r="D11" s="353" t="s">
        <v>3627</v>
      </c>
      <c r="E11" s="352" t="s">
        <v>3622</v>
      </c>
      <c r="F11" s="353" t="str">
        <f t="shared" si="0"/>
        <v>India</v>
      </c>
      <c r="I11" s="352" t="s">
        <v>3628</v>
      </c>
      <c r="J11" s="353" t="s">
        <v>3629</v>
      </c>
    </row>
    <row r="12" spans="2:10">
      <c r="B12" s="354">
        <v>4</v>
      </c>
      <c r="C12" s="354">
        <v>807</v>
      </c>
      <c r="D12" s="355" t="s">
        <v>3630</v>
      </c>
      <c r="E12" s="354" t="s">
        <v>3628</v>
      </c>
      <c r="F12" s="353" t="str">
        <f t="shared" si="0"/>
        <v>West Indies</v>
      </c>
      <c r="I12" s="354" t="s">
        <v>3631</v>
      </c>
      <c r="J12" s="355" t="s">
        <v>3632</v>
      </c>
    </row>
    <row r="13" spans="2:10">
      <c r="B13" s="352">
        <v>5</v>
      </c>
      <c r="C13" s="352">
        <v>807</v>
      </c>
      <c r="D13" s="353" t="s">
        <v>3633</v>
      </c>
      <c r="E13" s="352" t="s">
        <v>3625</v>
      </c>
      <c r="F13" s="353" t="str">
        <f t="shared" si="0"/>
        <v>Sri Lanka</v>
      </c>
      <c r="I13" s="352" t="s">
        <v>3634</v>
      </c>
      <c r="J13" s="353" t="s">
        <v>3635</v>
      </c>
    </row>
    <row r="14" spans="2:10">
      <c r="B14" s="354">
        <v>5</v>
      </c>
      <c r="C14" s="354">
        <v>791</v>
      </c>
      <c r="D14" s="355" t="s">
        <v>3636</v>
      </c>
      <c r="E14" s="354" t="s">
        <v>3631</v>
      </c>
      <c r="F14" s="353" t="str">
        <f t="shared" si="0"/>
        <v>South Africa</v>
      </c>
      <c r="I14" s="354" t="s">
        <v>3637</v>
      </c>
      <c r="J14" s="355" t="s">
        <v>3638</v>
      </c>
    </row>
    <row r="15" spans="2:10">
      <c r="B15" s="352">
        <v>7</v>
      </c>
      <c r="C15" s="352">
        <v>787</v>
      </c>
      <c r="D15" s="353" t="s">
        <v>3639</v>
      </c>
      <c r="E15" s="352" t="s">
        <v>3631</v>
      </c>
      <c r="F15" s="353" t="str">
        <f t="shared" si="0"/>
        <v>South Africa</v>
      </c>
      <c r="I15" s="352" t="s">
        <v>3640</v>
      </c>
      <c r="J15" s="353" t="s">
        <v>3641</v>
      </c>
    </row>
    <row r="16" spans="2:10">
      <c r="B16" s="354">
        <v>8</v>
      </c>
      <c r="C16" s="354">
        <v>767</v>
      </c>
      <c r="D16" s="355" t="s">
        <v>3642</v>
      </c>
      <c r="E16" s="354" t="s">
        <v>3622</v>
      </c>
      <c r="F16" s="353" t="str">
        <f t="shared" si="0"/>
        <v>India</v>
      </c>
      <c r="I16" s="354" t="s">
        <v>3643</v>
      </c>
      <c r="J16" s="355" t="s">
        <v>3644</v>
      </c>
    </row>
    <row r="17" spans="2:10">
      <c r="B17" s="352">
        <v>9</v>
      </c>
      <c r="C17" s="352">
        <v>766</v>
      </c>
      <c r="D17" s="353" t="s">
        <v>3645</v>
      </c>
      <c r="E17" s="352" t="s">
        <v>3634</v>
      </c>
      <c r="F17" s="353" t="str">
        <f t="shared" si="0"/>
        <v>New Zealand</v>
      </c>
      <c r="I17" s="352" t="s">
        <v>3646</v>
      </c>
      <c r="J17" s="353" t="s">
        <v>3647</v>
      </c>
    </row>
    <row r="18" spans="2:10">
      <c r="B18" s="354">
        <v>10</v>
      </c>
      <c r="C18" s="354">
        <v>762</v>
      </c>
      <c r="D18" s="355" t="s">
        <v>3648</v>
      </c>
      <c r="E18" s="354" t="s">
        <v>3631</v>
      </c>
      <c r="F18" s="353" t="str">
        <f t="shared" si="0"/>
        <v>South Africa</v>
      </c>
    </row>
    <row r="19" spans="2:10">
      <c r="B19" s="352">
        <v>11</v>
      </c>
      <c r="C19" s="352">
        <v>748</v>
      </c>
      <c r="D19" s="353" t="s">
        <v>3649</v>
      </c>
      <c r="E19" s="352" t="s">
        <v>3625</v>
      </c>
      <c r="F19" s="353" t="str">
        <f t="shared" si="0"/>
        <v>Sri Lanka</v>
      </c>
    </row>
    <row r="20" spans="2:10">
      <c r="B20" s="354">
        <v>12</v>
      </c>
      <c r="C20" s="354">
        <v>745</v>
      </c>
      <c r="D20" s="355" t="s">
        <v>3650</v>
      </c>
      <c r="E20" s="354" t="s">
        <v>3631</v>
      </c>
      <c r="F20" s="353" t="str">
        <f t="shared" si="0"/>
        <v>South Africa</v>
      </c>
    </row>
    <row r="21" spans="2:10">
      <c r="B21" s="352">
        <v>13</v>
      </c>
      <c r="C21" s="352">
        <v>738</v>
      </c>
      <c r="D21" s="353" t="s">
        <v>3651</v>
      </c>
      <c r="E21" s="352" t="s">
        <v>3637</v>
      </c>
      <c r="F21" s="353" t="str">
        <f t="shared" si="0"/>
        <v>Australia</v>
      </c>
    </row>
    <row r="22" spans="2:10">
      <c r="B22" s="354">
        <v>14</v>
      </c>
      <c r="C22" s="354">
        <v>735</v>
      </c>
      <c r="D22" s="355" t="s">
        <v>3652</v>
      </c>
      <c r="E22" s="354" t="s">
        <v>3637</v>
      </c>
      <c r="F22" s="353" t="str">
        <f t="shared" si="0"/>
        <v>Australia</v>
      </c>
    </row>
    <row r="23" spans="2:10" s="356" customFormat="1">
      <c r="B23" s="352">
        <v>15</v>
      </c>
      <c r="C23" s="352">
        <v>733</v>
      </c>
      <c r="D23" s="353" t="s">
        <v>3653</v>
      </c>
      <c r="E23" s="352" t="s">
        <v>3640</v>
      </c>
      <c r="F23" s="353" t="str">
        <f t="shared" si="0"/>
        <v>England</v>
      </c>
    </row>
    <row r="24" spans="2:10" s="356" customFormat="1">
      <c r="B24" s="354">
        <v>16</v>
      </c>
      <c r="C24" s="354">
        <v>731</v>
      </c>
      <c r="D24" s="355" t="s">
        <v>3654</v>
      </c>
      <c r="E24" s="354" t="s">
        <v>3637</v>
      </c>
      <c r="F24" s="353" t="str">
        <f t="shared" si="0"/>
        <v>Australia</v>
      </c>
    </row>
    <row r="25" spans="2:10" s="356" customFormat="1">
      <c r="B25" s="352">
        <v>17</v>
      </c>
      <c r="C25" s="352">
        <v>717</v>
      </c>
      <c r="D25" s="353" t="s">
        <v>3655</v>
      </c>
      <c r="E25" s="352" t="s">
        <v>3622</v>
      </c>
      <c r="F25" s="353" t="str">
        <f t="shared" si="0"/>
        <v>India</v>
      </c>
    </row>
    <row r="26" spans="2:10" s="356" customFormat="1">
      <c r="B26" s="354">
        <v>17</v>
      </c>
      <c r="C26" s="354">
        <v>717</v>
      </c>
      <c r="D26" s="355" t="s">
        <v>3656</v>
      </c>
      <c r="E26" s="354" t="s">
        <v>3643</v>
      </c>
      <c r="F26" s="353" t="str">
        <f t="shared" si="0"/>
        <v>Pakistan</v>
      </c>
    </row>
    <row r="27" spans="2:10" s="356" customFormat="1">
      <c r="B27" s="352">
        <v>19</v>
      </c>
      <c r="C27" s="352">
        <v>710</v>
      </c>
      <c r="D27" s="353" t="s">
        <v>3657</v>
      </c>
      <c r="E27" s="352" t="s">
        <v>3643</v>
      </c>
      <c r="F27" s="353" t="str">
        <f t="shared" si="0"/>
        <v>Pakistan</v>
      </c>
    </row>
    <row r="28" spans="2:10" s="356" customFormat="1">
      <c r="B28" s="354">
        <v>20</v>
      </c>
      <c r="C28" s="354">
        <v>707</v>
      </c>
      <c r="D28" s="355" t="s">
        <v>3658</v>
      </c>
      <c r="E28" s="354" t="s">
        <v>3646</v>
      </c>
      <c r="F28" s="353" t="str">
        <f t="shared" si="0"/>
        <v>Bangladesh</v>
      </c>
    </row>
    <row r="29" spans="2:10" s="356" customFormat="1">
      <c r="B29" s="352">
        <v>21</v>
      </c>
      <c r="C29" s="352">
        <v>670</v>
      </c>
      <c r="D29" s="353" t="s">
        <v>3659</v>
      </c>
      <c r="E29" s="352" t="s">
        <v>3628</v>
      </c>
      <c r="F29" s="353" t="str">
        <f t="shared" si="0"/>
        <v>West Indies</v>
      </c>
    </row>
    <row r="30" spans="2:10" s="356" customFormat="1">
      <c r="B30" s="354">
        <v>22</v>
      </c>
      <c r="C30" s="354">
        <v>657</v>
      </c>
      <c r="D30" s="355" t="s">
        <v>3660</v>
      </c>
      <c r="E30" s="354" t="s">
        <v>3622</v>
      </c>
      <c r="F30" s="353" t="str">
        <f t="shared" si="0"/>
        <v>India</v>
      </c>
    </row>
    <row r="31" spans="2:10" s="356" customFormat="1">
      <c r="B31" s="352">
        <v>23</v>
      </c>
      <c r="C31" s="352">
        <v>648</v>
      </c>
      <c r="D31" s="353" t="s">
        <v>3661</v>
      </c>
      <c r="E31" s="352" t="s">
        <v>3640</v>
      </c>
      <c r="F31" s="353" t="str">
        <f t="shared" si="0"/>
        <v>England</v>
      </c>
    </row>
    <row r="32" spans="2:10" s="356" customFormat="1">
      <c r="B32" s="354">
        <v>24</v>
      </c>
      <c r="C32" s="354">
        <v>647</v>
      </c>
      <c r="D32" s="355" t="s">
        <v>3662</v>
      </c>
      <c r="E32" s="354" t="s">
        <v>3637</v>
      </c>
      <c r="F32" s="353" t="str">
        <f t="shared" si="0"/>
        <v>Australia</v>
      </c>
    </row>
    <row r="33" spans="2:6" s="356" customFormat="1">
      <c r="B33" s="352">
        <v>25</v>
      </c>
      <c r="C33" s="352">
        <v>647</v>
      </c>
      <c r="D33" s="353" t="s">
        <v>3663</v>
      </c>
      <c r="E33" s="352" t="s">
        <v>3625</v>
      </c>
      <c r="F33" s="353" t="str">
        <f t="shared" si="0"/>
        <v>Sri Lanka</v>
      </c>
    </row>
    <row r="34" spans="2:6" s="356" customFormat="1">
      <c r="B34" s="354">
        <v>26</v>
      </c>
      <c r="C34" s="354">
        <v>646</v>
      </c>
      <c r="D34" s="355" t="s">
        <v>3664</v>
      </c>
      <c r="E34" s="354" t="s">
        <v>3634</v>
      </c>
      <c r="F34" s="353" t="str">
        <f t="shared" si="0"/>
        <v>New Zealand</v>
      </c>
    </row>
    <row r="35" spans="2:6" s="356" customFormat="1">
      <c r="B35" s="352">
        <v>27</v>
      </c>
      <c r="C35" s="352">
        <v>644</v>
      </c>
      <c r="D35" s="353" t="s">
        <v>3665</v>
      </c>
      <c r="E35" s="352" t="s">
        <v>3640</v>
      </c>
      <c r="F35" s="353" t="str">
        <f t="shared" si="0"/>
        <v>England</v>
      </c>
    </row>
    <row r="36" spans="2:6" s="356" customFormat="1">
      <c r="B36" s="354">
        <v>28</v>
      </c>
      <c r="C36" s="354">
        <v>642</v>
      </c>
      <c r="D36" s="355" t="s">
        <v>3666</v>
      </c>
      <c r="E36" s="354" t="s">
        <v>3640</v>
      </c>
      <c r="F36" s="353" t="str">
        <f t="shared" si="0"/>
        <v>England</v>
      </c>
    </row>
    <row r="37" spans="2:6" s="356" customFormat="1">
      <c r="B37" s="352">
        <v>29</v>
      </c>
      <c r="C37" s="352">
        <v>640</v>
      </c>
      <c r="D37" s="353" t="s">
        <v>3667</v>
      </c>
      <c r="E37" s="352" t="s">
        <v>3628</v>
      </c>
      <c r="F37" s="353" t="str">
        <f t="shared" si="0"/>
        <v>West Indies</v>
      </c>
    </row>
    <row r="38" spans="2:6" s="356" customFormat="1">
      <c r="B38" s="354">
        <v>30</v>
      </c>
      <c r="C38" s="354">
        <v>633</v>
      </c>
      <c r="D38" s="355" t="s">
        <v>3668</v>
      </c>
      <c r="E38" s="354" t="s">
        <v>3631</v>
      </c>
      <c r="F38" s="353" t="str">
        <f t="shared" si="0"/>
        <v>South Africa</v>
      </c>
    </row>
    <row r="39" spans="2:6" s="356" customFormat="1">
      <c r="B39" s="352">
        <v>31</v>
      </c>
      <c r="C39" s="352">
        <v>627</v>
      </c>
      <c r="D39" s="353" t="s">
        <v>3669</v>
      </c>
      <c r="E39" s="352" t="s">
        <v>3640</v>
      </c>
      <c r="F39" s="353" t="str">
        <f t="shared" si="0"/>
        <v>England</v>
      </c>
    </row>
    <row r="40" spans="2:6" s="356" customFormat="1">
      <c r="B40" s="354">
        <v>32</v>
      </c>
      <c r="C40" s="354">
        <v>626</v>
      </c>
      <c r="D40" s="355" t="s">
        <v>3670</v>
      </c>
      <c r="E40" s="354" t="s">
        <v>3637</v>
      </c>
      <c r="F40" s="353" t="str">
        <f t="shared" si="0"/>
        <v>Australia</v>
      </c>
    </row>
    <row r="41" spans="2:6" s="356" customFormat="1">
      <c r="B41" s="352">
        <v>33</v>
      </c>
      <c r="C41" s="352">
        <v>617</v>
      </c>
      <c r="D41" s="353" t="s">
        <v>3671</v>
      </c>
      <c r="E41" s="352" t="s">
        <v>3640</v>
      </c>
      <c r="F41" s="353" t="str">
        <f t="shared" si="0"/>
        <v>England</v>
      </c>
    </row>
    <row r="42" spans="2:6" s="356" customFormat="1">
      <c r="B42" s="354">
        <v>34</v>
      </c>
      <c r="C42" s="354">
        <v>611</v>
      </c>
      <c r="D42" s="355" t="s">
        <v>3672</v>
      </c>
      <c r="E42" s="354" t="s">
        <v>3640</v>
      </c>
      <c r="F42" s="353" t="str">
        <f t="shared" si="0"/>
        <v>England</v>
      </c>
    </row>
    <row r="43" spans="2:6" s="356" customFormat="1">
      <c r="B43" s="352">
        <v>35</v>
      </c>
      <c r="C43" s="352">
        <v>603</v>
      </c>
      <c r="D43" s="353" t="s">
        <v>3673</v>
      </c>
      <c r="E43" s="352" t="s">
        <v>3634</v>
      </c>
      <c r="F43" s="353" t="str">
        <f t="shared" si="0"/>
        <v>New Zealand</v>
      </c>
    </row>
    <row r="44" spans="2:6" s="356" customFormat="1">
      <c r="B44" s="354">
        <v>36</v>
      </c>
      <c r="C44" s="354">
        <v>600</v>
      </c>
      <c r="D44" s="355" t="s">
        <v>3674</v>
      </c>
      <c r="E44" s="354" t="s">
        <v>3643</v>
      </c>
      <c r="F44" s="353" t="str">
        <f t="shared" si="0"/>
        <v>Pakistan</v>
      </c>
    </row>
    <row r="45" spans="2:6" s="356" customFormat="1">
      <c r="B45" s="352">
        <v>37</v>
      </c>
      <c r="C45" s="352">
        <v>593</v>
      </c>
      <c r="D45" s="353" t="s">
        <v>3675</v>
      </c>
      <c r="E45" s="352" t="s">
        <v>3622</v>
      </c>
      <c r="F45" s="353" t="str">
        <f t="shared" si="0"/>
        <v>India</v>
      </c>
    </row>
    <row r="46" spans="2:6" s="356" customFormat="1">
      <c r="B46" s="354">
        <v>38</v>
      </c>
      <c r="C46" s="354">
        <v>586</v>
      </c>
      <c r="D46" s="355" t="s">
        <v>3676</v>
      </c>
      <c r="E46" s="354" t="s">
        <v>3643</v>
      </c>
      <c r="F46" s="353" t="str">
        <f t="shared" si="0"/>
        <v>Pakistan</v>
      </c>
    </row>
    <row r="47" spans="2:6" s="356" customFormat="1">
      <c r="B47" s="352">
        <v>39</v>
      </c>
      <c r="C47" s="352">
        <v>553</v>
      </c>
      <c r="D47" s="353" t="s">
        <v>3677</v>
      </c>
      <c r="E47" s="352" t="s">
        <v>3637</v>
      </c>
      <c r="F47" s="353" t="str">
        <f t="shared" si="0"/>
        <v>Australia</v>
      </c>
    </row>
    <row r="48" spans="2:6" s="356" customFormat="1">
      <c r="B48" s="354">
        <v>40</v>
      </c>
      <c r="C48" s="354">
        <v>550</v>
      </c>
      <c r="D48" s="355" t="s">
        <v>3678</v>
      </c>
      <c r="E48" s="354" t="s">
        <v>3631</v>
      </c>
      <c r="F48" s="353" t="str">
        <f t="shared" si="0"/>
        <v>South Africa</v>
      </c>
    </row>
    <row r="49" spans="2:6" s="356" customFormat="1">
      <c r="B49" s="352">
        <v>41</v>
      </c>
      <c r="C49" s="352">
        <v>530</v>
      </c>
      <c r="D49" s="353" t="s">
        <v>3679</v>
      </c>
      <c r="E49" s="352" t="s">
        <v>3634</v>
      </c>
      <c r="F49" s="353" t="str">
        <f t="shared" si="0"/>
        <v>New Zealand</v>
      </c>
    </row>
    <row r="50" spans="2:6" s="356" customFormat="1">
      <c r="B50" s="354">
        <v>42</v>
      </c>
      <c r="C50" s="354">
        <v>529</v>
      </c>
      <c r="D50" s="355" t="s">
        <v>3680</v>
      </c>
      <c r="E50" s="354" t="s">
        <v>3637</v>
      </c>
      <c r="F50" s="353" t="str">
        <f t="shared" si="0"/>
        <v>Australia</v>
      </c>
    </row>
    <row r="51" spans="2:6" s="356" customFormat="1">
      <c r="B51" s="352">
        <v>43</v>
      </c>
      <c r="C51" s="352">
        <v>525</v>
      </c>
      <c r="D51" s="353" t="s">
        <v>3681</v>
      </c>
      <c r="E51" s="352" t="s">
        <v>3643</v>
      </c>
      <c r="F51" s="353" t="str">
        <f t="shared" si="0"/>
        <v>Pakistan</v>
      </c>
    </row>
    <row r="52" spans="2:6" s="356" customFormat="1">
      <c r="B52" s="354">
        <v>44</v>
      </c>
      <c r="C52" s="354">
        <v>522</v>
      </c>
      <c r="D52" s="355" t="s">
        <v>3682</v>
      </c>
      <c r="E52" s="354" t="s">
        <v>3628</v>
      </c>
      <c r="F52" s="353" t="str">
        <f t="shared" si="0"/>
        <v>West Indies</v>
      </c>
    </row>
    <row r="53" spans="2:6" s="356" customFormat="1">
      <c r="B53" s="352">
        <v>44</v>
      </c>
      <c r="C53" s="352">
        <v>522</v>
      </c>
      <c r="D53" s="353" t="s">
        <v>3683</v>
      </c>
      <c r="E53" s="352" t="s">
        <v>3646</v>
      </c>
      <c r="F53" s="353" t="str">
        <f t="shared" si="0"/>
        <v>Bangladesh</v>
      </c>
    </row>
    <row r="54" spans="2:6" s="356" customFormat="1">
      <c r="B54" s="354">
        <v>46</v>
      </c>
      <c r="C54" s="354">
        <v>511</v>
      </c>
      <c r="D54" s="355" t="s">
        <v>3684</v>
      </c>
      <c r="E54" s="354" t="s">
        <v>3637</v>
      </c>
      <c r="F54" s="353" t="str">
        <f t="shared" si="0"/>
        <v>Australia</v>
      </c>
    </row>
    <row r="55" spans="2:6" s="356" customFormat="1">
      <c r="B55" s="352">
        <v>47</v>
      </c>
      <c r="C55" s="352">
        <v>505</v>
      </c>
      <c r="D55" s="353" t="s">
        <v>3685</v>
      </c>
      <c r="E55" s="352" t="s">
        <v>3646</v>
      </c>
      <c r="F55" s="353" t="str">
        <f t="shared" si="0"/>
        <v>Bangladesh</v>
      </c>
    </row>
    <row r="56" spans="2:6" s="356" customFormat="1">
      <c r="B56" s="354">
        <v>48</v>
      </c>
      <c r="C56" s="354">
        <v>496</v>
      </c>
      <c r="D56" s="355" t="s">
        <v>3686</v>
      </c>
      <c r="E56" s="354" t="s">
        <v>3628</v>
      </c>
      <c r="F56" s="353" t="str">
        <f t="shared" si="0"/>
        <v>West Indies</v>
      </c>
    </row>
    <row r="57" spans="2:6" s="356" customFormat="1">
      <c r="B57" s="352">
        <v>49</v>
      </c>
      <c r="C57" s="352">
        <v>490</v>
      </c>
      <c r="D57" s="353" t="s">
        <v>3687</v>
      </c>
      <c r="E57" s="352" t="s">
        <v>3640</v>
      </c>
      <c r="F57" s="353" t="str">
        <f t="shared" si="0"/>
        <v>England</v>
      </c>
    </row>
    <row r="58" spans="2:6" s="356" customFormat="1">
      <c r="B58" s="354">
        <v>50</v>
      </c>
      <c r="C58" s="354">
        <v>470</v>
      </c>
      <c r="D58" s="355" t="s">
        <v>3688</v>
      </c>
      <c r="E58" s="354" t="s">
        <v>3646</v>
      </c>
      <c r="F58" s="353" t="str">
        <f t="shared" si="0"/>
        <v>Bangladesh</v>
      </c>
    </row>
    <row r="59" spans="2:6" s="356" customFormat="1">
      <c r="B59" s="352">
        <v>51</v>
      </c>
      <c r="C59" s="352">
        <v>464</v>
      </c>
      <c r="D59" s="353" t="s">
        <v>3689</v>
      </c>
      <c r="E59" s="352" t="s">
        <v>3634</v>
      </c>
      <c r="F59" s="353" t="str">
        <f t="shared" si="0"/>
        <v>New Zealand</v>
      </c>
    </row>
    <row r="60" spans="2:6" s="356" customFormat="1">
      <c r="B60" s="354">
        <v>51</v>
      </c>
      <c r="C60" s="354">
        <v>464</v>
      </c>
      <c r="D60" s="355" t="s">
        <v>3690</v>
      </c>
      <c r="E60" s="354" t="s">
        <v>3643</v>
      </c>
      <c r="F60" s="353" t="str">
        <f t="shared" si="0"/>
        <v>Pakistan</v>
      </c>
    </row>
    <row r="61" spans="2:6" s="356" customFormat="1">
      <c r="B61" s="352">
        <v>53</v>
      </c>
      <c r="C61" s="352">
        <v>457</v>
      </c>
      <c r="D61" s="353" t="s">
        <v>3691</v>
      </c>
      <c r="E61" s="352" t="s">
        <v>3625</v>
      </c>
      <c r="F61" s="353" t="str">
        <f t="shared" si="0"/>
        <v>Sri Lanka</v>
      </c>
    </row>
    <row r="62" spans="2:6" s="356" customFormat="1">
      <c r="B62" s="354">
        <v>54</v>
      </c>
      <c r="C62" s="354">
        <v>456</v>
      </c>
      <c r="D62" s="355" t="s">
        <v>3692</v>
      </c>
      <c r="E62" s="354" t="s">
        <v>3643</v>
      </c>
      <c r="F62" s="353" t="str">
        <f t="shared" si="0"/>
        <v>Pakistan</v>
      </c>
    </row>
    <row r="63" spans="2:6" s="356" customFormat="1">
      <c r="B63" s="352">
        <v>55</v>
      </c>
      <c r="C63" s="352">
        <v>455</v>
      </c>
      <c r="D63" s="353" t="s">
        <v>3693</v>
      </c>
      <c r="E63" s="352" t="s">
        <v>3643</v>
      </c>
      <c r="F63" s="353" t="str">
        <f t="shared" si="0"/>
        <v>Pakistan</v>
      </c>
    </row>
    <row r="64" spans="2:6" s="356" customFormat="1">
      <c r="B64" s="354">
        <v>56</v>
      </c>
      <c r="C64" s="354">
        <v>453</v>
      </c>
      <c r="D64" s="355" t="s">
        <v>3694</v>
      </c>
      <c r="E64" s="354" t="s">
        <v>3634</v>
      </c>
      <c r="F64" s="353" t="str">
        <f t="shared" si="0"/>
        <v>New Zealand</v>
      </c>
    </row>
    <row r="65" spans="2:6" s="356" customFormat="1">
      <c r="B65" s="352">
        <v>57</v>
      </c>
      <c r="C65" s="352">
        <v>449</v>
      </c>
      <c r="D65" s="353" t="s">
        <v>3695</v>
      </c>
      <c r="E65" s="352" t="s">
        <v>3622</v>
      </c>
      <c r="F65" s="353" t="str">
        <f t="shared" si="0"/>
        <v>India</v>
      </c>
    </row>
    <row r="66" spans="2:6" s="356" customFormat="1">
      <c r="B66" s="354">
        <v>58</v>
      </c>
      <c r="C66" s="354">
        <v>446</v>
      </c>
      <c r="D66" s="355" t="s">
        <v>3696</v>
      </c>
      <c r="E66" s="354" t="s">
        <v>3622</v>
      </c>
      <c r="F66" s="353" t="str">
        <f t="shared" si="0"/>
        <v>India</v>
      </c>
    </row>
    <row r="67" spans="2:6" s="356" customFormat="1">
      <c r="B67" s="352">
        <v>59</v>
      </c>
      <c r="C67" s="352">
        <v>442</v>
      </c>
      <c r="D67" s="353" t="s">
        <v>3697</v>
      </c>
      <c r="E67" s="352" t="s">
        <v>3622</v>
      </c>
      <c r="F67" s="353" t="str">
        <f t="shared" si="0"/>
        <v>India</v>
      </c>
    </row>
    <row r="68" spans="2:6" s="356" customFormat="1">
      <c r="B68" s="354">
        <v>60</v>
      </c>
      <c r="C68" s="354">
        <v>439</v>
      </c>
      <c r="D68" s="355" t="s">
        <v>3698</v>
      </c>
      <c r="E68" s="354" t="s">
        <v>3646</v>
      </c>
      <c r="F68" s="353" t="str">
        <f t="shared" si="0"/>
        <v>Bangladesh</v>
      </c>
    </row>
    <row r="69" spans="2:6" s="356" customFormat="1">
      <c r="B69" s="352">
        <v>60</v>
      </c>
      <c r="C69" s="352">
        <v>424</v>
      </c>
      <c r="D69" s="353" t="s">
        <v>3699</v>
      </c>
      <c r="E69" s="352" t="s">
        <v>3643</v>
      </c>
      <c r="F69" s="353" t="str">
        <f t="shared" si="0"/>
        <v>Pakistan</v>
      </c>
    </row>
    <row r="70" spans="2:6" s="356" customFormat="1">
      <c r="B70" s="354">
        <v>62</v>
      </c>
      <c r="C70" s="354">
        <v>408</v>
      </c>
      <c r="D70" s="355" t="s">
        <v>3700</v>
      </c>
      <c r="E70" s="354" t="s">
        <v>3625</v>
      </c>
      <c r="F70" s="353" t="str">
        <f t="shared" si="0"/>
        <v>Sri Lanka</v>
      </c>
    </row>
    <row r="71" spans="2:6" s="356" customFormat="1">
      <c r="B71" s="352">
        <v>63</v>
      </c>
      <c r="C71" s="352">
        <v>403</v>
      </c>
      <c r="D71" s="353" t="s">
        <v>3701</v>
      </c>
      <c r="E71" s="352" t="s">
        <v>3643</v>
      </c>
      <c r="F71" s="353" t="str">
        <f t="shared" si="0"/>
        <v>Pakistan</v>
      </c>
    </row>
    <row r="72" spans="2:6" s="356" customFormat="1">
      <c r="B72" s="354">
        <v>64</v>
      </c>
      <c r="C72" s="354">
        <v>400</v>
      </c>
      <c r="D72" s="355" t="s">
        <v>3702</v>
      </c>
      <c r="E72" s="354" t="s">
        <v>3646</v>
      </c>
      <c r="F72" s="353" t="str">
        <f t="shared" si="0"/>
        <v>Bangladesh</v>
      </c>
    </row>
    <row r="73" spans="2:6" s="356" customFormat="1">
      <c r="B73" s="352">
        <v>65</v>
      </c>
      <c r="C73" s="352">
        <v>387</v>
      </c>
      <c r="D73" s="353" t="s">
        <v>3703</v>
      </c>
      <c r="E73" s="352" t="s">
        <v>3637</v>
      </c>
      <c r="F73" s="353" t="str">
        <f t="shared" si="0"/>
        <v>Australia</v>
      </c>
    </row>
    <row r="74" spans="2:6" s="356" customFormat="1">
      <c r="B74" s="354">
        <v>66</v>
      </c>
      <c r="C74" s="354">
        <v>387</v>
      </c>
      <c r="D74" s="355" t="s">
        <v>3704</v>
      </c>
      <c r="E74" s="354" t="s">
        <v>3628</v>
      </c>
      <c r="F74" s="353" t="str">
        <f t="shared" ref="F74:F108" si="1">VLOOKUP(E74,$I$8:$J$17,2,FALSE)</f>
        <v>West Indies</v>
      </c>
    </row>
    <row r="75" spans="2:6" s="356" customFormat="1">
      <c r="B75" s="352">
        <v>67</v>
      </c>
      <c r="C75" s="352">
        <v>382</v>
      </c>
      <c r="D75" s="353" t="s">
        <v>3705</v>
      </c>
      <c r="E75" s="352" t="s">
        <v>3634</v>
      </c>
      <c r="F75" s="353" t="str">
        <f t="shared" si="1"/>
        <v>New Zealand</v>
      </c>
    </row>
    <row r="76" spans="2:6" s="356" customFormat="1">
      <c r="B76" s="354">
        <v>68</v>
      </c>
      <c r="C76" s="354">
        <v>379</v>
      </c>
      <c r="D76" s="355" t="s">
        <v>3706</v>
      </c>
      <c r="E76" s="354" t="s">
        <v>3625</v>
      </c>
      <c r="F76" s="353" t="str">
        <f t="shared" si="1"/>
        <v>Sri Lanka</v>
      </c>
    </row>
    <row r="77" spans="2:6" s="356" customFormat="1">
      <c r="B77" s="352">
        <v>69</v>
      </c>
      <c r="C77" s="352">
        <v>377</v>
      </c>
      <c r="D77" s="353" t="s">
        <v>3707</v>
      </c>
      <c r="E77" s="352" t="s">
        <v>3628</v>
      </c>
      <c r="F77" s="353" t="str">
        <f t="shared" si="1"/>
        <v>West Indies</v>
      </c>
    </row>
    <row r="78" spans="2:6" s="356" customFormat="1">
      <c r="B78" s="354">
        <v>70</v>
      </c>
      <c r="C78" s="354">
        <v>371</v>
      </c>
      <c r="D78" s="355" t="s">
        <v>3708</v>
      </c>
      <c r="E78" s="354" t="s">
        <v>3628</v>
      </c>
      <c r="F78" s="353" t="str">
        <f t="shared" si="1"/>
        <v>West Indies</v>
      </c>
    </row>
    <row r="79" spans="2:6" s="356" customFormat="1">
      <c r="B79" s="352">
        <v>71</v>
      </c>
      <c r="C79" s="352">
        <v>366</v>
      </c>
      <c r="D79" s="353" t="s">
        <v>3709</v>
      </c>
      <c r="E79" s="352" t="s">
        <v>3625</v>
      </c>
      <c r="F79" s="353" t="str">
        <f t="shared" si="1"/>
        <v>Sri Lanka</v>
      </c>
    </row>
    <row r="80" spans="2:6" s="356" customFormat="1">
      <c r="B80" s="354">
        <v>72</v>
      </c>
      <c r="C80" s="354">
        <v>362</v>
      </c>
      <c r="D80" s="355" t="s">
        <v>3710</v>
      </c>
      <c r="E80" s="354" t="s">
        <v>3628</v>
      </c>
      <c r="F80" s="353" t="str">
        <f t="shared" si="1"/>
        <v>West Indies</v>
      </c>
    </row>
    <row r="81" spans="2:6" s="356" customFormat="1">
      <c r="B81" s="352">
        <v>73</v>
      </c>
      <c r="C81" s="352">
        <v>359</v>
      </c>
      <c r="D81" s="353" t="s">
        <v>3711</v>
      </c>
      <c r="E81" s="352" t="s">
        <v>3643</v>
      </c>
      <c r="F81" s="353" t="str">
        <f t="shared" si="1"/>
        <v>Pakistan</v>
      </c>
    </row>
    <row r="82" spans="2:6" s="356" customFormat="1">
      <c r="B82" s="354">
        <v>74</v>
      </c>
      <c r="C82" s="354">
        <v>358</v>
      </c>
      <c r="D82" s="355" t="s">
        <v>3712</v>
      </c>
      <c r="E82" s="354" t="s">
        <v>3640</v>
      </c>
      <c r="F82" s="353" t="str">
        <f t="shared" si="1"/>
        <v>England</v>
      </c>
    </row>
    <row r="83" spans="2:6" s="356" customFormat="1">
      <c r="B83" s="352">
        <v>75</v>
      </c>
      <c r="C83" s="352">
        <v>355</v>
      </c>
      <c r="D83" s="353" t="s">
        <v>3713</v>
      </c>
      <c r="E83" s="352" t="s">
        <v>3628</v>
      </c>
      <c r="F83" s="353" t="str">
        <f t="shared" si="1"/>
        <v>West Indies</v>
      </c>
    </row>
    <row r="84" spans="2:6" s="356" customFormat="1">
      <c r="B84" s="354">
        <v>76</v>
      </c>
      <c r="C84" s="354">
        <v>352</v>
      </c>
      <c r="D84" s="355" t="s">
        <v>3714</v>
      </c>
      <c r="E84" s="354" t="s">
        <v>3634</v>
      </c>
      <c r="F84" s="353" t="str">
        <f t="shared" si="1"/>
        <v>New Zealand</v>
      </c>
    </row>
    <row r="85" spans="2:6" s="356" customFormat="1">
      <c r="B85" s="352">
        <v>77</v>
      </c>
      <c r="C85" s="352">
        <v>350</v>
      </c>
      <c r="D85" s="353" t="s">
        <v>3715</v>
      </c>
      <c r="E85" s="352" t="s">
        <v>3646</v>
      </c>
      <c r="F85" s="353" t="str">
        <f t="shared" si="1"/>
        <v>Bangladesh</v>
      </c>
    </row>
    <row r="86" spans="2:6" s="356" customFormat="1">
      <c r="B86" s="354">
        <v>78</v>
      </c>
      <c r="C86" s="354">
        <v>346</v>
      </c>
      <c r="D86" s="355" t="s">
        <v>3716</v>
      </c>
      <c r="E86" s="354" t="s">
        <v>3643</v>
      </c>
      <c r="F86" s="353" t="str">
        <f t="shared" si="1"/>
        <v>Pakistan</v>
      </c>
    </row>
    <row r="87" spans="2:6" s="356" customFormat="1">
      <c r="B87" s="352">
        <v>79</v>
      </c>
      <c r="C87" s="352">
        <v>341</v>
      </c>
      <c r="D87" s="353" t="s">
        <v>3717</v>
      </c>
      <c r="E87" s="352" t="s">
        <v>3625</v>
      </c>
      <c r="F87" s="353" t="str">
        <f t="shared" si="1"/>
        <v>Sri Lanka</v>
      </c>
    </row>
    <row r="88" spans="2:6" s="356" customFormat="1">
      <c r="B88" s="354">
        <v>80</v>
      </c>
      <c r="C88" s="354">
        <v>335</v>
      </c>
      <c r="D88" s="355" t="s">
        <v>3718</v>
      </c>
      <c r="E88" s="354" t="s">
        <v>3640</v>
      </c>
      <c r="F88" s="353" t="str">
        <f t="shared" si="1"/>
        <v>England</v>
      </c>
    </row>
    <row r="89" spans="2:6" s="356" customFormat="1">
      <c r="B89" s="352">
        <v>81</v>
      </c>
      <c r="C89" s="352">
        <v>334</v>
      </c>
      <c r="D89" s="353" t="s">
        <v>3719</v>
      </c>
      <c r="E89" s="352" t="s">
        <v>3631</v>
      </c>
      <c r="F89" s="353" t="str">
        <f t="shared" si="1"/>
        <v>South Africa</v>
      </c>
    </row>
    <row r="90" spans="2:6" s="356" customFormat="1">
      <c r="B90" s="354">
        <v>82</v>
      </c>
      <c r="C90" s="354">
        <v>330</v>
      </c>
      <c r="D90" s="355" t="s">
        <v>3720</v>
      </c>
      <c r="E90" s="354" t="s">
        <v>3643</v>
      </c>
      <c r="F90" s="353" t="str">
        <f t="shared" si="1"/>
        <v>Pakistan</v>
      </c>
    </row>
    <row r="91" spans="2:6" s="356" customFormat="1">
      <c r="B91" s="352">
        <v>82</v>
      </c>
      <c r="C91" s="352">
        <v>325</v>
      </c>
      <c r="D91" s="353" t="s">
        <v>3721</v>
      </c>
      <c r="E91" s="352" t="s">
        <v>3628</v>
      </c>
      <c r="F91" s="353" t="str">
        <f t="shared" si="1"/>
        <v>West Indies</v>
      </c>
    </row>
    <row r="92" spans="2:6" s="356" customFormat="1">
      <c r="B92" s="354">
        <v>84</v>
      </c>
      <c r="C92" s="354">
        <v>325</v>
      </c>
      <c r="D92" s="355" t="s">
        <v>3722</v>
      </c>
      <c r="E92" s="354" t="s">
        <v>3640</v>
      </c>
      <c r="F92" s="353" t="str">
        <f t="shared" si="1"/>
        <v>England</v>
      </c>
    </row>
    <row r="93" spans="2:6" s="356" customFormat="1">
      <c r="B93" s="352">
        <v>85</v>
      </c>
      <c r="C93" s="352">
        <v>319</v>
      </c>
      <c r="D93" s="353" t="s">
        <v>3723</v>
      </c>
      <c r="E93" s="352" t="s">
        <v>3634</v>
      </c>
      <c r="F93" s="353" t="str">
        <f t="shared" si="1"/>
        <v>New Zealand</v>
      </c>
    </row>
    <row r="94" spans="2:6" s="356" customFormat="1">
      <c r="B94" s="354">
        <v>86</v>
      </c>
      <c r="C94" s="354">
        <v>317</v>
      </c>
      <c r="D94" s="355" t="s">
        <v>3724</v>
      </c>
      <c r="E94" s="354" t="s">
        <v>3637</v>
      </c>
      <c r="F94" s="353" t="str">
        <f t="shared" si="1"/>
        <v>Australia</v>
      </c>
    </row>
    <row r="95" spans="2:6" s="356" customFormat="1">
      <c r="B95" s="352">
        <v>87</v>
      </c>
      <c r="C95" s="352">
        <v>304</v>
      </c>
      <c r="D95" s="353" t="s">
        <v>3725</v>
      </c>
      <c r="E95" s="352" t="s">
        <v>3643</v>
      </c>
      <c r="F95" s="353" t="str">
        <f t="shared" si="1"/>
        <v>Pakistan</v>
      </c>
    </row>
    <row r="96" spans="2:6" s="356" customFormat="1">
      <c r="B96" s="354">
        <v>88</v>
      </c>
      <c r="C96" s="354">
        <v>302</v>
      </c>
      <c r="D96" s="355" t="s">
        <v>3726</v>
      </c>
      <c r="E96" s="354" t="s">
        <v>3628</v>
      </c>
      <c r="F96" s="353" t="str">
        <f t="shared" si="1"/>
        <v>West Indies</v>
      </c>
    </row>
    <row r="97" spans="2:6" s="356" customFormat="1">
      <c r="B97" s="352">
        <v>89</v>
      </c>
      <c r="C97" s="352">
        <v>301</v>
      </c>
      <c r="D97" s="353" t="s">
        <v>3727</v>
      </c>
      <c r="E97" s="352" t="s">
        <v>3622</v>
      </c>
      <c r="F97" s="353" t="str">
        <f t="shared" si="1"/>
        <v>India</v>
      </c>
    </row>
    <row r="98" spans="2:6" s="356" customFormat="1">
      <c r="B98" s="354">
        <v>90</v>
      </c>
      <c r="C98" s="354">
        <v>288</v>
      </c>
      <c r="D98" s="355" t="s">
        <v>3728</v>
      </c>
      <c r="E98" s="354" t="s">
        <v>3622</v>
      </c>
      <c r="F98" s="353" t="str">
        <f t="shared" si="1"/>
        <v>India</v>
      </c>
    </row>
    <row r="99" spans="2:6" s="356" customFormat="1">
      <c r="B99" s="352">
        <v>90</v>
      </c>
      <c r="C99" s="352">
        <v>286</v>
      </c>
      <c r="D99" s="353" t="s">
        <v>3729</v>
      </c>
      <c r="E99" s="352" t="s">
        <v>3637</v>
      </c>
      <c r="F99" s="353" t="str">
        <f t="shared" si="1"/>
        <v>Australia</v>
      </c>
    </row>
    <row r="100" spans="2:6" s="356" customFormat="1">
      <c r="B100" s="354">
        <v>92</v>
      </c>
      <c r="C100" s="354">
        <v>285</v>
      </c>
      <c r="D100" s="355" t="s">
        <v>3730</v>
      </c>
      <c r="E100" s="354" t="s">
        <v>3646</v>
      </c>
      <c r="F100" s="353" t="str">
        <f t="shared" si="1"/>
        <v>Bangladesh</v>
      </c>
    </row>
    <row r="101" spans="2:6" s="356" customFormat="1">
      <c r="B101" s="352">
        <v>93</v>
      </c>
      <c r="C101" s="352">
        <v>285</v>
      </c>
      <c r="D101" s="353" t="s">
        <v>3731</v>
      </c>
      <c r="E101" s="352" t="s">
        <v>3631</v>
      </c>
      <c r="F101" s="353" t="str">
        <f t="shared" si="1"/>
        <v>South Africa</v>
      </c>
    </row>
    <row r="102" spans="2:6" s="356" customFormat="1">
      <c r="B102" s="354">
        <v>94</v>
      </c>
      <c r="C102" s="354">
        <v>273</v>
      </c>
      <c r="D102" s="355" t="s">
        <v>3732</v>
      </c>
      <c r="E102" s="354" t="s">
        <v>3646</v>
      </c>
      <c r="F102" s="353" t="str">
        <f t="shared" si="1"/>
        <v>Bangladesh</v>
      </c>
    </row>
    <row r="103" spans="2:6" s="356" customFormat="1">
      <c r="B103" s="352">
        <v>95</v>
      </c>
      <c r="C103" s="352">
        <v>260</v>
      </c>
      <c r="D103" s="353" t="s">
        <v>3733</v>
      </c>
      <c r="E103" s="352" t="s">
        <v>3634</v>
      </c>
      <c r="F103" s="353" t="str">
        <f t="shared" si="1"/>
        <v>New Zealand</v>
      </c>
    </row>
    <row r="104" spans="2:6" s="356" customFormat="1">
      <c r="B104" s="354">
        <v>96</v>
      </c>
      <c r="C104" s="354">
        <v>258</v>
      </c>
      <c r="D104" s="355" t="s">
        <v>3734</v>
      </c>
      <c r="E104" s="354" t="s">
        <v>3637</v>
      </c>
      <c r="F104" s="353" t="str">
        <f t="shared" si="1"/>
        <v>Australia</v>
      </c>
    </row>
    <row r="105" spans="2:6" s="356" customFormat="1">
      <c r="B105" s="352">
        <v>97</v>
      </c>
      <c r="C105" s="352">
        <v>256</v>
      </c>
      <c r="D105" s="353" t="s">
        <v>3735</v>
      </c>
      <c r="E105" s="352" t="s">
        <v>3634</v>
      </c>
      <c r="F105" s="353" t="str">
        <f t="shared" si="1"/>
        <v>New Zealand</v>
      </c>
    </row>
    <row r="106" spans="2:6" s="356" customFormat="1">
      <c r="B106" s="354">
        <v>97</v>
      </c>
      <c r="C106" s="354">
        <v>253</v>
      </c>
      <c r="D106" s="355" t="s">
        <v>3736</v>
      </c>
      <c r="E106" s="354" t="s">
        <v>3628</v>
      </c>
      <c r="F106" s="353" t="str">
        <f t="shared" si="1"/>
        <v>West Indies</v>
      </c>
    </row>
    <row r="107" spans="2:6" s="356" customFormat="1">
      <c r="B107" s="352">
        <v>99</v>
      </c>
      <c r="C107" s="352">
        <v>253</v>
      </c>
      <c r="D107" s="353" t="s">
        <v>3737</v>
      </c>
      <c r="E107" s="352" t="s">
        <v>3631</v>
      </c>
      <c r="F107" s="353" t="str">
        <f t="shared" si="1"/>
        <v>South Africa</v>
      </c>
    </row>
    <row r="108" spans="2:6" s="356" customFormat="1">
      <c r="B108" s="354">
        <v>100</v>
      </c>
      <c r="C108" s="354">
        <v>235</v>
      </c>
      <c r="D108" s="355" t="s">
        <v>3738</v>
      </c>
      <c r="E108" s="354" t="s">
        <v>3646</v>
      </c>
      <c r="F108" s="353" t="str">
        <f t="shared" si="1"/>
        <v>Bangladesh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85E3-BE54-42FD-B5A3-E5DD522BB99A}">
  <sheetPr codeName="Sheet22">
    <tabColor theme="0" tint="-0.34998626667073579"/>
  </sheetPr>
  <dimension ref="B3:M34"/>
  <sheetViews>
    <sheetView showGridLines="0" topLeftCell="A7" zoomScale="121" workbookViewId="0">
      <selection activeCell="C19" sqref="C19"/>
    </sheetView>
  </sheetViews>
  <sheetFormatPr defaultRowHeight="12.75"/>
  <cols>
    <col min="1" max="1" width="3.85546875" style="1" customWidth="1"/>
    <col min="2" max="4" width="15" style="1" customWidth="1"/>
    <col min="5" max="5" width="6.5703125" style="1" bestFit="1" customWidth="1"/>
    <col min="6" max="6" width="8.7109375" style="1" customWidth="1"/>
    <col min="7" max="7" width="11" style="1" bestFit="1" customWidth="1"/>
    <col min="8" max="13" width="14.140625" style="1" customWidth="1"/>
    <col min="14" max="256" width="9.140625" style="1"/>
    <col min="257" max="257" width="12.28515625" style="1" bestFit="1" customWidth="1"/>
    <col min="258" max="259" width="11.7109375" style="1" bestFit="1" customWidth="1"/>
    <col min="260" max="260" width="6.5703125" style="1" bestFit="1" customWidth="1"/>
    <col min="261" max="261" width="8.7109375" style="1" bestFit="1" customWidth="1"/>
    <col min="262" max="262" width="8.7109375" style="1" customWidth="1"/>
    <col min="263" max="263" width="11" style="1" bestFit="1" customWidth="1"/>
    <col min="264" max="264" width="9.140625" style="1"/>
    <col min="265" max="265" width="12.28515625" style="1" bestFit="1" customWidth="1"/>
    <col min="266" max="266" width="11.7109375" style="1" bestFit="1" customWidth="1"/>
    <col min="267" max="267" width="6.5703125" style="1" bestFit="1" customWidth="1"/>
    <col min="268" max="268" width="8.7109375" style="1" bestFit="1" customWidth="1"/>
    <col min="269" max="269" width="11" style="1" bestFit="1" customWidth="1"/>
    <col min="270" max="512" width="9.140625" style="1"/>
    <col min="513" max="513" width="12.28515625" style="1" bestFit="1" customWidth="1"/>
    <col min="514" max="515" width="11.7109375" style="1" bestFit="1" customWidth="1"/>
    <col min="516" max="516" width="6.5703125" style="1" bestFit="1" customWidth="1"/>
    <col min="517" max="517" width="8.7109375" style="1" bestFit="1" customWidth="1"/>
    <col min="518" max="518" width="8.7109375" style="1" customWidth="1"/>
    <col min="519" max="519" width="11" style="1" bestFit="1" customWidth="1"/>
    <col min="520" max="520" width="9.140625" style="1"/>
    <col min="521" max="521" width="12.28515625" style="1" bestFit="1" customWidth="1"/>
    <col min="522" max="522" width="11.7109375" style="1" bestFit="1" customWidth="1"/>
    <col min="523" max="523" width="6.5703125" style="1" bestFit="1" customWidth="1"/>
    <col min="524" max="524" width="8.7109375" style="1" bestFit="1" customWidth="1"/>
    <col min="525" max="525" width="11" style="1" bestFit="1" customWidth="1"/>
    <col min="526" max="768" width="9.140625" style="1"/>
    <col min="769" max="769" width="12.28515625" style="1" bestFit="1" customWidth="1"/>
    <col min="770" max="771" width="11.7109375" style="1" bestFit="1" customWidth="1"/>
    <col min="772" max="772" width="6.5703125" style="1" bestFit="1" customWidth="1"/>
    <col min="773" max="773" width="8.7109375" style="1" bestFit="1" customWidth="1"/>
    <col min="774" max="774" width="8.7109375" style="1" customWidth="1"/>
    <col min="775" max="775" width="11" style="1" bestFit="1" customWidth="1"/>
    <col min="776" max="776" width="9.140625" style="1"/>
    <col min="777" max="777" width="12.28515625" style="1" bestFit="1" customWidth="1"/>
    <col min="778" max="778" width="11.7109375" style="1" bestFit="1" customWidth="1"/>
    <col min="779" max="779" width="6.5703125" style="1" bestFit="1" customWidth="1"/>
    <col min="780" max="780" width="8.7109375" style="1" bestFit="1" customWidth="1"/>
    <col min="781" max="781" width="11" style="1" bestFit="1" customWidth="1"/>
    <col min="782" max="1024" width="9.140625" style="1"/>
    <col min="1025" max="1025" width="12.28515625" style="1" bestFit="1" customWidth="1"/>
    <col min="1026" max="1027" width="11.7109375" style="1" bestFit="1" customWidth="1"/>
    <col min="1028" max="1028" width="6.5703125" style="1" bestFit="1" customWidth="1"/>
    <col min="1029" max="1029" width="8.7109375" style="1" bestFit="1" customWidth="1"/>
    <col min="1030" max="1030" width="8.7109375" style="1" customWidth="1"/>
    <col min="1031" max="1031" width="11" style="1" bestFit="1" customWidth="1"/>
    <col min="1032" max="1032" width="9.140625" style="1"/>
    <col min="1033" max="1033" width="12.28515625" style="1" bestFit="1" customWidth="1"/>
    <col min="1034" max="1034" width="11.7109375" style="1" bestFit="1" customWidth="1"/>
    <col min="1035" max="1035" width="6.5703125" style="1" bestFit="1" customWidth="1"/>
    <col min="1036" max="1036" width="8.7109375" style="1" bestFit="1" customWidth="1"/>
    <col min="1037" max="1037" width="11" style="1" bestFit="1" customWidth="1"/>
    <col min="1038" max="1280" width="9.140625" style="1"/>
    <col min="1281" max="1281" width="12.28515625" style="1" bestFit="1" customWidth="1"/>
    <col min="1282" max="1283" width="11.7109375" style="1" bestFit="1" customWidth="1"/>
    <col min="1284" max="1284" width="6.5703125" style="1" bestFit="1" customWidth="1"/>
    <col min="1285" max="1285" width="8.7109375" style="1" bestFit="1" customWidth="1"/>
    <col min="1286" max="1286" width="8.7109375" style="1" customWidth="1"/>
    <col min="1287" max="1287" width="11" style="1" bestFit="1" customWidth="1"/>
    <col min="1288" max="1288" width="9.140625" style="1"/>
    <col min="1289" max="1289" width="12.28515625" style="1" bestFit="1" customWidth="1"/>
    <col min="1290" max="1290" width="11.7109375" style="1" bestFit="1" customWidth="1"/>
    <col min="1291" max="1291" width="6.5703125" style="1" bestFit="1" customWidth="1"/>
    <col min="1292" max="1292" width="8.7109375" style="1" bestFit="1" customWidth="1"/>
    <col min="1293" max="1293" width="11" style="1" bestFit="1" customWidth="1"/>
    <col min="1294" max="1536" width="9.140625" style="1"/>
    <col min="1537" max="1537" width="12.28515625" style="1" bestFit="1" customWidth="1"/>
    <col min="1538" max="1539" width="11.7109375" style="1" bestFit="1" customWidth="1"/>
    <col min="1540" max="1540" width="6.5703125" style="1" bestFit="1" customWidth="1"/>
    <col min="1541" max="1541" width="8.7109375" style="1" bestFit="1" customWidth="1"/>
    <col min="1542" max="1542" width="8.7109375" style="1" customWidth="1"/>
    <col min="1543" max="1543" width="11" style="1" bestFit="1" customWidth="1"/>
    <col min="1544" max="1544" width="9.140625" style="1"/>
    <col min="1545" max="1545" width="12.28515625" style="1" bestFit="1" customWidth="1"/>
    <col min="1546" max="1546" width="11.7109375" style="1" bestFit="1" customWidth="1"/>
    <col min="1547" max="1547" width="6.5703125" style="1" bestFit="1" customWidth="1"/>
    <col min="1548" max="1548" width="8.7109375" style="1" bestFit="1" customWidth="1"/>
    <col min="1549" max="1549" width="11" style="1" bestFit="1" customWidth="1"/>
    <col min="1550" max="1792" width="9.140625" style="1"/>
    <col min="1793" max="1793" width="12.28515625" style="1" bestFit="1" customWidth="1"/>
    <col min="1794" max="1795" width="11.7109375" style="1" bestFit="1" customWidth="1"/>
    <col min="1796" max="1796" width="6.5703125" style="1" bestFit="1" customWidth="1"/>
    <col min="1797" max="1797" width="8.7109375" style="1" bestFit="1" customWidth="1"/>
    <col min="1798" max="1798" width="8.7109375" style="1" customWidth="1"/>
    <col min="1799" max="1799" width="11" style="1" bestFit="1" customWidth="1"/>
    <col min="1800" max="1800" width="9.140625" style="1"/>
    <col min="1801" max="1801" width="12.28515625" style="1" bestFit="1" customWidth="1"/>
    <col min="1802" max="1802" width="11.7109375" style="1" bestFit="1" customWidth="1"/>
    <col min="1803" max="1803" width="6.5703125" style="1" bestFit="1" customWidth="1"/>
    <col min="1804" max="1804" width="8.7109375" style="1" bestFit="1" customWidth="1"/>
    <col min="1805" max="1805" width="11" style="1" bestFit="1" customWidth="1"/>
    <col min="1806" max="2048" width="9.140625" style="1"/>
    <col min="2049" max="2049" width="12.28515625" style="1" bestFit="1" customWidth="1"/>
    <col min="2050" max="2051" width="11.7109375" style="1" bestFit="1" customWidth="1"/>
    <col min="2052" max="2052" width="6.5703125" style="1" bestFit="1" customWidth="1"/>
    <col min="2053" max="2053" width="8.7109375" style="1" bestFit="1" customWidth="1"/>
    <col min="2054" max="2054" width="8.7109375" style="1" customWidth="1"/>
    <col min="2055" max="2055" width="11" style="1" bestFit="1" customWidth="1"/>
    <col min="2056" max="2056" width="9.140625" style="1"/>
    <col min="2057" max="2057" width="12.28515625" style="1" bestFit="1" customWidth="1"/>
    <col min="2058" max="2058" width="11.7109375" style="1" bestFit="1" customWidth="1"/>
    <col min="2059" max="2059" width="6.5703125" style="1" bestFit="1" customWidth="1"/>
    <col min="2060" max="2060" width="8.7109375" style="1" bestFit="1" customWidth="1"/>
    <col min="2061" max="2061" width="11" style="1" bestFit="1" customWidth="1"/>
    <col min="2062" max="2304" width="9.140625" style="1"/>
    <col min="2305" max="2305" width="12.28515625" style="1" bestFit="1" customWidth="1"/>
    <col min="2306" max="2307" width="11.7109375" style="1" bestFit="1" customWidth="1"/>
    <col min="2308" max="2308" width="6.5703125" style="1" bestFit="1" customWidth="1"/>
    <col min="2309" max="2309" width="8.7109375" style="1" bestFit="1" customWidth="1"/>
    <col min="2310" max="2310" width="8.7109375" style="1" customWidth="1"/>
    <col min="2311" max="2311" width="11" style="1" bestFit="1" customWidth="1"/>
    <col min="2312" max="2312" width="9.140625" style="1"/>
    <col min="2313" max="2313" width="12.28515625" style="1" bestFit="1" customWidth="1"/>
    <col min="2314" max="2314" width="11.7109375" style="1" bestFit="1" customWidth="1"/>
    <col min="2315" max="2315" width="6.5703125" style="1" bestFit="1" customWidth="1"/>
    <col min="2316" max="2316" width="8.7109375" style="1" bestFit="1" customWidth="1"/>
    <col min="2317" max="2317" width="11" style="1" bestFit="1" customWidth="1"/>
    <col min="2318" max="2560" width="9.140625" style="1"/>
    <col min="2561" max="2561" width="12.28515625" style="1" bestFit="1" customWidth="1"/>
    <col min="2562" max="2563" width="11.7109375" style="1" bestFit="1" customWidth="1"/>
    <col min="2564" max="2564" width="6.5703125" style="1" bestFit="1" customWidth="1"/>
    <col min="2565" max="2565" width="8.7109375" style="1" bestFit="1" customWidth="1"/>
    <col min="2566" max="2566" width="8.7109375" style="1" customWidth="1"/>
    <col min="2567" max="2567" width="11" style="1" bestFit="1" customWidth="1"/>
    <col min="2568" max="2568" width="9.140625" style="1"/>
    <col min="2569" max="2569" width="12.28515625" style="1" bestFit="1" customWidth="1"/>
    <col min="2570" max="2570" width="11.7109375" style="1" bestFit="1" customWidth="1"/>
    <col min="2571" max="2571" width="6.5703125" style="1" bestFit="1" customWidth="1"/>
    <col min="2572" max="2572" width="8.7109375" style="1" bestFit="1" customWidth="1"/>
    <col min="2573" max="2573" width="11" style="1" bestFit="1" customWidth="1"/>
    <col min="2574" max="2816" width="9.140625" style="1"/>
    <col min="2817" max="2817" width="12.28515625" style="1" bestFit="1" customWidth="1"/>
    <col min="2818" max="2819" width="11.7109375" style="1" bestFit="1" customWidth="1"/>
    <col min="2820" max="2820" width="6.5703125" style="1" bestFit="1" customWidth="1"/>
    <col min="2821" max="2821" width="8.7109375" style="1" bestFit="1" customWidth="1"/>
    <col min="2822" max="2822" width="8.7109375" style="1" customWidth="1"/>
    <col min="2823" max="2823" width="11" style="1" bestFit="1" customWidth="1"/>
    <col min="2824" max="2824" width="9.140625" style="1"/>
    <col min="2825" max="2825" width="12.28515625" style="1" bestFit="1" customWidth="1"/>
    <col min="2826" max="2826" width="11.7109375" style="1" bestFit="1" customWidth="1"/>
    <col min="2827" max="2827" width="6.5703125" style="1" bestFit="1" customWidth="1"/>
    <col min="2828" max="2828" width="8.7109375" style="1" bestFit="1" customWidth="1"/>
    <col min="2829" max="2829" width="11" style="1" bestFit="1" customWidth="1"/>
    <col min="2830" max="3072" width="9.140625" style="1"/>
    <col min="3073" max="3073" width="12.28515625" style="1" bestFit="1" customWidth="1"/>
    <col min="3074" max="3075" width="11.7109375" style="1" bestFit="1" customWidth="1"/>
    <col min="3076" max="3076" width="6.5703125" style="1" bestFit="1" customWidth="1"/>
    <col min="3077" max="3077" width="8.7109375" style="1" bestFit="1" customWidth="1"/>
    <col min="3078" max="3078" width="8.7109375" style="1" customWidth="1"/>
    <col min="3079" max="3079" width="11" style="1" bestFit="1" customWidth="1"/>
    <col min="3080" max="3080" width="9.140625" style="1"/>
    <col min="3081" max="3081" width="12.28515625" style="1" bestFit="1" customWidth="1"/>
    <col min="3082" max="3082" width="11.7109375" style="1" bestFit="1" customWidth="1"/>
    <col min="3083" max="3083" width="6.5703125" style="1" bestFit="1" customWidth="1"/>
    <col min="3084" max="3084" width="8.7109375" style="1" bestFit="1" customWidth="1"/>
    <col min="3085" max="3085" width="11" style="1" bestFit="1" customWidth="1"/>
    <col min="3086" max="3328" width="9.140625" style="1"/>
    <col min="3329" max="3329" width="12.28515625" style="1" bestFit="1" customWidth="1"/>
    <col min="3330" max="3331" width="11.7109375" style="1" bestFit="1" customWidth="1"/>
    <col min="3332" max="3332" width="6.5703125" style="1" bestFit="1" customWidth="1"/>
    <col min="3333" max="3333" width="8.7109375" style="1" bestFit="1" customWidth="1"/>
    <col min="3334" max="3334" width="8.7109375" style="1" customWidth="1"/>
    <col min="3335" max="3335" width="11" style="1" bestFit="1" customWidth="1"/>
    <col min="3336" max="3336" width="9.140625" style="1"/>
    <col min="3337" max="3337" width="12.28515625" style="1" bestFit="1" customWidth="1"/>
    <col min="3338" max="3338" width="11.7109375" style="1" bestFit="1" customWidth="1"/>
    <col min="3339" max="3339" width="6.5703125" style="1" bestFit="1" customWidth="1"/>
    <col min="3340" max="3340" width="8.7109375" style="1" bestFit="1" customWidth="1"/>
    <col min="3341" max="3341" width="11" style="1" bestFit="1" customWidth="1"/>
    <col min="3342" max="3584" width="9.140625" style="1"/>
    <col min="3585" max="3585" width="12.28515625" style="1" bestFit="1" customWidth="1"/>
    <col min="3586" max="3587" width="11.7109375" style="1" bestFit="1" customWidth="1"/>
    <col min="3588" max="3588" width="6.5703125" style="1" bestFit="1" customWidth="1"/>
    <col min="3589" max="3589" width="8.7109375" style="1" bestFit="1" customWidth="1"/>
    <col min="3590" max="3590" width="8.7109375" style="1" customWidth="1"/>
    <col min="3591" max="3591" width="11" style="1" bestFit="1" customWidth="1"/>
    <col min="3592" max="3592" width="9.140625" style="1"/>
    <col min="3593" max="3593" width="12.28515625" style="1" bestFit="1" customWidth="1"/>
    <col min="3594" max="3594" width="11.7109375" style="1" bestFit="1" customWidth="1"/>
    <col min="3595" max="3595" width="6.5703125" style="1" bestFit="1" customWidth="1"/>
    <col min="3596" max="3596" width="8.7109375" style="1" bestFit="1" customWidth="1"/>
    <col min="3597" max="3597" width="11" style="1" bestFit="1" customWidth="1"/>
    <col min="3598" max="3840" width="9.140625" style="1"/>
    <col min="3841" max="3841" width="12.28515625" style="1" bestFit="1" customWidth="1"/>
    <col min="3842" max="3843" width="11.7109375" style="1" bestFit="1" customWidth="1"/>
    <col min="3844" max="3844" width="6.5703125" style="1" bestFit="1" customWidth="1"/>
    <col min="3845" max="3845" width="8.7109375" style="1" bestFit="1" customWidth="1"/>
    <col min="3846" max="3846" width="8.7109375" style="1" customWidth="1"/>
    <col min="3847" max="3847" width="11" style="1" bestFit="1" customWidth="1"/>
    <col min="3848" max="3848" width="9.140625" style="1"/>
    <col min="3849" max="3849" width="12.28515625" style="1" bestFit="1" customWidth="1"/>
    <col min="3850" max="3850" width="11.7109375" style="1" bestFit="1" customWidth="1"/>
    <col min="3851" max="3851" width="6.5703125" style="1" bestFit="1" customWidth="1"/>
    <col min="3852" max="3852" width="8.7109375" style="1" bestFit="1" customWidth="1"/>
    <col min="3853" max="3853" width="11" style="1" bestFit="1" customWidth="1"/>
    <col min="3854" max="4096" width="9.140625" style="1"/>
    <col min="4097" max="4097" width="12.28515625" style="1" bestFit="1" customWidth="1"/>
    <col min="4098" max="4099" width="11.7109375" style="1" bestFit="1" customWidth="1"/>
    <col min="4100" max="4100" width="6.5703125" style="1" bestFit="1" customWidth="1"/>
    <col min="4101" max="4101" width="8.7109375" style="1" bestFit="1" customWidth="1"/>
    <col min="4102" max="4102" width="8.7109375" style="1" customWidth="1"/>
    <col min="4103" max="4103" width="11" style="1" bestFit="1" customWidth="1"/>
    <col min="4104" max="4104" width="9.140625" style="1"/>
    <col min="4105" max="4105" width="12.28515625" style="1" bestFit="1" customWidth="1"/>
    <col min="4106" max="4106" width="11.7109375" style="1" bestFit="1" customWidth="1"/>
    <col min="4107" max="4107" width="6.5703125" style="1" bestFit="1" customWidth="1"/>
    <col min="4108" max="4108" width="8.7109375" style="1" bestFit="1" customWidth="1"/>
    <col min="4109" max="4109" width="11" style="1" bestFit="1" customWidth="1"/>
    <col min="4110" max="4352" width="9.140625" style="1"/>
    <col min="4353" max="4353" width="12.28515625" style="1" bestFit="1" customWidth="1"/>
    <col min="4354" max="4355" width="11.7109375" style="1" bestFit="1" customWidth="1"/>
    <col min="4356" max="4356" width="6.5703125" style="1" bestFit="1" customWidth="1"/>
    <col min="4357" max="4357" width="8.7109375" style="1" bestFit="1" customWidth="1"/>
    <col min="4358" max="4358" width="8.7109375" style="1" customWidth="1"/>
    <col min="4359" max="4359" width="11" style="1" bestFit="1" customWidth="1"/>
    <col min="4360" max="4360" width="9.140625" style="1"/>
    <col min="4361" max="4361" width="12.28515625" style="1" bestFit="1" customWidth="1"/>
    <col min="4362" max="4362" width="11.7109375" style="1" bestFit="1" customWidth="1"/>
    <col min="4363" max="4363" width="6.5703125" style="1" bestFit="1" customWidth="1"/>
    <col min="4364" max="4364" width="8.7109375" style="1" bestFit="1" customWidth="1"/>
    <col min="4365" max="4365" width="11" style="1" bestFit="1" customWidth="1"/>
    <col min="4366" max="4608" width="9.140625" style="1"/>
    <col min="4609" max="4609" width="12.28515625" style="1" bestFit="1" customWidth="1"/>
    <col min="4610" max="4611" width="11.7109375" style="1" bestFit="1" customWidth="1"/>
    <col min="4612" max="4612" width="6.5703125" style="1" bestFit="1" customWidth="1"/>
    <col min="4613" max="4613" width="8.7109375" style="1" bestFit="1" customWidth="1"/>
    <col min="4614" max="4614" width="8.7109375" style="1" customWidth="1"/>
    <col min="4615" max="4615" width="11" style="1" bestFit="1" customWidth="1"/>
    <col min="4616" max="4616" width="9.140625" style="1"/>
    <col min="4617" max="4617" width="12.28515625" style="1" bestFit="1" customWidth="1"/>
    <col min="4618" max="4618" width="11.7109375" style="1" bestFit="1" customWidth="1"/>
    <col min="4619" max="4619" width="6.5703125" style="1" bestFit="1" customWidth="1"/>
    <col min="4620" max="4620" width="8.7109375" style="1" bestFit="1" customWidth="1"/>
    <col min="4621" max="4621" width="11" style="1" bestFit="1" customWidth="1"/>
    <col min="4622" max="4864" width="9.140625" style="1"/>
    <col min="4865" max="4865" width="12.28515625" style="1" bestFit="1" customWidth="1"/>
    <col min="4866" max="4867" width="11.7109375" style="1" bestFit="1" customWidth="1"/>
    <col min="4868" max="4868" width="6.5703125" style="1" bestFit="1" customWidth="1"/>
    <col min="4869" max="4869" width="8.7109375" style="1" bestFit="1" customWidth="1"/>
    <col min="4870" max="4870" width="8.7109375" style="1" customWidth="1"/>
    <col min="4871" max="4871" width="11" style="1" bestFit="1" customWidth="1"/>
    <col min="4872" max="4872" width="9.140625" style="1"/>
    <col min="4873" max="4873" width="12.28515625" style="1" bestFit="1" customWidth="1"/>
    <col min="4874" max="4874" width="11.7109375" style="1" bestFit="1" customWidth="1"/>
    <col min="4875" max="4875" width="6.5703125" style="1" bestFit="1" customWidth="1"/>
    <col min="4876" max="4876" width="8.7109375" style="1" bestFit="1" customWidth="1"/>
    <col min="4877" max="4877" width="11" style="1" bestFit="1" customWidth="1"/>
    <col min="4878" max="5120" width="9.140625" style="1"/>
    <col min="5121" max="5121" width="12.28515625" style="1" bestFit="1" customWidth="1"/>
    <col min="5122" max="5123" width="11.7109375" style="1" bestFit="1" customWidth="1"/>
    <col min="5124" max="5124" width="6.5703125" style="1" bestFit="1" customWidth="1"/>
    <col min="5125" max="5125" width="8.7109375" style="1" bestFit="1" customWidth="1"/>
    <col min="5126" max="5126" width="8.7109375" style="1" customWidth="1"/>
    <col min="5127" max="5127" width="11" style="1" bestFit="1" customWidth="1"/>
    <col min="5128" max="5128" width="9.140625" style="1"/>
    <col min="5129" max="5129" width="12.28515625" style="1" bestFit="1" customWidth="1"/>
    <col min="5130" max="5130" width="11.7109375" style="1" bestFit="1" customWidth="1"/>
    <col min="5131" max="5131" width="6.5703125" style="1" bestFit="1" customWidth="1"/>
    <col min="5132" max="5132" width="8.7109375" style="1" bestFit="1" customWidth="1"/>
    <col min="5133" max="5133" width="11" style="1" bestFit="1" customWidth="1"/>
    <col min="5134" max="5376" width="9.140625" style="1"/>
    <col min="5377" max="5377" width="12.28515625" style="1" bestFit="1" customWidth="1"/>
    <col min="5378" max="5379" width="11.7109375" style="1" bestFit="1" customWidth="1"/>
    <col min="5380" max="5380" width="6.5703125" style="1" bestFit="1" customWidth="1"/>
    <col min="5381" max="5381" width="8.7109375" style="1" bestFit="1" customWidth="1"/>
    <col min="5382" max="5382" width="8.7109375" style="1" customWidth="1"/>
    <col min="5383" max="5383" width="11" style="1" bestFit="1" customWidth="1"/>
    <col min="5384" max="5384" width="9.140625" style="1"/>
    <col min="5385" max="5385" width="12.28515625" style="1" bestFit="1" customWidth="1"/>
    <col min="5386" max="5386" width="11.7109375" style="1" bestFit="1" customWidth="1"/>
    <col min="5387" max="5387" width="6.5703125" style="1" bestFit="1" customWidth="1"/>
    <col min="5388" max="5388" width="8.7109375" style="1" bestFit="1" customWidth="1"/>
    <col min="5389" max="5389" width="11" style="1" bestFit="1" customWidth="1"/>
    <col min="5390" max="5632" width="9.140625" style="1"/>
    <col min="5633" max="5633" width="12.28515625" style="1" bestFit="1" customWidth="1"/>
    <col min="5634" max="5635" width="11.7109375" style="1" bestFit="1" customWidth="1"/>
    <col min="5636" max="5636" width="6.5703125" style="1" bestFit="1" customWidth="1"/>
    <col min="5637" max="5637" width="8.7109375" style="1" bestFit="1" customWidth="1"/>
    <col min="5638" max="5638" width="8.7109375" style="1" customWidth="1"/>
    <col min="5639" max="5639" width="11" style="1" bestFit="1" customWidth="1"/>
    <col min="5640" max="5640" width="9.140625" style="1"/>
    <col min="5641" max="5641" width="12.28515625" style="1" bestFit="1" customWidth="1"/>
    <col min="5642" max="5642" width="11.7109375" style="1" bestFit="1" customWidth="1"/>
    <col min="5643" max="5643" width="6.5703125" style="1" bestFit="1" customWidth="1"/>
    <col min="5644" max="5644" width="8.7109375" style="1" bestFit="1" customWidth="1"/>
    <col min="5645" max="5645" width="11" style="1" bestFit="1" customWidth="1"/>
    <col min="5646" max="5888" width="9.140625" style="1"/>
    <col min="5889" max="5889" width="12.28515625" style="1" bestFit="1" customWidth="1"/>
    <col min="5890" max="5891" width="11.7109375" style="1" bestFit="1" customWidth="1"/>
    <col min="5892" max="5892" width="6.5703125" style="1" bestFit="1" customWidth="1"/>
    <col min="5893" max="5893" width="8.7109375" style="1" bestFit="1" customWidth="1"/>
    <col min="5894" max="5894" width="8.7109375" style="1" customWidth="1"/>
    <col min="5895" max="5895" width="11" style="1" bestFit="1" customWidth="1"/>
    <col min="5896" max="5896" width="9.140625" style="1"/>
    <col min="5897" max="5897" width="12.28515625" style="1" bestFit="1" customWidth="1"/>
    <col min="5898" max="5898" width="11.7109375" style="1" bestFit="1" customWidth="1"/>
    <col min="5899" max="5899" width="6.5703125" style="1" bestFit="1" customWidth="1"/>
    <col min="5900" max="5900" width="8.7109375" style="1" bestFit="1" customWidth="1"/>
    <col min="5901" max="5901" width="11" style="1" bestFit="1" customWidth="1"/>
    <col min="5902" max="6144" width="9.140625" style="1"/>
    <col min="6145" max="6145" width="12.28515625" style="1" bestFit="1" customWidth="1"/>
    <col min="6146" max="6147" width="11.7109375" style="1" bestFit="1" customWidth="1"/>
    <col min="6148" max="6148" width="6.5703125" style="1" bestFit="1" customWidth="1"/>
    <col min="6149" max="6149" width="8.7109375" style="1" bestFit="1" customWidth="1"/>
    <col min="6150" max="6150" width="8.7109375" style="1" customWidth="1"/>
    <col min="6151" max="6151" width="11" style="1" bestFit="1" customWidth="1"/>
    <col min="6152" max="6152" width="9.140625" style="1"/>
    <col min="6153" max="6153" width="12.28515625" style="1" bestFit="1" customWidth="1"/>
    <col min="6154" max="6154" width="11.7109375" style="1" bestFit="1" customWidth="1"/>
    <col min="6155" max="6155" width="6.5703125" style="1" bestFit="1" customWidth="1"/>
    <col min="6156" max="6156" width="8.7109375" style="1" bestFit="1" customWidth="1"/>
    <col min="6157" max="6157" width="11" style="1" bestFit="1" customWidth="1"/>
    <col min="6158" max="6400" width="9.140625" style="1"/>
    <col min="6401" max="6401" width="12.28515625" style="1" bestFit="1" customWidth="1"/>
    <col min="6402" max="6403" width="11.7109375" style="1" bestFit="1" customWidth="1"/>
    <col min="6404" max="6404" width="6.5703125" style="1" bestFit="1" customWidth="1"/>
    <col min="6405" max="6405" width="8.7109375" style="1" bestFit="1" customWidth="1"/>
    <col min="6406" max="6406" width="8.7109375" style="1" customWidth="1"/>
    <col min="6407" max="6407" width="11" style="1" bestFit="1" customWidth="1"/>
    <col min="6408" max="6408" width="9.140625" style="1"/>
    <col min="6409" max="6409" width="12.28515625" style="1" bestFit="1" customWidth="1"/>
    <col min="6410" max="6410" width="11.7109375" style="1" bestFit="1" customWidth="1"/>
    <col min="6411" max="6411" width="6.5703125" style="1" bestFit="1" customWidth="1"/>
    <col min="6412" max="6412" width="8.7109375" style="1" bestFit="1" customWidth="1"/>
    <col min="6413" max="6413" width="11" style="1" bestFit="1" customWidth="1"/>
    <col min="6414" max="6656" width="9.140625" style="1"/>
    <col min="6657" max="6657" width="12.28515625" style="1" bestFit="1" customWidth="1"/>
    <col min="6658" max="6659" width="11.7109375" style="1" bestFit="1" customWidth="1"/>
    <col min="6660" max="6660" width="6.5703125" style="1" bestFit="1" customWidth="1"/>
    <col min="6661" max="6661" width="8.7109375" style="1" bestFit="1" customWidth="1"/>
    <col min="6662" max="6662" width="8.7109375" style="1" customWidth="1"/>
    <col min="6663" max="6663" width="11" style="1" bestFit="1" customWidth="1"/>
    <col min="6664" max="6664" width="9.140625" style="1"/>
    <col min="6665" max="6665" width="12.28515625" style="1" bestFit="1" customWidth="1"/>
    <col min="6666" max="6666" width="11.7109375" style="1" bestFit="1" customWidth="1"/>
    <col min="6667" max="6667" width="6.5703125" style="1" bestFit="1" customWidth="1"/>
    <col min="6668" max="6668" width="8.7109375" style="1" bestFit="1" customWidth="1"/>
    <col min="6669" max="6669" width="11" style="1" bestFit="1" customWidth="1"/>
    <col min="6670" max="6912" width="9.140625" style="1"/>
    <col min="6913" max="6913" width="12.28515625" style="1" bestFit="1" customWidth="1"/>
    <col min="6914" max="6915" width="11.7109375" style="1" bestFit="1" customWidth="1"/>
    <col min="6916" max="6916" width="6.5703125" style="1" bestFit="1" customWidth="1"/>
    <col min="6917" max="6917" width="8.7109375" style="1" bestFit="1" customWidth="1"/>
    <col min="6918" max="6918" width="8.7109375" style="1" customWidth="1"/>
    <col min="6919" max="6919" width="11" style="1" bestFit="1" customWidth="1"/>
    <col min="6920" max="6920" width="9.140625" style="1"/>
    <col min="6921" max="6921" width="12.28515625" style="1" bestFit="1" customWidth="1"/>
    <col min="6922" max="6922" width="11.7109375" style="1" bestFit="1" customWidth="1"/>
    <col min="6923" max="6923" width="6.5703125" style="1" bestFit="1" customWidth="1"/>
    <col min="6924" max="6924" width="8.7109375" style="1" bestFit="1" customWidth="1"/>
    <col min="6925" max="6925" width="11" style="1" bestFit="1" customWidth="1"/>
    <col min="6926" max="7168" width="9.140625" style="1"/>
    <col min="7169" max="7169" width="12.28515625" style="1" bestFit="1" customWidth="1"/>
    <col min="7170" max="7171" width="11.7109375" style="1" bestFit="1" customWidth="1"/>
    <col min="7172" max="7172" width="6.5703125" style="1" bestFit="1" customWidth="1"/>
    <col min="7173" max="7173" width="8.7109375" style="1" bestFit="1" customWidth="1"/>
    <col min="7174" max="7174" width="8.7109375" style="1" customWidth="1"/>
    <col min="7175" max="7175" width="11" style="1" bestFit="1" customWidth="1"/>
    <col min="7176" max="7176" width="9.140625" style="1"/>
    <col min="7177" max="7177" width="12.28515625" style="1" bestFit="1" customWidth="1"/>
    <col min="7178" max="7178" width="11.7109375" style="1" bestFit="1" customWidth="1"/>
    <col min="7179" max="7179" width="6.5703125" style="1" bestFit="1" customWidth="1"/>
    <col min="7180" max="7180" width="8.7109375" style="1" bestFit="1" customWidth="1"/>
    <col min="7181" max="7181" width="11" style="1" bestFit="1" customWidth="1"/>
    <col min="7182" max="7424" width="9.140625" style="1"/>
    <col min="7425" max="7425" width="12.28515625" style="1" bestFit="1" customWidth="1"/>
    <col min="7426" max="7427" width="11.7109375" style="1" bestFit="1" customWidth="1"/>
    <col min="7428" max="7428" width="6.5703125" style="1" bestFit="1" customWidth="1"/>
    <col min="7429" max="7429" width="8.7109375" style="1" bestFit="1" customWidth="1"/>
    <col min="7430" max="7430" width="8.7109375" style="1" customWidth="1"/>
    <col min="7431" max="7431" width="11" style="1" bestFit="1" customWidth="1"/>
    <col min="7432" max="7432" width="9.140625" style="1"/>
    <col min="7433" max="7433" width="12.28515625" style="1" bestFit="1" customWidth="1"/>
    <col min="7434" max="7434" width="11.7109375" style="1" bestFit="1" customWidth="1"/>
    <col min="7435" max="7435" width="6.5703125" style="1" bestFit="1" customWidth="1"/>
    <col min="7436" max="7436" width="8.7109375" style="1" bestFit="1" customWidth="1"/>
    <col min="7437" max="7437" width="11" style="1" bestFit="1" customWidth="1"/>
    <col min="7438" max="7680" width="9.140625" style="1"/>
    <col min="7681" max="7681" width="12.28515625" style="1" bestFit="1" customWidth="1"/>
    <col min="7682" max="7683" width="11.7109375" style="1" bestFit="1" customWidth="1"/>
    <col min="7684" max="7684" width="6.5703125" style="1" bestFit="1" customWidth="1"/>
    <col min="7685" max="7685" width="8.7109375" style="1" bestFit="1" customWidth="1"/>
    <col min="7686" max="7686" width="8.7109375" style="1" customWidth="1"/>
    <col min="7687" max="7687" width="11" style="1" bestFit="1" customWidth="1"/>
    <col min="7688" max="7688" width="9.140625" style="1"/>
    <col min="7689" max="7689" width="12.28515625" style="1" bestFit="1" customWidth="1"/>
    <col min="7690" max="7690" width="11.7109375" style="1" bestFit="1" customWidth="1"/>
    <col min="7691" max="7691" width="6.5703125" style="1" bestFit="1" customWidth="1"/>
    <col min="7692" max="7692" width="8.7109375" style="1" bestFit="1" customWidth="1"/>
    <col min="7693" max="7693" width="11" style="1" bestFit="1" customWidth="1"/>
    <col min="7694" max="7936" width="9.140625" style="1"/>
    <col min="7937" max="7937" width="12.28515625" style="1" bestFit="1" customWidth="1"/>
    <col min="7938" max="7939" width="11.7109375" style="1" bestFit="1" customWidth="1"/>
    <col min="7940" max="7940" width="6.5703125" style="1" bestFit="1" customWidth="1"/>
    <col min="7941" max="7941" width="8.7109375" style="1" bestFit="1" customWidth="1"/>
    <col min="7942" max="7942" width="8.7109375" style="1" customWidth="1"/>
    <col min="7943" max="7943" width="11" style="1" bestFit="1" customWidth="1"/>
    <col min="7944" max="7944" width="9.140625" style="1"/>
    <col min="7945" max="7945" width="12.28515625" style="1" bestFit="1" customWidth="1"/>
    <col min="7946" max="7946" width="11.7109375" style="1" bestFit="1" customWidth="1"/>
    <col min="7947" max="7947" width="6.5703125" style="1" bestFit="1" customWidth="1"/>
    <col min="7948" max="7948" width="8.7109375" style="1" bestFit="1" customWidth="1"/>
    <col min="7949" max="7949" width="11" style="1" bestFit="1" customWidth="1"/>
    <col min="7950" max="8192" width="9.140625" style="1"/>
    <col min="8193" max="8193" width="12.28515625" style="1" bestFit="1" customWidth="1"/>
    <col min="8194" max="8195" width="11.7109375" style="1" bestFit="1" customWidth="1"/>
    <col min="8196" max="8196" width="6.5703125" style="1" bestFit="1" customWidth="1"/>
    <col min="8197" max="8197" width="8.7109375" style="1" bestFit="1" customWidth="1"/>
    <col min="8198" max="8198" width="8.7109375" style="1" customWidth="1"/>
    <col min="8199" max="8199" width="11" style="1" bestFit="1" customWidth="1"/>
    <col min="8200" max="8200" width="9.140625" style="1"/>
    <col min="8201" max="8201" width="12.28515625" style="1" bestFit="1" customWidth="1"/>
    <col min="8202" max="8202" width="11.7109375" style="1" bestFit="1" customWidth="1"/>
    <col min="8203" max="8203" width="6.5703125" style="1" bestFit="1" customWidth="1"/>
    <col min="8204" max="8204" width="8.7109375" style="1" bestFit="1" customWidth="1"/>
    <col min="8205" max="8205" width="11" style="1" bestFit="1" customWidth="1"/>
    <col min="8206" max="8448" width="9.140625" style="1"/>
    <col min="8449" max="8449" width="12.28515625" style="1" bestFit="1" customWidth="1"/>
    <col min="8450" max="8451" width="11.7109375" style="1" bestFit="1" customWidth="1"/>
    <col min="8452" max="8452" width="6.5703125" style="1" bestFit="1" customWidth="1"/>
    <col min="8453" max="8453" width="8.7109375" style="1" bestFit="1" customWidth="1"/>
    <col min="8454" max="8454" width="8.7109375" style="1" customWidth="1"/>
    <col min="8455" max="8455" width="11" style="1" bestFit="1" customWidth="1"/>
    <col min="8456" max="8456" width="9.140625" style="1"/>
    <col min="8457" max="8457" width="12.28515625" style="1" bestFit="1" customWidth="1"/>
    <col min="8458" max="8458" width="11.7109375" style="1" bestFit="1" customWidth="1"/>
    <col min="8459" max="8459" width="6.5703125" style="1" bestFit="1" customWidth="1"/>
    <col min="8460" max="8460" width="8.7109375" style="1" bestFit="1" customWidth="1"/>
    <col min="8461" max="8461" width="11" style="1" bestFit="1" customWidth="1"/>
    <col min="8462" max="8704" width="9.140625" style="1"/>
    <col min="8705" max="8705" width="12.28515625" style="1" bestFit="1" customWidth="1"/>
    <col min="8706" max="8707" width="11.7109375" style="1" bestFit="1" customWidth="1"/>
    <col min="8708" max="8708" width="6.5703125" style="1" bestFit="1" customWidth="1"/>
    <col min="8709" max="8709" width="8.7109375" style="1" bestFit="1" customWidth="1"/>
    <col min="8710" max="8710" width="8.7109375" style="1" customWidth="1"/>
    <col min="8711" max="8711" width="11" style="1" bestFit="1" customWidth="1"/>
    <col min="8712" max="8712" width="9.140625" style="1"/>
    <col min="8713" max="8713" width="12.28515625" style="1" bestFit="1" customWidth="1"/>
    <col min="8714" max="8714" width="11.7109375" style="1" bestFit="1" customWidth="1"/>
    <col min="8715" max="8715" width="6.5703125" style="1" bestFit="1" customWidth="1"/>
    <col min="8716" max="8716" width="8.7109375" style="1" bestFit="1" customWidth="1"/>
    <col min="8717" max="8717" width="11" style="1" bestFit="1" customWidth="1"/>
    <col min="8718" max="8960" width="9.140625" style="1"/>
    <col min="8961" max="8961" width="12.28515625" style="1" bestFit="1" customWidth="1"/>
    <col min="8962" max="8963" width="11.7109375" style="1" bestFit="1" customWidth="1"/>
    <col min="8964" max="8964" width="6.5703125" style="1" bestFit="1" customWidth="1"/>
    <col min="8965" max="8965" width="8.7109375" style="1" bestFit="1" customWidth="1"/>
    <col min="8966" max="8966" width="8.7109375" style="1" customWidth="1"/>
    <col min="8967" max="8967" width="11" style="1" bestFit="1" customWidth="1"/>
    <col min="8968" max="8968" width="9.140625" style="1"/>
    <col min="8969" max="8969" width="12.28515625" style="1" bestFit="1" customWidth="1"/>
    <col min="8970" max="8970" width="11.7109375" style="1" bestFit="1" customWidth="1"/>
    <col min="8971" max="8971" width="6.5703125" style="1" bestFit="1" customWidth="1"/>
    <col min="8972" max="8972" width="8.7109375" style="1" bestFit="1" customWidth="1"/>
    <col min="8973" max="8973" width="11" style="1" bestFit="1" customWidth="1"/>
    <col min="8974" max="9216" width="9.140625" style="1"/>
    <col min="9217" max="9217" width="12.28515625" style="1" bestFit="1" customWidth="1"/>
    <col min="9218" max="9219" width="11.7109375" style="1" bestFit="1" customWidth="1"/>
    <col min="9220" max="9220" width="6.5703125" style="1" bestFit="1" customWidth="1"/>
    <col min="9221" max="9221" width="8.7109375" style="1" bestFit="1" customWidth="1"/>
    <col min="9222" max="9222" width="8.7109375" style="1" customWidth="1"/>
    <col min="9223" max="9223" width="11" style="1" bestFit="1" customWidth="1"/>
    <col min="9224" max="9224" width="9.140625" style="1"/>
    <col min="9225" max="9225" width="12.28515625" style="1" bestFit="1" customWidth="1"/>
    <col min="9226" max="9226" width="11.7109375" style="1" bestFit="1" customWidth="1"/>
    <col min="9227" max="9227" width="6.5703125" style="1" bestFit="1" customWidth="1"/>
    <col min="9228" max="9228" width="8.7109375" style="1" bestFit="1" customWidth="1"/>
    <col min="9229" max="9229" width="11" style="1" bestFit="1" customWidth="1"/>
    <col min="9230" max="9472" width="9.140625" style="1"/>
    <col min="9473" max="9473" width="12.28515625" style="1" bestFit="1" customWidth="1"/>
    <col min="9474" max="9475" width="11.7109375" style="1" bestFit="1" customWidth="1"/>
    <col min="9476" max="9476" width="6.5703125" style="1" bestFit="1" customWidth="1"/>
    <col min="9477" max="9477" width="8.7109375" style="1" bestFit="1" customWidth="1"/>
    <col min="9478" max="9478" width="8.7109375" style="1" customWidth="1"/>
    <col min="9479" max="9479" width="11" style="1" bestFit="1" customWidth="1"/>
    <col min="9480" max="9480" width="9.140625" style="1"/>
    <col min="9481" max="9481" width="12.28515625" style="1" bestFit="1" customWidth="1"/>
    <col min="9482" max="9482" width="11.7109375" style="1" bestFit="1" customWidth="1"/>
    <col min="9483" max="9483" width="6.5703125" style="1" bestFit="1" customWidth="1"/>
    <col min="9484" max="9484" width="8.7109375" style="1" bestFit="1" customWidth="1"/>
    <col min="9485" max="9485" width="11" style="1" bestFit="1" customWidth="1"/>
    <col min="9486" max="9728" width="9.140625" style="1"/>
    <col min="9729" max="9729" width="12.28515625" style="1" bestFit="1" customWidth="1"/>
    <col min="9730" max="9731" width="11.7109375" style="1" bestFit="1" customWidth="1"/>
    <col min="9732" max="9732" width="6.5703125" style="1" bestFit="1" customWidth="1"/>
    <col min="9733" max="9733" width="8.7109375" style="1" bestFit="1" customWidth="1"/>
    <col min="9734" max="9734" width="8.7109375" style="1" customWidth="1"/>
    <col min="9735" max="9735" width="11" style="1" bestFit="1" customWidth="1"/>
    <col min="9736" max="9736" width="9.140625" style="1"/>
    <col min="9737" max="9737" width="12.28515625" style="1" bestFit="1" customWidth="1"/>
    <col min="9738" max="9738" width="11.7109375" style="1" bestFit="1" customWidth="1"/>
    <col min="9739" max="9739" width="6.5703125" style="1" bestFit="1" customWidth="1"/>
    <col min="9740" max="9740" width="8.7109375" style="1" bestFit="1" customWidth="1"/>
    <col min="9741" max="9741" width="11" style="1" bestFit="1" customWidth="1"/>
    <col min="9742" max="9984" width="9.140625" style="1"/>
    <col min="9985" max="9985" width="12.28515625" style="1" bestFit="1" customWidth="1"/>
    <col min="9986" max="9987" width="11.7109375" style="1" bestFit="1" customWidth="1"/>
    <col min="9988" max="9988" width="6.5703125" style="1" bestFit="1" customWidth="1"/>
    <col min="9989" max="9989" width="8.7109375" style="1" bestFit="1" customWidth="1"/>
    <col min="9990" max="9990" width="8.7109375" style="1" customWidth="1"/>
    <col min="9991" max="9991" width="11" style="1" bestFit="1" customWidth="1"/>
    <col min="9992" max="9992" width="9.140625" style="1"/>
    <col min="9993" max="9993" width="12.28515625" style="1" bestFit="1" customWidth="1"/>
    <col min="9994" max="9994" width="11.7109375" style="1" bestFit="1" customWidth="1"/>
    <col min="9995" max="9995" width="6.5703125" style="1" bestFit="1" customWidth="1"/>
    <col min="9996" max="9996" width="8.7109375" style="1" bestFit="1" customWidth="1"/>
    <col min="9997" max="9997" width="11" style="1" bestFit="1" customWidth="1"/>
    <col min="9998" max="10240" width="9.140625" style="1"/>
    <col min="10241" max="10241" width="12.28515625" style="1" bestFit="1" customWidth="1"/>
    <col min="10242" max="10243" width="11.7109375" style="1" bestFit="1" customWidth="1"/>
    <col min="10244" max="10244" width="6.5703125" style="1" bestFit="1" customWidth="1"/>
    <col min="10245" max="10245" width="8.7109375" style="1" bestFit="1" customWidth="1"/>
    <col min="10246" max="10246" width="8.7109375" style="1" customWidth="1"/>
    <col min="10247" max="10247" width="11" style="1" bestFit="1" customWidth="1"/>
    <col min="10248" max="10248" width="9.140625" style="1"/>
    <col min="10249" max="10249" width="12.28515625" style="1" bestFit="1" customWidth="1"/>
    <col min="10250" max="10250" width="11.7109375" style="1" bestFit="1" customWidth="1"/>
    <col min="10251" max="10251" width="6.5703125" style="1" bestFit="1" customWidth="1"/>
    <col min="10252" max="10252" width="8.7109375" style="1" bestFit="1" customWidth="1"/>
    <col min="10253" max="10253" width="11" style="1" bestFit="1" customWidth="1"/>
    <col min="10254" max="10496" width="9.140625" style="1"/>
    <col min="10497" max="10497" width="12.28515625" style="1" bestFit="1" customWidth="1"/>
    <col min="10498" max="10499" width="11.7109375" style="1" bestFit="1" customWidth="1"/>
    <col min="10500" max="10500" width="6.5703125" style="1" bestFit="1" customWidth="1"/>
    <col min="10501" max="10501" width="8.7109375" style="1" bestFit="1" customWidth="1"/>
    <col min="10502" max="10502" width="8.7109375" style="1" customWidth="1"/>
    <col min="10503" max="10503" width="11" style="1" bestFit="1" customWidth="1"/>
    <col min="10504" max="10504" width="9.140625" style="1"/>
    <col min="10505" max="10505" width="12.28515625" style="1" bestFit="1" customWidth="1"/>
    <col min="10506" max="10506" width="11.7109375" style="1" bestFit="1" customWidth="1"/>
    <col min="10507" max="10507" width="6.5703125" style="1" bestFit="1" customWidth="1"/>
    <col min="10508" max="10508" width="8.7109375" style="1" bestFit="1" customWidth="1"/>
    <col min="10509" max="10509" width="11" style="1" bestFit="1" customWidth="1"/>
    <col min="10510" max="10752" width="9.140625" style="1"/>
    <col min="10753" max="10753" width="12.28515625" style="1" bestFit="1" customWidth="1"/>
    <col min="10754" max="10755" width="11.7109375" style="1" bestFit="1" customWidth="1"/>
    <col min="10756" max="10756" width="6.5703125" style="1" bestFit="1" customWidth="1"/>
    <col min="10757" max="10757" width="8.7109375" style="1" bestFit="1" customWidth="1"/>
    <col min="10758" max="10758" width="8.7109375" style="1" customWidth="1"/>
    <col min="10759" max="10759" width="11" style="1" bestFit="1" customWidth="1"/>
    <col min="10760" max="10760" width="9.140625" style="1"/>
    <col min="10761" max="10761" width="12.28515625" style="1" bestFit="1" customWidth="1"/>
    <col min="10762" max="10762" width="11.7109375" style="1" bestFit="1" customWidth="1"/>
    <col min="10763" max="10763" width="6.5703125" style="1" bestFit="1" customWidth="1"/>
    <col min="10764" max="10764" width="8.7109375" style="1" bestFit="1" customWidth="1"/>
    <col min="10765" max="10765" width="11" style="1" bestFit="1" customWidth="1"/>
    <col min="10766" max="11008" width="9.140625" style="1"/>
    <col min="11009" max="11009" width="12.28515625" style="1" bestFit="1" customWidth="1"/>
    <col min="11010" max="11011" width="11.7109375" style="1" bestFit="1" customWidth="1"/>
    <col min="11012" max="11012" width="6.5703125" style="1" bestFit="1" customWidth="1"/>
    <col min="11013" max="11013" width="8.7109375" style="1" bestFit="1" customWidth="1"/>
    <col min="11014" max="11014" width="8.7109375" style="1" customWidth="1"/>
    <col min="11015" max="11015" width="11" style="1" bestFit="1" customWidth="1"/>
    <col min="11016" max="11016" width="9.140625" style="1"/>
    <col min="11017" max="11017" width="12.28515625" style="1" bestFit="1" customWidth="1"/>
    <col min="11018" max="11018" width="11.7109375" style="1" bestFit="1" customWidth="1"/>
    <col min="11019" max="11019" width="6.5703125" style="1" bestFit="1" customWidth="1"/>
    <col min="11020" max="11020" width="8.7109375" style="1" bestFit="1" customWidth="1"/>
    <col min="11021" max="11021" width="11" style="1" bestFit="1" customWidth="1"/>
    <col min="11022" max="11264" width="9.140625" style="1"/>
    <col min="11265" max="11265" width="12.28515625" style="1" bestFit="1" customWidth="1"/>
    <col min="11266" max="11267" width="11.7109375" style="1" bestFit="1" customWidth="1"/>
    <col min="11268" max="11268" width="6.5703125" style="1" bestFit="1" customWidth="1"/>
    <col min="11269" max="11269" width="8.7109375" style="1" bestFit="1" customWidth="1"/>
    <col min="11270" max="11270" width="8.7109375" style="1" customWidth="1"/>
    <col min="11271" max="11271" width="11" style="1" bestFit="1" customWidth="1"/>
    <col min="11272" max="11272" width="9.140625" style="1"/>
    <col min="11273" max="11273" width="12.28515625" style="1" bestFit="1" customWidth="1"/>
    <col min="11274" max="11274" width="11.7109375" style="1" bestFit="1" customWidth="1"/>
    <col min="11275" max="11275" width="6.5703125" style="1" bestFit="1" customWidth="1"/>
    <col min="11276" max="11276" width="8.7109375" style="1" bestFit="1" customWidth="1"/>
    <col min="11277" max="11277" width="11" style="1" bestFit="1" customWidth="1"/>
    <col min="11278" max="11520" width="9.140625" style="1"/>
    <col min="11521" max="11521" width="12.28515625" style="1" bestFit="1" customWidth="1"/>
    <col min="11522" max="11523" width="11.7109375" style="1" bestFit="1" customWidth="1"/>
    <col min="11524" max="11524" width="6.5703125" style="1" bestFit="1" customWidth="1"/>
    <col min="11525" max="11525" width="8.7109375" style="1" bestFit="1" customWidth="1"/>
    <col min="11526" max="11526" width="8.7109375" style="1" customWidth="1"/>
    <col min="11527" max="11527" width="11" style="1" bestFit="1" customWidth="1"/>
    <col min="11528" max="11528" width="9.140625" style="1"/>
    <col min="11529" max="11529" width="12.28515625" style="1" bestFit="1" customWidth="1"/>
    <col min="11530" max="11530" width="11.7109375" style="1" bestFit="1" customWidth="1"/>
    <col min="11531" max="11531" width="6.5703125" style="1" bestFit="1" customWidth="1"/>
    <col min="11532" max="11532" width="8.7109375" style="1" bestFit="1" customWidth="1"/>
    <col min="11533" max="11533" width="11" style="1" bestFit="1" customWidth="1"/>
    <col min="11534" max="11776" width="9.140625" style="1"/>
    <col min="11777" max="11777" width="12.28515625" style="1" bestFit="1" customWidth="1"/>
    <col min="11778" max="11779" width="11.7109375" style="1" bestFit="1" customWidth="1"/>
    <col min="11780" max="11780" width="6.5703125" style="1" bestFit="1" customWidth="1"/>
    <col min="11781" max="11781" width="8.7109375" style="1" bestFit="1" customWidth="1"/>
    <col min="11782" max="11782" width="8.7109375" style="1" customWidth="1"/>
    <col min="11783" max="11783" width="11" style="1" bestFit="1" customWidth="1"/>
    <col min="11784" max="11784" width="9.140625" style="1"/>
    <col min="11785" max="11785" width="12.28515625" style="1" bestFit="1" customWidth="1"/>
    <col min="11786" max="11786" width="11.7109375" style="1" bestFit="1" customWidth="1"/>
    <col min="11787" max="11787" width="6.5703125" style="1" bestFit="1" customWidth="1"/>
    <col min="11788" max="11788" width="8.7109375" style="1" bestFit="1" customWidth="1"/>
    <col min="11789" max="11789" width="11" style="1" bestFit="1" customWidth="1"/>
    <col min="11790" max="12032" width="9.140625" style="1"/>
    <col min="12033" max="12033" width="12.28515625" style="1" bestFit="1" customWidth="1"/>
    <col min="12034" max="12035" width="11.7109375" style="1" bestFit="1" customWidth="1"/>
    <col min="12036" max="12036" width="6.5703125" style="1" bestFit="1" customWidth="1"/>
    <col min="12037" max="12037" width="8.7109375" style="1" bestFit="1" customWidth="1"/>
    <col min="12038" max="12038" width="8.7109375" style="1" customWidth="1"/>
    <col min="12039" max="12039" width="11" style="1" bestFit="1" customWidth="1"/>
    <col min="12040" max="12040" width="9.140625" style="1"/>
    <col min="12041" max="12041" width="12.28515625" style="1" bestFit="1" customWidth="1"/>
    <col min="12042" max="12042" width="11.7109375" style="1" bestFit="1" customWidth="1"/>
    <col min="12043" max="12043" width="6.5703125" style="1" bestFit="1" customWidth="1"/>
    <col min="12044" max="12044" width="8.7109375" style="1" bestFit="1" customWidth="1"/>
    <col min="12045" max="12045" width="11" style="1" bestFit="1" customWidth="1"/>
    <col min="12046" max="12288" width="9.140625" style="1"/>
    <col min="12289" max="12289" width="12.28515625" style="1" bestFit="1" customWidth="1"/>
    <col min="12290" max="12291" width="11.7109375" style="1" bestFit="1" customWidth="1"/>
    <col min="12292" max="12292" width="6.5703125" style="1" bestFit="1" customWidth="1"/>
    <col min="12293" max="12293" width="8.7109375" style="1" bestFit="1" customWidth="1"/>
    <col min="12294" max="12294" width="8.7109375" style="1" customWidth="1"/>
    <col min="12295" max="12295" width="11" style="1" bestFit="1" customWidth="1"/>
    <col min="12296" max="12296" width="9.140625" style="1"/>
    <col min="12297" max="12297" width="12.28515625" style="1" bestFit="1" customWidth="1"/>
    <col min="12298" max="12298" width="11.7109375" style="1" bestFit="1" customWidth="1"/>
    <col min="12299" max="12299" width="6.5703125" style="1" bestFit="1" customWidth="1"/>
    <col min="12300" max="12300" width="8.7109375" style="1" bestFit="1" customWidth="1"/>
    <col min="12301" max="12301" width="11" style="1" bestFit="1" customWidth="1"/>
    <col min="12302" max="12544" width="9.140625" style="1"/>
    <col min="12545" max="12545" width="12.28515625" style="1" bestFit="1" customWidth="1"/>
    <col min="12546" max="12547" width="11.7109375" style="1" bestFit="1" customWidth="1"/>
    <col min="12548" max="12548" width="6.5703125" style="1" bestFit="1" customWidth="1"/>
    <col min="12549" max="12549" width="8.7109375" style="1" bestFit="1" customWidth="1"/>
    <col min="12550" max="12550" width="8.7109375" style="1" customWidth="1"/>
    <col min="12551" max="12551" width="11" style="1" bestFit="1" customWidth="1"/>
    <col min="12552" max="12552" width="9.140625" style="1"/>
    <col min="12553" max="12553" width="12.28515625" style="1" bestFit="1" customWidth="1"/>
    <col min="12554" max="12554" width="11.7109375" style="1" bestFit="1" customWidth="1"/>
    <col min="12555" max="12555" width="6.5703125" style="1" bestFit="1" customWidth="1"/>
    <col min="12556" max="12556" width="8.7109375" style="1" bestFit="1" customWidth="1"/>
    <col min="12557" max="12557" width="11" style="1" bestFit="1" customWidth="1"/>
    <col min="12558" max="12800" width="9.140625" style="1"/>
    <col min="12801" max="12801" width="12.28515625" style="1" bestFit="1" customWidth="1"/>
    <col min="12802" max="12803" width="11.7109375" style="1" bestFit="1" customWidth="1"/>
    <col min="12804" max="12804" width="6.5703125" style="1" bestFit="1" customWidth="1"/>
    <col min="12805" max="12805" width="8.7109375" style="1" bestFit="1" customWidth="1"/>
    <col min="12806" max="12806" width="8.7109375" style="1" customWidth="1"/>
    <col min="12807" max="12807" width="11" style="1" bestFit="1" customWidth="1"/>
    <col min="12808" max="12808" width="9.140625" style="1"/>
    <col min="12809" max="12809" width="12.28515625" style="1" bestFit="1" customWidth="1"/>
    <col min="12810" max="12810" width="11.7109375" style="1" bestFit="1" customWidth="1"/>
    <col min="12811" max="12811" width="6.5703125" style="1" bestFit="1" customWidth="1"/>
    <col min="12812" max="12812" width="8.7109375" style="1" bestFit="1" customWidth="1"/>
    <col min="12813" max="12813" width="11" style="1" bestFit="1" customWidth="1"/>
    <col min="12814" max="13056" width="9.140625" style="1"/>
    <col min="13057" max="13057" width="12.28515625" style="1" bestFit="1" customWidth="1"/>
    <col min="13058" max="13059" width="11.7109375" style="1" bestFit="1" customWidth="1"/>
    <col min="13060" max="13060" width="6.5703125" style="1" bestFit="1" customWidth="1"/>
    <col min="13061" max="13061" width="8.7109375" style="1" bestFit="1" customWidth="1"/>
    <col min="13062" max="13062" width="8.7109375" style="1" customWidth="1"/>
    <col min="13063" max="13063" width="11" style="1" bestFit="1" customWidth="1"/>
    <col min="13064" max="13064" width="9.140625" style="1"/>
    <col min="13065" max="13065" width="12.28515625" style="1" bestFit="1" customWidth="1"/>
    <col min="13066" max="13066" width="11.7109375" style="1" bestFit="1" customWidth="1"/>
    <col min="13067" max="13067" width="6.5703125" style="1" bestFit="1" customWidth="1"/>
    <col min="13068" max="13068" width="8.7109375" style="1" bestFit="1" customWidth="1"/>
    <col min="13069" max="13069" width="11" style="1" bestFit="1" customWidth="1"/>
    <col min="13070" max="13312" width="9.140625" style="1"/>
    <col min="13313" max="13313" width="12.28515625" style="1" bestFit="1" customWidth="1"/>
    <col min="13314" max="13315" width="11.7109375" style="1" bestFit="1" customWidth="1"/>
    <col min="13316" max="13316" width="6.5703125" style="1" bestFit="1" customWidth="1"/>
    <col min="13317" max="13317" width="8.7109375" style="1" bestFit="1" customWidth="1"/>
    <col min="13318" max="13318" width="8.7109375" style="1" customWidth="1"/>
    <col min="13319" max="13319" width="11" style="1" bestFit="1" customWidth="1"/>
    <col min="13320" max="13320" width="9.140625" style="1"/>
    <col min="13321" max="13321" width="12.28515625" style="1" bestFit="1" customWidth="1"/>
    <col min="13322" max="13322" width="11.7109375" style="1" bestFit="1" customWidth="1"/>
    <col min="13323" max="13323" width="6.5703125" style="1" bestFit="1" customWidth="1"/>
    <col min="13324" max="13324" width="8.7109375" style="1" bestFit="1" customWidth="1"/>
    <col min="13325" max="13325" width="11" style="1" bestFit="1" customWidth="1"/>
    <col min="13326" max="13568" width="9.140625" style="1"/>
    <col min="13569" max="13569" width="12.28515625" style="1" bestFit="1" customWidth="1"/>
    <col min="13570" max="13571" width="11.7109375" style="1" bestFit="1" customWidth="1"/>
    <col min="13572" max="13572" width="6.5703125" style="1" bestFit="1" customWidth="1"/>
    <col min="13573" max="13573" width="8.7109375" style="1" bestFit="1" customWidth="1"/>
    <col min="13574" max="13574" width="8.7109375" style="1" customWidth="1"/>
    <col min="13575" max="13575" width="11" style="1" bestFit="1" customWidth="1"/>
    <col min="13576" max="13576" width="9.140625" style="1"/>
    <col min="13577" max="13577" width="12.28515625" style="1" bestFit="1" customWidth="1"/>
    <col min="13578" max="13578" width="11.7109375" style="1" bestFit="1" customWidth="1"/>
    <col min="13579" max="13579" width="6.5703125" style="1" bestFit="1" customWidth="1"/>
    <col min="13580" max="13580" width="8.7109375" style="1" bestFit="1" customWidth="1"/>
    <col min="13581" max="13581" width="11" style="1" bestFit="1" customWidth="1"/>
    <col min="13582" max="13824" width="9.140625" style="1"/>
    <col min="13825" max="13825" width="12.28515625" style="1" bestFit="1" customWidth="1"/>
    <col min="13826" max="13827" width="11.7109375" style="1" bestFit="1" customWidth="1"/>
    <col min="13828" max="13828" width="6.5703125" style="1" bestFit="1" customWidth="1"/>
    <col min="13829" max="13829" width="8.7109375" style="1" bestFit="1" customWidth="1"/>
    <col min="13830" max="13830" width="8.7109375" style="1" customWidth="1"/>
    <col min="13831" max="13831" width="11" style="1" bestFit="1" customWidth="1"/>
    <col min="13832" max="13832" width="9.140625" style="1"/>
    <col min="13833" max="13833" width="12.28515625" style="1" bestFit="1" customWidth="1"/>
    <col min="13834" max="13834" width="11.7109375" style="1" bestFit="1" customWidth="1"/>
    <col min="13835" max="13835" width="6.5703125" style="1" bestFit="1" customWidth="1"/>
    <col min="13836" max="13836" width="8.7109375" style="1" bestFit="1" customWidth="1"/>
    <col min="13837" max="13837" width="11" style="1" bestFit="1" customWidth="1"/>
    <col min="13838" max="14080" width="9.140625" style="1"/>
    <col min="14081" max="14081" width="12.28515625" style="1" bestFit="1" customWidth="1"/>
    <col min="14082" max="14083" width="11.7109375" style="1" bestFit="1" customWidth="1"/>
    <col min="14084" max="14084" width="6.5703125" style="1" bestFit="1" customWidth="1"/>
    <col min="14085" max="14085" width="8.7109375" style="1" bestFit="1" customWidth="1"/>
    <col min="14086" max="14086" width="8.7109375" style="1" customWidth="1"/>
    <col min="14087" max="14087" width="11" style="1" bestFit="1" customWidth="1"/>
    <col min="14088" max="14088" width="9.140625" style="1"/>
    <col min="14089" max="14089" width="12.28515625" style="1" bestFit="1" customWidth="1"/>
    <col min="14090" max="14090" width="11.7109375" style="1" bestFit="1" customWidth="1"/>
    <col min="14091" max="14091" width="6.5703125" style="1" bestFit="1" customWidth="1"/>
    <col min="14092" max="14092" width="8.7109375" style="1" bestFit="1" customWidth="1"/>
    <col min="14093" max="14093" width="11" style="1" bestFit="1" customWidth="1"/>
    <col min="14094" max="14336" width="9.140625" style="1"/>
    <col min="14337" max="14337" width="12.28515625" style="1" bestFit="1" customWidth="1"/>
    <col min="14338" max="14339" width="11.7109375" style="1" bestFit="1" customWidth="1"/>
    <col min="14340" max="14340" width="6.5703125" style="1" bestFit="1" customWidth="1"/>
    <col min="14341" max="14341" width="8.7109375" style="1" bestFit="1" customWidth="1"/>
    <col min="14342" max="14342" width="8.7109375" style="1" customWidth="1"/>
    <col min="14343" max="14343" width="11" style="1" bestFit="1" customWidth="1"/>
    <col min="14344" max="14344" width="9.140625" style="1"/>
    <col min="14345" max="14345" width="12.28515625" style="1" bestFit="1" customWidth="1"/>
    <col min="14346" max="14346" width="11.7109375" style="1" bestFit="1" customWidth="1"/>
    <col min="14347" max="14347" width="6.5703125" style="1" bestFit="1" customWidth="1"/>
    <col min="14348" max="14348" width="8.7109375" style="1" bestFit="1" customWidth="1"/>
    <col min="14349" max="14349" width="11" style="1" bestFit="1" customWidth="1"/>
    <col min="14350" max="14592" width="9.140625" style="1"/>
    <col min="14593" max="14593" width="12.28515625" style="1" bestFit="1" customWidth="1"/>
    <col min="14594" max="14595" width="11.7109375" style="1" bestFit="1" customWidth="1"/>
    <col min="14596" max="14596" width="6.5703125" style="1" bestFit="1" customWidth="1"/>
    <col min="14597" max="14597" width="8.7109375" style="1" bestFit="1" customWidth="1"/>
    <col min="14598" max="14598" width="8.7109375" style="1" customWidth="1"/>
    <col min="14599" max="14599" width="11" style="1" bestFit="1" customWidth="1"/>
    <col min="14600" max="14600" width="9.140625" style="1"/>
    <col min="14601" max="14601" width="12.28515625" style="1" bestFit="1" customWidth="1"/>
    <col min="14602" max="14602" width="11.7109375" style="1" bestFit="1" customWidth="1"/>
    <col min="14603" max="14603" width="6.5703125" style="1" bestFit="1" customWidth="1"/>
    <col min="14604" max="14604" width="8.7109375" style="1" bestFit="1" customWidth="1"/>
    <col min="14605" max="14605" width="11" style="1" bestFit="1" customWidth="1"/>
    <col min="14606" max="14848" width="9.140625" style="1"/>
    <col min="14849" max="14849" width="12.28515625" style="1" bestFit="1" customWidth="1"/>
    <col min="14850" max="14851" width="11.7109375" style="1" bestFit="1" customWidth="1"/>
    <col min="14852" max="14852" width="6.5703125" style="1" bestFit="1" customWidth="1"/>
    <col min="14853" max="14853" width="8.7109375" style="1" bestFit="1" customWidth="1"/>
    <col min="14854" max="14854" width="8.7109375" style="1" customWidth="1"/>
    <col min="14855" max="14855" width="11" style="1" bestFit="1" customWidth="1"/>
    <col min="14856" max="14856" width="9.140625" style="1"/>
    <col min="14857" max="14857" width="12.28515625" style="1" bestFit="1" customWidth="1"/>
    <col min="14858" max="14858" width="11.7109375" style="1" bestFit="1" customWidth="1"/>
    <col min="14859" max="14859" width="6.5703125" style="1" bestFit="1" customWidth="1"/>
    <col min="14860" max="14860" width="8.7109375" style="1" bestFit="1" customWidth="1"/>
    <col min="14861" max="14861" width="11" style="1" bestFit="1" customWidth="1"/>
    <col min="14862" max="15104" width="9.140625" style="1"/>
    <col min="15105" max="15105" width="12.28515625" style="1" bestFit="1" customWidth="1"/>
    <col min="15106" max="15107" width="11.7109375" style="1" bestFit="1" customWidth="1"/>
    <col min="15108" max="15108" width="6.5703125" style="1" bestFit="1" customWidth="1"/>
    <col min="15109" max="15109" width="8.7109375" style="1" bestFit="1" customWidth="1"/>
    <col min="15110" max="15110" width="8.7109375" style="1" customWidth="1"/>
    <col min="15111" max="15111" width="11" style="1" bestFit="1" customWidth="1"/>
    <col min="15112" max="15112" width="9.140625" style="1"/>
    <col min="15113" max="15113" width="12.28515625" style="1" bestFit="1" customWidth="1"/>
    <col min="15114" max="15114" width="11.7109375" style="1" bestFit="1" customWidth="1"/>
    <col min="15115" max="15115" width="6.5703125" style="1" bestFit="1" customWidth="1"/>
    <col min="15116" max="15116" width="8.7109375" style="1" bestFit="1" customWidth="1"/>
    <col min="15117" max="15117" width="11" style="1" bestFit="1" customWidth="1"/>
    <col min="15118" max="15360" width="9.140625" style="1"/>
    <col min="15361" max="15361" width="12.28515625" style="1" bestFit="1" customWidth="1"/>
    <col min="15362" max="15363" width="11.7109375" style="1" bestFit="1" customWidth="1"/>
    <col min="15364" max="15364" width="6.5703125" style="1" bestFit="1" customWidth="1"/>
    <col min="15365" max="15365" width="8.7109375" style="1" bestFit="1" customWidth="1"/>
    <col min="15366" max="15366" width="8.7109375" style="1" customWidth="1"/>
    <col min="15367" max="15367" width="11" style="1" bestFit="1" customWidth="1"/>
    <col min="15368" max="15368" width="9.140625" style="1"/>
    <col min="15369" max="15369" width="12.28515625" style="1" bestFit="1" customWidth="1"/>
    <col min="15370" max="15370" width="11.7109375" style="1" bestFit="1" customWidth="1"/>
    <col min="15371" max="15371" width="6.5703125" style="1" bestFit="1" customWidth="1"/>
    <col min="15372" max="15372" width="8.7109375" style="1" bestFit="1" customWidth="1"/>
    <col min="15373" max="15373" width="11" style="1" bestFit="1" customWidth="1"/>
    <col min="15374" max="15616" width="9.140625" style="1"/>
    <col min="15617" max="15617" width="12.28515625" style="1" bestFit="1" customWidth="1"/>
    <col min="15618" max="15619" width="11.7109375" style="1" bestFit="1" customWidth="1"/>
    <col min="15620" max="15620" width="6.5703125" style="1" bestFit="1" customWidth="1"/>
    <col min="15621" max="15621" width="8.7109375" style="1" bestFit="1" customWidth="1"/>
    <col min="15622" max="15622" width="8.7109375" style="1" customWidth="1"/>
    <col min="15623" max="15623" width="11" style="1" bestFit="1" customWidth="1"/>
    <col min="15624" max="15624" width="9.140625" style="1"/>
    <col min="15625" max="15625" width="12.28515625" style="1" bestFit="1" customWidth="1"/>
    <col min="15626" max="15626" width="11.7109375" style="1" bestFit="1" customWidth="1"/>
    <col min="15627" max="15627" width="6.5703125" style="1" bestFit="1" customWidth="1"/>
    <col min="15628" max="15628" width="8.7109375" style="1" bestFit="1" customWidth="1"/>
    <col min="15629" max="15629" width="11" style="1" bestFit="1" customWidth="1"/>
    <col min="15630" max="15872" width="9.140625" style="1"/>
    <col min="15873" max="15873" width="12.28515625" style="1" bestFit="1" customWidth="1"/>
    <col min="15874" max="15875" width="11.7109375" style="1" bestFit="1" customWidth="1"/>
    <col min="15876" max="15876" width="6.5703125" style="1" bestFit="1" customWidth="1"/>
    <col min="15877" max="15877" width="8.7109375" style="1" bestFit="1" customWidth="1"/>
    <col min="15878" max="15878" width="8.7109375" style="1" customWidth="1"/>
    <col min="15879" max="15879" width="11" style="1" bestFit="1" customWidth="1"/>
    <col min="15880" max="15880" width="9.140625" style="1"/>
    <col min="15881" max="15881" width="12.28515625" style="1" bestFit="1" customWidth="1"/>
    <col min="15882" max="15882" width="11.7109375" style="1" bestFit="1" customWidth="1"/>
    <col min="15883" max="15883" width="6.5703125" style="1" bestFit="1" customWidth="1"/>
    <col min="15884" max="15884" width="8.7109375" style="1" bestFit="1" customWidth="1"/>
    <col min="15885" max="15885" width="11" style="1" bestFit="1" customWidth="1"/>
    <col min="15886" max="16128" width="9.140625" style="1"/>
    <col min="16129" max="16129" width="12.28515625" style="1" bestFit="1" customWidth="1"/>
    <col min="16130" max="16131" width="11.7109375" style="1" bestFit="1" customWidth="1"/>
    <col min="16132" max="16132" width="6.5703125" style="1" bestFit="1" customWidth="1"/>
    <col min="16133" max="16133" width="8.7109375" style="1" bestFit="1" customWidth="1"/>
    <col min="16134" max="16134" width="8.7109375" style="1" customWidth="1"/>
    <col min="16135" max="16135" width="11" style="1" bestFit="1" customWidth="1"/>
    <col min="16136" max="16136" width="9.140625" style="1"/>
    <col min="16137" max="16137" width="12.28515625" style="1" bestFit="1" customWidth="1"/>
    <col min="16138" max="16138" width="11.7109375" style="1" bestFit="1" customWidth="1"/>
    <col min="16139" max="16139" width="6.5703125" style="1" bestFit="1" customWidth="1"/>
    <col min="16140" max="16140" width="8.7109375" style="1" bestFit="1" customWidth="1"/>
    <col min="16141" max="16141" width="11" style="1" bestFit="1" customWidth="1"/>
    <col min="16142" max="16384" width="9.140625" style="1"/>
  </cols>
  <sheetData>
    <row r="3" spans="2:13" s="311" customFormat="1" ht="17.25" customHeight="1">
      <c r="B3" s="344"/>
      <c r="C3" s="345"/>
      <c r="D3" s="345"/>
      <c r="E3" s="345"/>
      <c r="H3" s="345"/>
    </row>
    <row r="4" spans="2:13" s="316" customFormat="1" ht="21" customHeight="1">
      <c r="G4" s="311"/>
    </row>
    <row r="5" spans="2:13" s="345" customFormat="1" ht="35.25" customHeight="1">
      <c r="B5" s="346" t="s">
        <v>3882</v>
      </c>
      <c r="C5" s="346"/>
    </row>
    <row r="7" spans="2:13" ht="19.5" customHeight="1">
      <c r="G7" s="357" t="s">
        <v>3739</v>
      </c>
      <c r="H7" s="357" t="s">
        <v>3740</v>
      </c>
      <c r="I7" s="357" t="s">
        <v>3741</v>
      </c>
      <c r="J7" s="357" t="s">
        <v>432</v>
      </c>
      <c r="K7" s="357" t="s">
        <v>3742</v>
      </c>
      <c r="L7" s="357" t="s">
        <v>3743</v>
      </c>
      <c r="M7" s="357" t="s">
        <v>3744</v>
      </c>
    </row>
    <row r="8" spans="2:13" ht="19.5" customHeight="1">
      <c r="G8" s="358">
        <v>1</v>
      </c>
      <c r="H8" s="358" t="s">
        <v>3745</v>
      </c>
      <c r="I8" s="358">
        <v>11164539</v>
      </c>
      <c r="J8" s="358" t="s">
        <v>3746</v>
      </c>
      <c r="K8" s="358">
        <v>55.3</v>
      </c>
      <c r="L8" s="358">
        <v>15</v>
      </c>
      <c r="M8" s="358">
        <f t="shared" ref="M8:M34" si="0">L8*K8</f>
        <v>829.5</v>
      </c>
    </row>
    <row r="9" spans="2:13" ht="19.5" customHeight="1">
      <c r="G9" s="354">
        <v>2</v>
      </c>
      <c r="H9" s="354" t="s">
        <v>3747</v>
      </c>
      <c r="I9" s="354">
        <v>11164540</v>
      </c>
      <c r="J9" s="354" t="s">
        <v>3748</v>
      </c>
      <c r="K9" s="354">
        <v>69.58</v>
      </c>
      <c r="L9" s="354">
        <v>7</v>
      </c>
      <c r="M9" s="354">
        <f t="shared" si="0"/>
        <v>487.06</v>
      </c>
    </row>
    <row r="10" spans="2:13" ht="19.5" customHeight="1" thickBot="1">
      <c r="B10" s="359" t="s">
        <v>3741</v>
      </c>
      <c r="C10" s="359" t="s">
        <v>432</v>
      </c>
      <c r="D10" s="359" t="s">
        <v>3744</v>
      </c>
      <c r="G10" s="352">
        <v>3</v>
      </c>
      <c r="H10" s="352" t="s">
        <v>3749</v>
      </c>
      <c r="I10" s="352">
        <v>11164541</v>
      </c>
      <c r="J10" s="352" t="s">
        <v>3750</v>
      </c>
      <c r="K10" s="352">
        <v>47.87</v>
      </c>
      <c r="L10" s="352">
        <v>1</v>
      </c>
      <c r="M10" s="352">
        <f t="shared" si="0"/>
        <v>47.87</v>
      </c>
    </row>
    <row r="11" spans="2:13" ht="19.5" customHeight="1">
      <c r="B11" s="352">
        <v>11164546</v>
      </c>
      <c r="C11" s="352" t="str">
        <f>VLOOKUP(B11,$I$7:$M$34,2,FALSE)</f>
        <v>Dept 2</v>
      </c>
      <c r="D11" s="352">
        <f>VLOOKUP($B11,$I$7:$M$34,5,FALSE)</f>
        <v>572.33000000000004</v>
      </c>
      <c r="G11" s="354">
        <v>4</v>
      </c>
      <c r="H11" s="354" t="s">
        <v>3745</v>
      </c>
      <c r="I11" s="354">
        <v>11164542</v>
      </c>
      <c r="J11" s="354" t="s">
        <v>3746</v>
      </c>
      <c r="K11" s="354">
        <v>16.22</v>
      </c>
      <c r="L11" s="354">
        <v>5</v>
      </c>
      <c r="M11" s="354">
        <f t="shared" si="0"/>
        <v>81.099999999999994</v>
      </c>
    </row>
    <row r="12" spans="2:13" ht="19.5" customHeight="1">
      <c r="B12" s="354">
        <v>11164557</v>
      </c>
      <c r="C12" s="352" t="str">
        <f t="shared" ref="C12:C15" si="1">VLOOKUP(B12,$I$7:$M$34,2,FALSE)</f>
        <v>Dept 2</v>
      </c>
      <c r="D12" s="352">
        <f t="shared" ref="D12" si="2">VLOOKUP($B12,$I$7:$M$34,5,FALSE)</f>
        <v>948.96</v>
      </c>
      <c r="G12" s="352">
        <v>5</v>
      </c>
      <c r="H12" s="352" t="s">
        <v>3747</v>
      </c>
      <c r="I12" s="352">
        <v>11164544</v>
      </c>
      <c r="J12" s="352" t="s">
        <v>3748</v>
      </c>
      <c r="K12" s="352">
        <v>54.36</v>
      </c>
      <c r="L12" s="352"/>
      <c r="M12" s="352">
        <f t="shared" si="0"/>
        <v>0</v>
      </c>
    </row>
    <row r="13" spans="2:13" ht="19.5" customHeight="1">
      <c r="B13" s="352">
        <v>11164568</v>
      </c>
      <c r="C13" s="352" t="str">
        <f t="shared" si="1"/>
        <v>Dept 1</v>
      </c>
      <c r="D13" s="352">
        <f>VLOOKUP($B13,$I$7:$M$34,5,FALSE)</f>
        <v>9.81</v>
      </c>
      <c r="G13" s="354">
        <v>6</v>
      </c>
      <c r="H13" s="354" t="s">
        <v>3751</v>
      </c>
      <c r="I13" s="354">
        <v>11164545</v>
      </c>
      <c r="J13" s="354" t="s">
        <v>3748</v>
      </c>
      <c r="K13" s="354">
        <v>74.45</v>
      </c>
      <c r="L13" s="354">
        <v>13</v>
      </c>
      <c r="M13" s="354">
        <f t="shared" si="0"/>
        <v>967.85</v>
      </c>
    </row>
    <row r="14" spans="2:13" ht="19.5" customHeight="1">
      <c r="B14" s="354">
        <v>11164539</v>
      </c>
      <c r="C14" s="352" t="str">
        <f t="shared" si="1"/>
        <v>Dept 2</v>
      </c>
      <c r="D14" s="352">
        <f>VLOOKUP($B14,$I$7:$M$34,5,FALSE)</f>
        <v>829.5</v>
      </c>
      <c r="G14" s="352">
        <v>7</v>
      </c>
      <c r="H14" s="352" t="s">
        <v>3751</v>
      </c>
      <c r="I14" s="352">
        <v>11164546</v>
      </c>
      <c r="J14" s="352" t="s">
        <v>3746</v>
      </c>
      <c r="K14" s="352">
        <v>52.03</v>
      </c>
      <c r="L14" s="352">
        <v>11</v>
      </c>
      <c r="M14" s="352">
        <f t="shared" si="0"/>
        <v>572.33000000000004</v>
      </c>
    </row>
    <row r="15" spans="2:13" ht="19.5" customHeight="1" thickBot="1">
      <c r="B15" s="360">
        <v>11164541</v>
      </c>
      <c r="C15" s="352" t="str">
        <f t="shared" si="1"/>
        <v>Dept 4</v>
      </c>
      <c r="D15" s="352">
        <f>VLOOKUP($B15,$I$7:$M$34,5,FALSE)</f>
        <v>47.87</v>
      </c>
      <c r="F15" s="1" t="s">
        <v>3957</v>
      </c>
      <c r="G15" s="354">
        <v>8</v>
      </c>
      <c r="H15" s="354" t="s">
        <v>3751</v>
      </c>
      <c r="I15" s="354">
        <v>11164547</v>
      </c>
      <c r="J15" s="354" t="s">
        <v>3750</v>
      </c>
      <c r="K15" s="354">
        <v>25.74</v>
      </c>
      <c r="L15" s="354">
        <v>8</v>
      </c>
      <c r="M15" s="354">
        <f t="shared" si="0"/>
        <v>205.92</v>
      </c>
    </row>
    <row r="16" spans="2:13" ht="19.5" customHeight="1">
      <c r="G16" s="352">
        <v>9</v>
      </c>
      <c r="H16" s="352" t="s">
        <v>3752</v>
      </c>
      <c r="I16" s="352">
        <v>11164548</v>
      </c>
      <c r="J16" s="352" t="s">
        <v>3748</v>
      </c>
      <c r="K16" s="352">
        <v>39.119999999999997</v>
      </c>
      <c r="L16" s="352">
        <v>14</v>
      </c>
      <c r="M16" s="352">
        <f t="shared" si="0"/>
        <v>547.67999999999995</v>
      </c>
    </row>
    <row r="17" spans="7:13" ht="19.5" customHeight="1">
      <c r="G17" s="354">
        <v>10</v>
      </c>
      <c r="H17" s="354" t="s">
        <v>3751</v>
      </c>
      <c r="I17" s="354">
        <v>11164549</v>
      </c>
      <c r="J17" s="354" t="s">
        <v>3750</v>
      </c>
      <c r="K17" s="354">
        <v>10.97</v>
      </c>
      <c r="L17" s="354">
        <v>3</v>
      </c>
      <c r="M17" s="354">
        <f t="shared" si="0"/>
        <v>32.910000000000004</v>
      </c>
    </row>
    <row r="18" spans="7:13" ht="19.5" customHeight="1">
      <c r="G18" s="352">
        <v>11</v>
      </c>
      <c r="H18" s="352" t="s">
        <v>3752</v>
      </c>
      <c r="I18" s="352">
        <v>11164550</v>
      </c>
      <c r="J18" s="352" t="s">
        <v>3753</v>
      </c>
      <c r="K18" s="352">
        <v>18.559999999999999</v>
      </c>
      <c r="L18" s="352">
        <v>12</v>
      </c>
      <c r="M18" s="352">
        <f t="shared" si="0"/>
        <v>222.71999999999997</v>
      </c>
    </row>
    <row r="19" spans="7:13" ht="19.5" customHeight="1">
      <c r="G19" s="354">
        <v>12</v>
      </c>
      <c r="H19" s="354" t="s">
        <v>3745</v>
      </c>
      <c r="I19" s="354">
        <v>11164551</v>
      </c>
      <c r="J19" s="354" t="s">
        <v>3746</v>
      </c>
      <c r="K19" s="354">
        <v>45.8</v>
      </c>
      <c r="L19" s="354">
        <v>17</v>
      </c>
      <c r="M19" s="354">
        <f t="shared" si="0"/>
        <v>778.59999999999991</v>
      </c>
    </row>
    <row r="20" spans="7:13" ht="19.5" customHeight="1">
      <c r="G20" s="352">
        <v>13</v>
      </c>
      <c r="H20" s="352" t="s">
        <v>3751</v>
      </c>
      <c r="I20" s="352">
        <v>11164556</v>
      </c>
      <c r="J20" s="352" t="s">
        <v>3750</v>
      </c>
      <c r="K20" s="352">
        <v>88.39</v>
      </c>
      <c r="L20" s="352">
        <v>2</v>
      </c>
      <c r="M20" s="352">
        <f t="shared" si="0"/>
        <v>176.78</v>
      </c>
    </row>
    <row r="21" spans="7:13" ht="19.5" customHeight="1">
      <c r="G21" s="354">
        <v>14</v>
      </c>
      <c r="H21" s="354" t="s">
        <v>3749</v>
      </c>
      <c r="I21" s="354">
        <v>11164557</v>
      </c>
      <c r="J21" s="354" t="s">
        <v>3746</v>
      </c>
      <c r="K21" s="354">
        <v>79.08</v>
      </c>
      <c r="L21" s="354">
        <v>12</v>
      </c>
      <c r="M21" s="354">
        <f t="shared" si="0"/>
        <v>948.96</v>
      </c>
    </row>
    <row r="22" spans="7:13" ht="19.5" customHeight="1">
      <c r="G22" s="352">
        <v>15</v>
      </c>
      <c r="H22" s="352" t="s">
        <v>3751</v>
      </c>
      <c r="I22" s="352">
        <v>11164558</v>
      </c>
      <c r="J22" s="352" t="s">
        <v>3753</v>
      </c>
      <c r="K22" s="352">
        <v>15.28</v>
      </c>
      <c r="L22" s="352">
        <v>7</v>
      </c>
      <c r="M22" s="352">
        <f t="shared" si="0"/>
        <v>106.96</v>
      </c>
    </row>
    <row r="23" spans="7:13" ht="19.5" customHeight="1">
      <c r="G23" s="354">
        <v>16</v>
      </c>
      <c r="H23" s="354" t="s">
        <v>3747</v>
      </c>
      <c r="I23" s="354">
        <v>11164559</v>
      </c>
      <c r="J23" s="354" t="s">
        <v>3753</v>
      </c>
      <c r="K23" s="354">
        <v>2.77</v>
      </c>
      <c r="L23" s="354">
        <v>15</v>
      </c>
      <c r="M23" s="354">
        <f t="shared" si="0"/>
        <v>41.55</v>
      </c>
    </row>
    <row r="24" spans="7:13" ht="19.5" customHeight="1">
      <c r="G24" s="352">
        <v>17</v>
      </c>
      <c r="H24" s="352" t="s">
        <v>3745</v>
      </c>
      <c r="I24" s="352">
        <v>11164560</v>
      </c>
      <c r="J24" s="352" t="s">
        <v>3748</v>
      </c>
      <c r="K24" s="352">
        <v>40.96</v>
      </c>
      <c r="L24" s="352"/>
      <c r="M24" s="352">
        <f t="shared" si="0"/>
        <v>0</v>
      </c>
    </row>
    <row r="25" spans="7:13" ht="19.5" customHeight="1">
      <c r="G25" s="354">
        <v>18</v>
      </c>
      <c r="H25" s="354" t="s">
        <v>3745</v>
      </c>
      <c r="I25" s="354">
        <v>11164561</v>
      </c>
      <c r="J25" s="354" t="s">
        <v>3754</v>
      </c>
      <c r="K25" s="354">
        <v>25.07</v>
      </c>
      <c r="L25" s="354">
        <v>12</v>
      </c>
      <c r="M25" s="354">
        <f t="shared" si="0"/>
        <v>300.84000000000003</v>
      </c>
    </row>
    <row r="26" spans="7:13" ht="19.5" customHeight="1">
      <c r="G26" s="352">
        <v>19</v>
      </c>
      <c r="H26" s="352" t="s">
        <v>3751</v>
      </c>
      <c r="I26" s="352">
        <v>11164562</v>
      </c>
      <c r="J26" s="352" t="s">
        <v>3746</v>
      </c>
      <c r="K26" s="352">
        <v>0.84</v>
      </c>
      <c r="L26" s="352">
        <v>12</v>
      </c>
      <c r="M26" s="352">
        <f t="shared" si="0"/>
        <v>10.08</v>
      </c>
    </row>
    <row r="27" spans="7:13" ht="19.5" customHeight="1">
      <c r="G27" s="354">
        <v>20</v>
      </c>
      <c r="H27" s="354" t="s">
        <v>3751</v>
      </c>
      <c r="I27" s="354">
        <v>11164563</v>
      </c>
      <c r="J27" s="354" t="s">
        <v>3753</v>
      </c>
      <c r="K27" s="354">
        <v>9.42</v>
      </c>
      <c r="L27" s="354">
        <v>3</v>
      </c>
      <c r="M27" s="354">
        <f t="shared" si="0"/>
        <v>28.259999999999998</v>
      </c>
    </row>
    <row r="28" spans="7:13" ht="19.5" customHeight="1">
      <c r="G28" s="352">
        <v>21</v>
      </c>
      <c r="H28" s="352" t="s">
        <v>3747</v>
      </c>
      <c r="I28" s="352">
        <v>11164564</v>
      </c>
      <c r="J28" s="352" t="s">
        <v>3748</v>
      </c>
      <c r="K28" s="352">
        <v>16.02</v>
      </c>
      <c r="L28" s="352">
        <v>7</v>
      </c>
      <c r="M28" s="352">
        <f t="shared" si="0"/>
        <v>112.14</v>
      </c>
    </row>
    <row r="29" spans="7:13" ht="19.5" customHeight="1">
      <c r="G29" s="354">
        <v>22</v>
      </c>
      <c r="H29" s="354" t="s">
        <v>3745</v>
      </c>
      <c r="I29" s="354">
        <v>11164565</v>
      </c>
      <c r="J29" s="354" t="s">
        <v>3746</v>
      </c>
      <c r="K29" s="354">
        <v>77.83</v>
      </c>
      <c r="L29" s="354">
        <v>4</v>
      </c>
      <c r="M29" s="354">
        <f t="shared" si="0"/>
        <v>311.32</v>
      </c>
    </row>
    <row r="30" spans="7:13" ht="19.5" customHeight="1">
      <c r="G30" s="352">
        <v>23</v>
      </c>
      <c r="H30" s="352" t="s">
        <v>3749</v>
      </c>
      <c r="I30" s="352">
        <v>11164567</v>
      </c>
      <c r="J30" s="352" t="s">
        <v>3754</v>
      </c>
      <c r="K30" s="352">
        <v>1.54</v>
      </c>
      <c r="L30" s="352">
        <v>15</v>
      </c>
      <c r="M30" s="352">
        <f t="shared" si="0"/>
        <v>23.1</v>
      </c>
    </row>
    <row r="31" spans="7:13" ht="19.5" customHeight="1">
      <c r="G31" s="354">
        <v>24</v>
      </c>
      <c r="H31" s="354" t="s">
        <v>3747</v>
      </c>
      <c r="I31" s="354">
        <v>11164568</v>
      </c>
      <c r="J31" s="354" t="s">
        <v>3753</v>
      </c>
      <c r="K31" s="354">
        <v>9.81</v>
      </c>
      <c r="L31" s="354">
        <v>1</v>
      </c>
      <c r="M31" s="354">
        <f t="shared" si="0"/>
        <v>9.81</v>
      </c>
    </row>
    <row r="32" spans="7:13" ht="19.5" customHeight="1">
      <c r="G32" s="352">
        <v>25</v>
      </c>
      <c r="H32" s="352" t="s">
        <v>3751</v>
      </c>
      <c r="I32" s="352">
        <v>11164569</v>
      </c>
      <c r="J32" s="352" t="s">
        <v>3754</v>
      </c>
      <c r="K32" s="352">
        <v>1.77</v>
      </c>
      <c r="L32" s="352">
        <v>8</v>
      </c>
      <c r="M32" s="352">
        <f t="shared" si="0"/>
        <v>14.16</v>
      </c>
    </row>
    <row r="33" spans="7:13" ht="19.5" customHeight="1">
      <c r="G33" s="354">
        <v>26</v>
      </c>
      <c r="H33" s="354" t="s">
        <v>3752</v>
      </c>
      <c r="I33" s="354">
        <v>11164570</v>
      </c>
      <c r="J33" s="354" t="s">
        <v>3754</v>
      </c>
      <c r="K33" s="354">
        <v>7.99</v>
      </c>
      <c r="L33" s="354">
        <v>13</v>
      </c>
      <c r="M33" s="354">
        <f t="shared" si="0"/>
        <v>103.87</v>
      </c>
    </row>
    <row r="34" spans="7:13" ht="19.5" customHeight="1" thickBot="1">
      <c r="G34" s="360">
        <v>27</v>
      </c>
      <c r="H34" s="360" t="s">
        <v>3751</v>
      </c>
      <c r="I34" s="360">
        <v>11164571</v>
      </c>
      <c r="J34" s="360" t="s">
        <v>3748</v>
      </c>
      <c r="K34" s="360">
        <v>23.54</v>
      </c>
      <c r="L34" s="360">
        <v>10</v>
      </c>
      <c r="M34" s="360">
        <f t="shared" si="0"/>
        <v>235.39999999999998</v>
      </c>
    </row>
  </sheetData>
  <pageMargins left="0.75" right="0.75" top="1" bottom="1" header="0.5" footer="0.5"/>
  <headerFooter alignWithMargin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4">
    <tabColor theme="0" tint="-0.34998626667073579"/>
  </sheetPr>
  <dimension ref="A1:L208"/>
  <sheetViews>
    <sheetView showGridLines="0" topLeftCell="A22" zoomScale="140" zoomScaleNormal="160" workbookViewId="0">
      <selection activeCell="H39" sqref="H39"/>
    </sheetView>
  </sheetViews>
  <sheetFormatPr defaultRowHeight="12.75"/>
  <cols>
    <col min="1" max="1" width="6.85546875" style="64" customWidth="1"/>
    <col min="2" max="2" width="25.7109375" style="64" customWidth="1"/>
    <col min="3" max="4" width="14" style="64" customWidth="1"/>
    <col min="5" max="5" width="15.85546875" style="64" customWidth="1"/>
    <col min="6" max="6" width="15.5703125" style="64" customWidth="1"/>
    <col min="7" max="7" width="15.7109375" style="64" customWidth="1"/>
    <col min="8" max="8" width="15.85546875" style="64" bestFit="1" customWidth="1"/>
    <col min="9" max="12" width="14" style="64" customWidth="1"/>
    <col min="13" max="256" width="9.140625" style="64"/>
    <col min="257" max="257" width="6.85546875" style="64" customWidth="1"/>
    <col min="258" max="258" width="25.7109375" style="64" customWidth="1"/>
    <col min="259" max="268" width="14" style="64" customWidth="1"/>
    <col min="269" max="512" width="9.140625" style="64"/>
    <col min="513" max="513" width="6.85546875" style="64" customWidth="1"/>
    <col min="514" max="514" width="25.7109375" style="64" customWidth="1"/>
    <col min="515" max="524" width="14" style="64" customWidth="1"/>
    <col min="525" max="768" width="9.140625" style="64"/>
    <col min="769" max="769" width="6.85546875" style="64" customWidth="1"/>
    <col min="770" max="770" width="25.7109375" style="64" customWidth="1"/>
    <col min="771" max="780" width="14" style="64" customWidth="1"/>
    <col min="781" max="1024" width="9.140625" style="64"/>
    <col min="1025" max="1025" width="6.85546875" style="64" customWidth="1"/>
    <col min="1026" max="1026" width="25.7109375" style="64" customWidth="1"/>
    <col min="1027" max="1036" width="14" style="64" customWidth="1"/>
    <col min="1037" max="1280" width="9.140625" style="64"/>
    <col min="1281" max="1281" width="6.85546875" style="64" customWidth="1"/>
    <col min="1282" max="1282" width="25.7109375" style="64" customWidth="1"/>
    <col min="1283" max="1292" width="14" style="64" customWidth="1"/>
    <col min="1293" max="1536" width="9.140625" style="64"/>
    <col min="1537" max="1537" width="6.85546875" style="64" customWidth="1"/>
    <col min="1538" max="1538" width="25.7109375" style="64" customWidth="1"/>
    <col min="1539" max="1548" width="14" style="64" customWidth="1"/>
    <col min="1549" max="1792" width="9.140625" style="64"/>
    <col min="1793" max="1793" width="6.85546875" style="64" customWidth="1"/>
    <col min="1794" max="1794" width="25.7109375" style="64" customWidth="1"/>
    <col min="1795" max="1804" width="14" style="64" customWidth="1"/>
    <col min="1805" max="2048" width="9.140625" style="64"/>
    <col min="2049" max="2049" width="6.85546875" style="64" customWidth="1"/>
    <col min="2050" max="2050" width="25.7109375" style="64" customWidth="1"/>
    <col min="2051" max="2060" width="14" style="64" customWidth="1"/>
    <col min="2061" max="2304" width="9.140625" style="64"/>
    <col min="2305" max="2305" width="6.85546875" style="64" customWidth="1"/>
    <col min="2306" max="2306" width="25.7109375" style="64" customWidth="1"/>
    <col min="2307" max="2316" width="14" style="64" customWidth="1"/>
    <col min="2317" max="2560" width="9.140625" style="64"/>
    <col min="2561" max="2561" width="6.85546875" style="64" customWidth="1"/>
    <col min="2562" max="2562" width="25.7109375" style="64" customWidth="1"/>
    <col min="2563" max="2572" width="14" style="64" customWidth="1"/>
    <col min="2573" max="2816" width="9.140625" style="64"/>
    <col min="2817" max="2817" width="6.85546875" style="64" customWidth="1"/>
    <col min="2818" max="2818" width="25.7109375" style="64" customWidth="1"/>
    <col min="2819" max="2828" width="14" style="64" customWidth="1"/>
    <col min="2829" max="3072" width="9.140625" style="64"/>
    <col min="3073" max="3073" width="6.85546875" style="64" customWidth="1"/>
    <col min="3074" max="3074" width="25.7109375" style="64" customWidth="1"/>
    <col min="3075" max="3084" width="14" style="64" customWidth="1"/>
    <col min="3085" max="3328" width="9.140625" style="64"/>
    <col min="3329" max="3329" width="6.85546875" style="64" customWidth="1"/>
    <col min="3330" max="3330" width="25.7109375" style="64" customWidth="1"/>
    <col min="3331" max="3340" width="14" style="64" customWidth="1"/>
    <col min="3341" max="3584" width="9.140625" style="64"/>
    <col min="3585" max="3585" width="6.85546875" style="64" customWidth="1"/>
    <col min="3586" max="3586" width="25.7109375" style="64" customWidth="1"/>
    <col min="3587" max="3596" width="14" style="64" customWidth="1"/>
    <col min="3597" max="3840" width="9.140625" style="64"/>
    <col min="3841" max="3841" width="6.85546875" style="64" customWidth="1"/>
    <col min="3842" max="3842" width="25.7109375" style="64" customWidth="1"/>
    <col min="3843" max="3852" width="14" style="64" customWidth="1"/>
    <col min="3853" max="4096" width="9.140625" style="64"/>
    <col min="4097" max="4097" width="6.85546875" style="64" customWidth="1"/>
    <col min="4098" max="4098" width="25.7109375" style="64" customWidth="1"/>
    <col min="4099" max="4108" width="14" style="64" customWidth="1"/>
    <col min="4109" max="4352" width="9.140625" style="64"/>
    <col min="4353" max="4353" width="6.85546875" style="64" customWidth="1"/>
    <col min="4354" max="4354" width="25.7109375" style="64" customWidth="1"/>
    <col min="4355" max="4364" width="14" style="64" customWidth="1"/>
    <col min="4365" max="4608" width="9.140625" style="64"/>
    <col min="4609" max="4609" width="6.85546875" style="64" customWidth="1"/>
    <col min="4610" max="4610" width="25.7109375" style="64" customWidth="1"/>
    <col min="4611" max="4620" width="14" style="64" customWidth="1"/>
    <col min="4621" max="4864" width="9.140625" style="64"/>
    <col min="4865" max="4865" width="6.85546875" style="64" customWidth="1"/>
    <col min="4866" max="4866" width="25.7109375" style="64" customWidth="1"/>
    <col min="4867" max="4876" width="14" style="64" customWidth="1"/>
    <col min="4877" max="5120" width="9.140625" style="64"/>
    <col min="5121" max="5121" width="6.85546875" style="64" customWidth="1"/>
    <col min="5122" max="5122" width="25.7109375" style="64" customWidth="1"/>
    <col min="5123" max="5132" width="14" style="64" customWidth="1"/>
    <col min="5133" max="5376" width="9.140625" style="64"/>
    <col min="5377" max="5377" width="6.85546875" style="64" customWidth="1"/>
    <col min="5378" max="5378" width="25.7109375" style="64" customWidth="1"/>
    <col min="5379" max="5388" width="14" style="64" customWidth="1"/>
    <col min="5389" max="5632" width="9.140625" style="64"/>
    <col min="5633" max="5633" width="6.85546875" style="64" customWidth="1"/>
    <col min="5634" max="5634" width="25.7109375" style="64" customWidth="1"/>
    <col min="5635" max="5644" width="14" style="64" customWidth="1"/>
    <col min="5645" max="5888" width="9.140625" style="64"/>
    <col min="5889" max="5889" width="6.85546875" style="64" customWidth="1"/>
    <col min="5890" max="5890" width="25.7109375" style="64" customWidth="1"/>
    <col min="5891" max="5900" width="14" style="64" customWidth="1"/>
    <col min="5901" max="6144" width="9.140625" style="64"/>
    <col min="6145" max="6145" width="6.85546875" style="64" customWidth="1"/>
    <col min="6146" max="6146" width="25.7109375" style="64" customWidth="1"/>
    <col min="6147" max="6156" width="14" style="64" customWidth="1"/>
    <col min="6157" max="6400" width="9.140625" style="64"/>
    <col min="6401" max="6401" width="6.85546875" style="64" customWidth="1"/>
    <col min="6402" max="6402" width="25.7109375" style="64" customWidth="1"/>
    <col min="6403" max="6412" width="14" style="64" customWidth="1"/>
    <col min="6413" max="6656" width="9.140625" style="64"/>
    <col min="6657" max="6657" width="6.85546875" style="64" customWidth="1"/>
    <col min="6658" max="6658" width="25.7109375" style="64" customWidth="1"/>
    <col min="6659" max="6668" width="14" style="64" customWidth="1"/>
    <col min="6669" max="6912" width="9.140625" style="64"/>
    <col min="6913" max="6913" width="6.85546875" style="64" customWidth="1"/>
    <col min="6914" max="6914" width="25.7109375" style="64" customWidth="1"/>
    <col min="6915" max="6924" width="14" style="64" customWidth="1"/>
    <col min="6925" max="7168" width="9.140625" style="64"/>
    <col min="7169" max="7169" width="6.85546875" style="64" customWidth="1"/>
    <col min="7170" max="7170" width="25.7109375" style="64" customWidth="1"/>
    <col min="7171" max="7180" width="14" style="64" customWidth="1"/>
    <col min="7181" max="7424" width="9.140625" style="64"/>
    <col min="7425" max="7425" width="6.85546875" style="64" customWidth="1"/>
    <col min="7426" max="7426" width="25.7109375" style="64" customWidth="1"/>
    <col min="7427" max="7436" width="14" style="64" customWidth="1"/>
    <col min="7437" max="7680" width="9.140625" style="64"/>
    <col min="7681" max="7681" width="6.85546875" style="64" customWidth="1"/>
    <col min="7682" max="7682" width="25.7109375" style="64" customWidth="1"/>
    <col min="7683" max="7692" width="14" style="64" customWidth="1"/>
    <col min="7693" max="7936" width="9.140625" style="64"/>
    <col min="7937" max="7937" width="6.85546875" style="64" customWidth="1"/>
    <col min="7938" max="7938" width="25.7109375" style="64" customWidth="1"/>
    <col min="7939" max="7948" width="14" style="64" customWidth="1"/>
    <col min="7949" max="8192" width="9.140625" style="64"/>
    <col min="8193" max="8193" width="6.85546875" style="64" customWidth="1"/>
    <col min="8194" max="8194" width="25.7109375" style="64" customWidth="1"/>
    <col min="8195" max="8204" width="14" style="64" customWidth="1"/>
    <col min="8205" max="8448" width="9.140625" style="64"/>
    <col min="8449" max="8449" width="6.85546875" style="64" customWidth="1"/>
    <col min="8450" max="8450" width="25.7109375" style="64" customWidth="1"/>
    <col min="8451" max="8460" width="14" style="64" customWidth="1"/>
    <col min="8461" max="8704" width="9.140625" style="64"/>
    <col min="8705" max="8705" width="6.85546875" style="64" customWidth="1"/>
    <col min="8706" max="8706" width="25.7109375" style="64" customWidth="1"/>
    <col min="8707" max="8716" width="14" style="64" customWidth="1"/>
    <col min="8717" max="8960" width="9.140625" style="64"/>
    <col min="8961" max="8961" width="6.85546875" style="64" customWidth="1"/>
    <col min="8962" max="8962" width="25.7109375" style="64" customWidth="1"/>
    <col min="8963" max="8972" width="14" style="64" customWidth="1"/>
    <col min="8973" max="9216" width="9.140625" style="64"/>
    <col min="9217" max="9217" width="6.85546875" style="64" customWidth="1"/>
    <col min="9218" max="9218" width="25.7109375" style="64" customWidth="1"/>
    <col min="9219" max="9228" width="14" style="64" customWidth="1"/>
    <col min="9229" max="9472" width="9.140625" style="64"/>
    <col min="9473" max="9473" width="6.85546875" style="64" customWidth="1"/>
    <col min="9474" max="9474" width="25.7109375" style="64" customWidth="1"/>
    <col min="9475" max="9484" width="14" style="64" customWidth="1"/>
    <col min="9485" max="9728" width="9.140625" style="64"/>
    <col min="9729" max="9729" width="6.85546875" style="64" customWidth="1"/>
    <col min="9730" max="9730" width="25.7109375" style="64" customWidth="1"/>
    <col min="9731" max="9740" width="14" style="64" customWidth="1"/>
    <col min="9741" max="9984" width="9.140625" style="64"/>
    <col min="9985" max="9985" width="6.85546875" style="64" customWidth="1"/>
    <col min="9986" max="9986" width="25.7109375" style="64" customWidth="1"/>
    <col min="9987" max="9996" width="14" style="64" customWidth="1"/>
    <col min="9997" max="10240" width="9.140625" style="64"/>
    <col min="10241" max="10241" width="6.85546875" style="64" customWidth="1"/>
    <col min="10242" max="10242" width="25.7109375" style="64" customWidth="1"/>
    <col min="10243" max="10252" width="14" style="64" customWidth="1"/>
    <col min="10253" max="10496" width="9.140625" style="64"/>
    <col min="10497" max="10497" width="6.85546875" style="64" customWidth="1"/>
    <col min="10498" max="10498" width="25.7109375" style="64" customWidth="1"/>
    <col min="10499" max="10508" width="14" style="64" customWidth="1"/>
    <col min="10509" max="10752" width="9.140625" style="64"/>
    <col min="10753" max="10753" width="6.85546875" style="64" customWidth="1"/>
    <col min="10754" max="10754" width="25.7109375" style="64" customWidth="1"/>
    <col min="10755" max="10764" width="14" style="64" customWidth="1"/>
    <col min="10765" max="11008" width="9.140625" style="64"/>
    <col min="11009" max="11009" width="6.85546875" style="64" customWidth="1"/>
    <col min="11010" max="11010" width="25.7109375" style="64" customWidth="1"/>
    <col min="11011" max="11020" width="14" style="64" customWidth="1"/>
    <col min="11021" max="11264" width="9.140625" style="64"/>
    <col min="11265" max="11265" width="6.85546875" style="64" customWidth="1"/>
    <col min="11266" max="11266" width="25.7109375" style="64" customWidth="1"/>
    <col min="11267" max="11276" width="14" style="64" customWidth="1"/>
    <col min="11277" max="11520" width="9.140625" style="64"/>
    <col min="11521" max="11521" width="6.85546875" style="64" customWidth="1"/>
    <col min="11522" max="11522" width="25.7109375" style="64" customWidth="1"/>
    <col min="11523" max="11532" width="14" style="64" customWidth="1"/>
    <col min="11533" max="11776" width="9.140625" style="64"/>
    <col min="11777" max="11777" width="6.85546875" style="64" customWidth="1"/>
    <col min="11778" max="11778" width="25.7109375" style="64" customWidth="1"/>
    <col min="11779" max="11788" width="14" style="64" customWidth="1"/>
    <col min="11789" max="12032" width="9.140625" style="64"/>
    <col min="12033" max="12033" width="6.85546875" style="64" customWidth="1"/>
    <col min="12034" max="12034" width="25.7109375" style="64" customWidth="1"/>
    <col min="12035" max="12044" width="14" style="64" customWidth="1"/>
    <col min="12045" max="12288" width="9.140625" style="64"/>
    <col min="12289" max="12289" width="6.85546875" style="64" customWidth="1"/>
    <col min="12290" max="12290" width="25.7109375" style="64" customWidth="1"/>
    <col min="12291" max="12300" width="14" style="64" customWidth="1"/>
    <col min="12301" max="12544" width="9.140625" style="64"/>
    <col min="12545" max="12545" width="6.85546875" style="64" customWidth="1"/>
    <col min="12546" max="12546" width="25.7109375" style="64" customWidth="1"/>
    <col min="12547" max="12556" width="14" style="64" customWidth="1"/>
    <col min="12557" max="12800" width="9.140625" style="64"/>
    <col min="12801" max="12801" width="6.85546875" style="64" customWidth="1"/>
    <col min="12802" max="12802" width="25.7109375" style="64" customWidth="1"/>
    <col min="12803" max="12812" width="14" style="64" customWidth="1"/>
    <col min="12813" max="13056" width="9.140625" style="64"/>
    <col min="13057" max="13057" width="6.85546875" style="64" customWidth="1"/>
    <col min="13058" max="13058" width="25.7109375" style="64" customWidth="1"/>
    <col min="13059" max="13068" width="14" style="64" customWidth="1"/>
    <col min="13069" max="13312" width="9.140625" style="64"/>
    <col min="13313" max="13313" width="6.85546875" style="64" customWidth="1"/>
    <col min="13314" max="13314" width="25.7109375" style="64" customWidth="1"/>
    <col min="13315" max="13324" width="14" style="64" customWidth="1"/>
    <col min="13325" max="13568" width="9.140625" style="64"/>
    <col min="13569" max="13569" width="6.85546875" style="64" customWidth="1"/>
    <col min="13570" max="13570" width="25.7109375" style="64" customWidth="1"/>
    <col min="13571" max="13580" width="14" style="64" customWidth="1"/>
    <col min="13581" max="13824" width="9.140625" style="64"/>
    <col min="13825" max="13825" width="6.85546875" style="64" customWidth="1"/>
    <col min="13826" max="13826" width="25.7109375" style="64" customWidth="1"/>
    <col min="13827" max="13836" width="14" style="64" customWidth="1"/>
    <col min="13837" max="14080" width="9.140625" style="64"/>
    <col min="14081" max="14081" width="6.85546875" style="64" customWidth="1"/>
    <col min="14082" max="14082" width="25.7109375" style="64" customWidth="1"/>
    <col min="14083" max="14092" width="14" style="64" customWidth="1"/>
    <col min="14093" max="14336" width="9.140625" style="64"/>
    <col min="14337" max="14337" width="6.85546875" style="64" customWidth="1"/>
    <col min="14338" max="14338" width="25.7109375" style="64" customWidth="1"/>
    <col min="14339" max="14348" width="14" style="64" customWidth="1"/>
    <col min="14349" max="14592" width="9.140625" style="64"/>
    <col min="14593" max="14593" width="6.85546875" style="64" customWidth="1"/>
    <col min="14594" max="14594" width="25.7109375" style="64" customWidth="1"/>
    <col min="14595" max="14604" width="14" style="64" customWidth="1"/>
    <col min="14605" max="14848" width="9.140625" style="64"/>
    <col min="14849" max="14849" width="6.85546875" style="64" customWidth="1"/>
    <col min="14850" max="14850" width="25.7109375" style="64" customWidth="1"/>
    <col min="14851" max="14860" width="14" style="64" customWidth="1"/>
    <col min="14861" max="15104" width="9.140625" style="64"/>
    <col min="15105" max="15105" width="6.85546875" style="64" customWidth="1"/>
    <col min="15106" max="15106" width="25.7109375" style="64" customWidth="1"/>
    <col min="15107" max="15116" width="14" style="64" customWidth="1"/>
    <col min="15117" max="15360" width="9.140625" style="64"/>
    <col min="15361" max="15361" width="6.85546875" style="64" customWidth="1"/>
    <col min="15362" max="15362" width="25.7109375" style="64" customWidth="1"/>
    <col min="15363" max="15372" width="14" style="64" customWidth="1"/>
    <col min="15373" max="15616" width="9.140625" style="64"/>
    <col min="15617" max="15617" width="6.85546875" style="64" customWidth="1"/>
    <col min="15618" max="15618" width="25.7109375" style="64" customWidth="1"/>
    <col min="15619" max="15628" width="14" style="64" customWidth="1"/>
    <col min="15629" max="15872" width="9.140625" style="64"/>
    <col min="15873" max="15873" width="6.85546875" style="64" customWidth="1"/>
    <col min="15874" max="15874" width="25.7109375" style="64" customWidth="1"/>
    <col min="15875" max="15884" width="14" style="64" customWidth="1"/>
    <col min="15885" max="16128" width="9.140625" style="64"/>
    <col min="16129" max="16129" width="6.85546875" style="64" customWidth="1"/>
    <col min="16130" max="16130" width="25.7109375" style="64" customWidth="1"/>
    <col min="16131" max="16140" width="14" style="64" customWidth="1"/>
    <col min="16141" max="16384" width="9.140625" style="64"/>
  </cols>
  <sheetData>
    <row r="1" spans="1:12" ht="18" customHeight="1" thickBot="1">
      <c r="A1" s="63"/>
    </row>
    <row r="2" spans="1:12" ht="18" hidden="1" customHeight="1">
      <c r="B2" s="65" t="s">
        <v>345</v>
      </c>
    </row>
    <row r="3" spans="1:12" ht="8.25" hidden="1" customHeight="1" thickBot="1"/>
    <row r="4" spans="1:12" ht="25.5" hidden="1">
      <c r="B4" s="66" t="s">
        <v>346</v>
      </c>
      <c r="C4" s="67" t="s">
        <v>347</v>
      </c>
      <c r="D4" s="67" t="s">
        <v>348</v>
      </c>
      <c r="E4" s="67" t="s">
        <v>349</v>
      </c>
      <c r="F4" s="67" t="s">
        <v>350</v>
      </c>
      <c r="G4" s="67" t="s">
        <v>351</v>
      </c>
      <c r="H4" s="67" t="s">
        <v>352</v>
      </c>
      <c r="I4" s="67" t="s">
        <v>353</v>
      </c>
      <c r="J4" s="67" t="s">
        <v>354</v>
      </c>
      <c r="K4" s="67" t="s">
        <v>355</v>
      </c>
      <c r="L4" s="68" t="s">
        <v>356</v>
      </c>
    </row>
    <row r="5" spans="1:12" ht="13.5" hidden="1" thickBot="1">
      <c r="B5" s="69" t="s">
        <v>357</v>
      </c>
      <c r="C5" s="70">
        <f t="shared" ref="C5:L5" ca="1" si="0">(((C208/(OFFSET(C28,COUNTIF(C28:C208,"n/a"),0)))^(1/(COUNT($B$28:$B$208)-COUNTIF(C28:C208,"n/a")-1)))-1)*100</f>
        <v>0.84063259273299273</v>
      </c>
      <c r="D5" s="70">
        <f t="shared" ca="1" si="0"/>
        <v>1.0088061213816779</v>
      </c>
      <c r="E5" s="70">
        <f t="shared" ca="1" si="0"/>
        <v>1.1913275848481231</v>
      </c>
      <c r="F5" s="70">
        <f t="shared" ca="1" si="0"/>
        <v>1.8207341637221708</v>
      </c>
      <c r="G5" s="70">
        <f t="shared" ca="1" si="0"/>
        <v>0.23132552066240653</v>
      </c>
      <c r="H5" s="70">
        <f t="shared" ca="1" si="0"/>
        <v>1.0288723678371747</v>
      </c>
      <c r="I5" s="70">
        <f t="shared" ca="1" si="0"/>
        <v>1.3946803910610317</v>
      </c>
      <c r="J5" s="70">
        <f t="shared" ca="1" si="0"/>
        <v>1.3184394792358223</v>
      </c>
      <c r="K5" s="70">
        <f t="shared" ca="1" si="0"/>
        <v>1.4794512656836734</v>
      </c>
      <c r="L5" s="71">
        <f t="shared" ca="1" si="0"/>
        <v>0.93825649606478212</v>
      </c>
    </row>
    <row r="6" spans="1:12" hidden="1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</row>
    <row r="7" spans="1:12"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</row>
    <row r="8" spans="1:12">
      <c r="B8" s="65" t="s">
        <v>358</v>
      </c>
      <c r="C8" s="65"/>
      <c r="D8" s="65"/>
      <c r="E8" s="65"/>
      <c r="F8" s="65"/>
      <c r="G8" s="65"/>
      <c r="H8" s="65"/>
      <c r="I8" s="65"/>
      <c r="J8" s="65"/>
      <c r="K8" s="65"/>
      <c r="L8" s="65"/>
    </row>
    <row r="9" spans="1:12" ht="8.25" customHeight="1" thickBot="1"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</row>
    <row r="10" spans="1:12" ht="25.5">
      <c r="B10" s="72" t="s">
        <v>346</v>
      </c>
      <c r="C10" s="73" t="s">
        <v>359</v>
      </c>
      <c r="D10" s="74" t="s">
        <v>360</v>
      </c>
      <c r="E10" s="74" t="s">
        <v>3958</v>
      </c>
      <c r="F10" s="74" t="s">
        <v>3959</v>
      </c>
      <c r="G10" s="74" t="s">
        <v>4060</v>
      </c>
      <c r="H10" s="74" t="s">
        <v>360</v>
      </c>
      <c r="I10" s="74" t="s">
        <v>4059</v>
      </c>
      <c r="J10" s="65"/>
      <c r="K10" s="65"/>
      <c r="L10" s="65"/>
    </row>
    <row r="11" spans="1:12">
      <c r="B11" s="75" t="s">
        <v>347</v>
      </c>
      <c r="C11" s="76">
        <v>37834</v>
      </c>
      <c r="D11" s="613">
        <f t="shared" ref="D11:D20" si="1">VLOOKUP($C11,$B$27:$L$208,MATCH($B11,$B$27:$L$27,0),FALSE)</f>
        <v>392.82051282051276</v>
      </c>
      <c r="E11" s="613">
        <f>HLOOKUP($B11,$B$27:$L$208,MATCH($C11,$B$27:$B$208,0),FALSE)</f>
        <v>392.82051282051276</v>
      </c>
      <c r="F11" s="613">
        <f t="shared" ref="F11:F20" si="2">VLOOKUP($C11,$B$27:$L$208,MATCH($B11,$B$27:$L$27,0),FALSE)</f>
        <v>392.82051282051276</v>
      </c>
      <c r="G11" s="613">
        <f t="shared" ref="G11:G12" si="3">INDEX($B$27:$L$208,MATCH($C11,$B$27:$B$208,0),MATCH($B11,$B$27:$L$27,0))</f>
        <v>392.82051282051276</v>
      </c>
      <c r="H11" s="613">
        <f>VLOOKUP($C11,B27:$L$208,MATCH($B11,$B$27:$L$27,0))</f>
        <v>392.82051282051276</v>
      </c>
      <c r="I11" s="613">
        <f>HLOOKUP($B11,$B$27:$L$208,MATCH($C11,$B$27:$B$208),FALSE)</f>
        <v>392.82051282051276</v>
      </c>
    </row>
    <row r="12" spans="1:12">
      <c r="B12" s="75" t="s">
        <v>348</v>
      </c>
      <c r="C12" s="76">
        <v>34425</v>
      </c>
      <c r="D12" s="613">
        <f t="shared" si="1"/>
        <v>273.35674862017061</v>
      </c>
      <c r="E12" s="613">
        <f t="shared" ref="E12:E20" si="4">HLOOKUP($B12,$B$27:$L$208,MATCH($C12,$B$27:$B$208,0),FALSE)</f>
        <v>273.35674862017061</v>
      </c>
      <c r="F12" s="613">
        <f t="shared" si="2"/>
        <v>273.35674862017061</v>
      </c>
      <c r="G12" s="613">
        <f t="shared" si="3"/>
        <v>273.35674862017061</v>
      </c>
      <c r="H12" s="613">
        <f>VLOOKUP($C12,B28:$L$208,MATCH($B12,$B$27:$L$27,0))</f>
        <v>273.35674862017061</v>
      </c>
      <c r="I12" s="613">
        <f t="shared" ref="I12:I20" si="5">HLOOKUP($B12,$B$27:$L$208,MATCH($C12,$B$27:$B$208),FALSE)</f>
        <v>273.35674862017061</v>
      </c>
      <c r="J12" s="65"/>
      <c r="K12" s="65"/>
      <c r="L12" s="65"/>
    </row>
    <row r="13" spans="1:12">
      <c r="B13" s="75" t="s">
        <v>349</v>
      </c>
      <c r="C13" s="76">
        <v>34912</v>
      </c>
      <c r="D13" s="613">
        <f t="shared" si="1"/>
        <v>376.79436371642453</v>
      </c>
      <c r="E13" s="613">
        <f t="shared" si="4"/>
        <v>376.79436371642453</v>
      </c>
      <c r="F13" s="613">
        <f t="shared" si="2"/>
        <v>376.79436371642453</v>
      </c>
      <c r="G13" s="613">
        <f>INDEX($B$27:$L$208,MATCH($C13,$B$27:$B$208,0),MATCH($B13,$B$27:$L$27,0))</f>
        <v>376.79436371642453</v>
      </c>
      <c r="H13" s="613"/>
      <c r="I13" s="613">
        <f t="shared" si="5"/>
        <v>376.79436371642453</v>
      </c>
    </row>
    <row r="14" spans="1:12">
      <c r="B14" s="75" t="s">
        <v>350</v>
      </c>
      <c r="C14" s="76">
        <v>35370</v>
      </c>
      <c r="D14" s="613">
        <f t="shared" si="1"/>
        <v>516.91176470588243</v>
      </c>
      <c r="E14" s="613">
        <f t="shared" si="4"/>
        <v>516.91176470588243</v>
      </c>
      <c r="F14" s="613">
        <f>VLOOKUP($C14,$B$27:$L$208,MATCH($B14,$B$27:$L$27,0),FALSE)</f>
        <v>516.91176470588243</v>
      </c>
      <c r="G14" s="613">
        <f t="shared" ref="G14:G15" si="6">INDEX($B$27:$L$208,MATCH($C14,$B$27:$B$208,0),MATCH($B14,$B$27:$L$27,0))</f>
        <v>516.91176470588243</v>
      </c>
      <c r="H14" s="613">
        <f>VLOOKUP($C14,$B$27:$L$208,MATCH($B14,$B$27:$L$27,0))</f>
        <v>516.91176470588243</v>
      </c>
      <c r="I14" s="613">
        <f t="shared" si="5"/>
        <v>516.91176470588243</v>
      </c>
      <c r="J14" s="65"/>
      <c r="K14" s="65"/>
      <c r="L14" s="65"/>
    </row>
    <row r="15" spans="1:12">
      <c r="B15" s="75" t="s">
        <v>351</v>
      </c>
      <c r="C15" s="76">
        <v>35916</v>
      </c>
      <c r="D15" s="613">
        <f t="shared" si="1"/>
        <v>112.85323609845031</v>
      </c>
      <c r="E15" s="613">
        <f t="shared" si="4"/>
        <v>112.85323609845031</v>
      </c>
      <c r="F15" s="613">
        <f t="shared" si="2"/>
        <v>112.85323609845031</v>
      </c>
      <c r="G15" s="613">
        <f t="shared" si="6"/>
        <v>112.85323609845031</v>
      </c>
      <c r="H15" s="613">
        <f>VLOOKUP($C15,$B$27:$L$208,MATCH($B15,$B$27:$L$27,0))</f>
        <v>112.85323609845031</v>
      </c>
      <c r="I15" s="613">
        <f t="shared" si="5"/>
        <v>112.85323609845031</v>
      </c>
      <c r="J15" s="65"/>
      <c r="K15" s="65"/>
      <c r="L15" s="65"/>
    </row>
    <row r="16" spans="1:12">
      <c r="B16" s="75" t="s">
        <v>352</v>
      </c>
      <c r="C16" s="76">
        <v>36465</v>
      </c>
      <c r="D16" s="613">
        <f t="shared" si="1"/>
        <v>130.80000000000001</v>
      </c>
      <c r="E16" s="613">
        <f t="shared" si="4"/>
        <v>130.80000000000001</v>
      </c>
      <c r="F16" s="613">
        <f t="shared" si="2"/>
        <v>130.80000000000001</v>
      </c>
      <c r="G16" s="613">
        <f>INDEX($B$27:$L$208,MATCH($C16,$B$27:$B$208,0),MATCH($B16,$B$27:$L$27,0))</f>
        <v>130.80000000000001</v>
      </c>
      <c r="H16" s="613">
        <f>VLOOKUP($C16,$B$27:$L$208,MATCH($B16,$B$27:$L$27,0))</f>
        <v>130.80000000000001</v>
      </c>
      <c r="I16" s="613">
        <f t="shared" si="5"/>
        <v>130.80000000000001</v>
      </c>
      <c r="J16" s="65"/>
      <c r="K16" s="65"/>
      <c r="L16" s="65"/>
    </row>
    <row r="17" spans="2:12">
      <c r="B17" s="75" t="s">
        <v>353</v>
      </c>
      <c r="C17" s="76">
        <v>37012</v>
      </c>
      <c r="D17" s="613">
        <f t="shared" si="1"/>
        <v>718.44331641285953</v>
      </c>
      <c r="E17" s="613">
        <f t="shared" si="4"/>
        <v>718.44331641285953</v>
      </c>
      <c r="F17" s="613">
        <f t="shared" si="2"/>
        <v>718.44331641285953</v>
      </c>
      <c r="G17" s="613">
        <f>INDEX($B$27:$L$208,MATCH($C17,$B$27:$B$208,0),MATCH($B17,$B$27:$L$27,0))</f>
        <v>718.44331641285953</v>
      </c>
      <c r="H17" s="613">
        <f>VLOOKUP($C17,$B$27:$L$208,MATCH($B17,$B$27:$L$27,0))</f>
        <v>718.44331641285953</v>
      </c>
      <c r="I17" s="613">
        <f t="shared" si="5"/>
        <v>718.44331641285953</v>
      </c>
      <c r="J17" s="65"/>
      <c r="K17" s="65"/>
      <c r="L17" s="65"/>
    </row>
    <row r="18" spans="2:12">
      <c r="B18" s="75" t="s">
        <v>354</v>
      </c>
      <c r="C18" s="76">
        <v>37834</v>
      </c>
      <c r="D18" s="613">
        <f t="shared" si="1"/>
        <v>943.99152991000517</v>
      </c>
      <c r="E18" s="613">
        <f t="shared" si="4"/>
        <v>943.99152991000517</v>
      </c>
      <c r="F18" s="613">
        <f t="shared" si="2"/>
        <v>943.99152991000517</v>
      </c>
      <c r="G18" s="613">
        <f>INDEX($B$27:$L$208,MATCH($C18,$B$27:$B$208,0),MATCH($B18,$B$27:$L$27,0))</f>
        <v>943.99152991000517</v>
      </c>
      <c r="H18" s="613">
        <f>VLOOKUP($C18,$B$27:$L$208,MATCH($B18,$B$27:$L$27,0))</f>
        <v>943.99152991000517</v>
      </c>
      <c r="I18" s="613">
        <f t="shared" si="5"/>
        <v>943.99152991000517</v>
      </c>
      <c r="J18" s="65"/>
      <c r="K18" s="65"/>
      <c r="L18" s="65"/>
    </row>
    <row r="19" spans="2:12">
      <c r="B19" s="75" t="s">
        <v>355</v>
      </c>
      <c r="C19" s="76">
        <v>37773</v>
      </c>
      <c r="D19" s="613">
        <f t="shared" si="1"/>
        <v>1342.2590939941374</v>
      </c>
      <c r="E19" s="613">
        <f t="shared" si="4"/>
        <v>1342.2590939941374</v>
      </c>
      <c r="F19" s="613">
        <f t="shared" si="2"/>
        <v>1342.2590939941374</v>
      </c>
      <c r="G19" s="613">
        <f t="shared" ref="G19:G20" si="7">INDEX($B$27:$L$208,MATCH($C19,$B$27:$B$208,0),MATCH($B19,$B$27:$L$27,0))</f>
        <v>1342.2590939941374</v>
      </c>
      <c r="H19" s="613">
        <f>VLOOKUP($C19,B35:$L$208,MATCH($B19,$B$27:$L$27,0))</f>
        <v>1342.2590939941374</v>
      </c>
      <c r="I19" s="613">
        <f t="shared" si="5"/>
        <v>1342.2590939941374</v>
      </c>
      <c r="J19" s="65"/>
      <c r="K19" s="65"/>
      <c r="L19" s="65"/>
    </row>
    <row r="20" spans="2:12" ht="13.5" thickBot="1">
      <c r="B20" s="77" t="s">
        <v>356</v>
      </c>
      <c r="C20" s="78">
        <v>37803</v>
      </c>
      <c r="D20" s="613">
        <f t="shared" si="1"/>
        <v>460.10361016674756</v>
      </c>
      <c r="E20" s="613">
        <f t="shared" si="4"/>
        <v>460.10361016674756</v>
      </c>
      <c r="F20" s="613">
        <f t="shared" si="2"/>
        <v>460.10361016674756</v>
      </c>
      <c r="G20" s="613">
        <f t="shared" si="7"/>
        <v>460.10361016674756</v>
      </c>
      <c r="H20" s="613">
        <f>VLOOKUP($C20,B36:$L$208,MATCH($B20,$B$27:$L$27,0))</f>
        <v>460.10361016674756</v>
      </c>
      <c r="I20" s="613">
        <f t="shared" si="5"/>
        <v>460.10361016674756</v>
      </c>
      <c r="J20" s="65"/>
      <c r="K20" s="65"/>
      <c r="L20" s="65"/>
    </row>
    <row r="21" spans="2:12">
      <c r="B21" s="65"/>
      <c r="C21" s="190"/>
      <c r="D21" s="65"/>
      <c r="F21" s="65"/>
      <c r="G21" s="65"/>
      <c r="H21" s="65"/>
      <c r="I21" s="65"/>
      <c r="J21" s="65"/>
      <c r="K21" s="65"/>
      <c r="L21" s="65"/>
    </row>
    <row r="22" spans="2:12">
      <c r="B22" s="79" t="s">
        <v>361</v>
      </c>
      <c r="C22" s="79"/>
      <c r="D22" s="79"/>
      <c r="F22" s="190"/>
      <c r="G22" s="65"/>
      <c r="H22" s="65"/>
      <c r="I22" s="65"/>
      <c r="J22" s="65"/>
      <c r="K22" s="65"/>
      <c r="L22" s="65"/>
    </row>
    <row r="23" spans="2:12">
      <c r="B23" s="65"/>
      <c r="C23" s="65"/>
      <c r="D23" s="65"/>
      <c r="E23" s="65"/>
      <c r="F23" s="65"/>
      <c r="G23" s="65"/>
      <c r="H23" s="559"/>
      <c r="I23" s="65"/>
      <c r="J23" s="65"/>
      <c r="K23" s="65"/>
      <c r="L23" s="65"/>
    </row>
    <row r="24" spans="2:12">
      <c r="B24" s="65"/>
      <c r="C24" s="552">
        <f>(C208/C28)^(12/(COUNT($C$28:$C$208)-1))-1</f>
        <v>0.10567308312630908</v>
      </c>
      <c r="D24" s="552">
        <f>($D$208/$D$28)^(12/(COUNT($D$28:$D$208)-1))-1</f>
        <v>0.12800456096471846</v>
      </c>
      <c r="E24" s="552">
        <f>($E$208/$E$28)^(12/(COUNT($E$28:$E$208)-1))-1</f>
        <v>0.15270857620124212</v>
      </c>
      <c r="F24" s="552">
        <f>($F$208/$F$57)^(12/(COUNT($F$28:$F$208)-1))-1</f>
        <v>0.24175148936766289</v>
      </c>
      <c r="G24" s="552">
        <f>(G208/G66)^(12/(COUNT($G$66:$G$208)-1))-1</f>
        <v>2.8114975869736769E-2</v>
      </c>
      <c r="H24" s="65"/>
      <c r="I24" s="65"/>
      <c r="J24" s="65"/>
      <c r="K24" s="65"/>
      <c r="L24" s="65"/>
    </row>
    <row r="25" spans="2:12">
      <c r="B25" s="65"/>
      <c r="C25" s="552">
        <f>(C208/C28)^(12/(COUNT($C$28:$C$208)-1))-1</f>
        <v>0.10567308312630908</v>
      </c>
      <c r="D25" s="552">
        <f>(D208/D28)^(12/(COUNT($D$28:$D$208)-1))-1</f>
        <v>0.12800456096471846</v>
      </c>
      <c r="E25" s="552">
        <f>(E208/E28)^(12/(COUNT($E$28:$E$208)-1))-1</f>
        <v>0.15270857620124212</v>
      </c>
      <c r="F25" s="552">
        <f>(F208/F57)^(12/(COUNT($F$57:$F$208)-1))-1</f>
        <v>0.24175148936766289</v>
      </c>
      <c r="G25" s="552">
        <f>(G208/G66)^(12/(COUNT($G$66:$G$208)-1))-1</f>
        <v>2.8114975869736769E-2</v>
      </c>
      <c r="H25" s="552">
        <f>(H208/H132)^(12/(COUNT($H$132:$H$208)-1))-1</f>
        <v>0.13069655181867246</v>
      </c>
      <c r="I25" s="552">
        <f>(I208/I28)^(12/(COUNT(I28:I208)-1))-1</f>
        <v>0.18081550534070745</v>
      </c>
      <c r="J25" s="552">
        <f>(J208/J28)^(12/(COUNT($J$28:$J$208)-1))-1</f>
        <v>0.1702048810535528</v>
      </c>
      <c r="K25" s="552">
        <f t="shared" ref="K25:L25" si="8">(K208/K28)^(12/(COUNT($I$28:$I$208)-1))-1</f>
        <v>0.1927167603664881</v>
      </c>
      <c r="L25" s="552">
        <f t="shared" si="8"/>
        <v>0.11858653412648912</v>
      </c>
    </row>
    <row r="26" spans="2:12" ht="18.75" customHeight="1">
      <c r="B26" s="534"/>
      <c r="C26" s="535">
        <f>(C208/C28)^(12/(COUNT(C28:C208)-1))-1</f>
        <v>0.10567308312630908</v>
      </c>
      <c r="D26" s="535">
        <f>(D208/D28)^(12/(COUNT(D28:D208)-1))-1</f>
        <v>0.12800456096471846</v>
      </c>
      <c r="E26" s="535">
        <f>(E208/E28)^(12/(COUNT(E28:E208)-1))-1</f>
        <v>0.15270857620124212</v>
      </c>
      <c r="F26" s="535">
        <f>(F208/F57)^(12/(COUNT(F57:F208)-1))-1</f>
        <v>0.24175148936766289</v>
      </c>
      <c r="G26" s="535">
        <f>(G208/G66)^(12/(COUNT($G$66:$G$208)-1))-1</f>
        <v>2.8114975869736769E-2</v>
      </c>
      <c r="H26" s="535">
        <f>(H208/H132)^(12/(COUNT(H132:H208)-1))-1</f>
        <v>0.13069655181867246</v>
      </c>
      <c r="I26" s="535">
        <f>(I208/I28)^(12/(COUNT(I28:I208)-1))-1</f>
        <v>0.18081550534070745</v>
      </c>
      <c r="J26" s="535">
        <f>(J208/J28)^(12/(COUNT(J28:J208)-1))-1</f>
        <v>0.1702048810535528</v>
      </c>
      <c r="K26" s="535">
        <f>(K208/K28)^(12/(COUNT(K28:K208)-1))-1</f>
        <v>0.1927167603664881</v>
      </c>
      <c r="L26" s="535">
        <f>(L208/L28)^(12/(COUNT($L$28:$L$208)-1))-1</f>
        <v>0.11858653412648912</v>
      </c>
    </row>
    <row r="27" spans="2:12" ht="25.5">
      <c r="B27" s="80" t="s">
        <v>359</v>
      </c>
      <c r="C27" s="81" t="s">
        <v>347</v>
      </c>
      <c r="D27" s="81" t="s">
        <v>348</v>
      </c>
      <c r="E27" s="81" t="s">
        <v>349</v>
      </c>
      <c r="F27" s="81" t="s">
        <v>350</v>
      </c>
      <c r="G27" s="81" t="s">
        <v>351</v>
      </c>
      <c r="H27" s="81" t="s">
        <v>352</v>
      </c>
      <c r="I27" s="81" t="s">
        <v>353</v>
      </c>
      <c r="J27" s="81" t="s">
        <v>354</v>
      </c>
      <c r="K27" s="81" t="s">
        <v>355</v>
      </c>
      <c r="L27" s="82" t="s">
        <v>356</v>
      </c>
    </row>
    <row r="28" spans="2:12">
      <c r="B28" s="83">
        <v>32540</v>
      </c>
      <c r="C28" s="84">
        <v>100</v>
      </c>
      <c r="D28" s="84">
        <v>100</v>
      </c>
      <c r="E28" s="84">
        <v>100</v>
      </c>
      <c r="F28" s="84" t="s">
        <v>362</v>
      </c>
      <c r="G28" s="84" t="s">
        <v>362</v>
      </c>
      <c r="H28" s="84" t="s">
        <v>362</v>
      </c>
      <c r="I28" s="84">
        <v>100</v>
      </c>
      <c r="J28" s="84">
        <v>100</v>
      </c>
      <c r="K28" s="84">
        <v>100</v>
      </c>
      <c r="L28" s="85">
        <v>100</v>
      </c>
    </row>
    <row r="29" spans="2:12">
      <c r="B29" s="83">
        <v>32568</v>
      </c>
      <c r="C29" s="84">
        <v>95.970695970695971</v>
      </c>
      <c r="D29" s="84">
        <v>102.05720020070247</v>
      </c>
      <c r="E29" s="84">
        <v>109.5112285336856</v>
      </c>
      <c r="F29" s="84" t="s">
        <v>362</v>
      </c>
      <c r="G29" s="84" t="s">
        <v>362</v>
      </c>
      <c r="H29" s="84" t="s">
        <v>362</v>
      </c>
      <c r="I29" s="84">
        <v>95.093062605752962</v>
      </c>
      <c r="J29" s="84">
        <v>102.40868184224456</v>
      </c>
      <c r="K29" s="84">
        <v>92.989068434201215</v>
      </c>
      <c r="L29" s="85">
        <v>97.060061518536486</v>
      </c>
    </row>
    <row r="30" spans="2:12">
      <c r="B30" s="83">
        <v>32599</v>
      </c>
      <c r="C30" s="84">
        <v>99.804639804639805</v>
      </c>
      <c r="D30" s="84">
        <v>112.46864024084296</v>
      </c>
      <c r="E30" s="84">
        <v>107.35358872743285</v>
      </c>
      <c r="F30" s="84" t="s">
        <v>362</v>
      </c>
      <c r="G30" s="84" t="s">
        <v>362</v>
      </c>
      <c r="H30" s="84" t="s">
        <v>362</v>
      </c>
      <c r="I30" s="84">
        <v>100.94754653130288</v>
      </c>
      <c r="J30" s="84">
        <v>111.43462149285335</v>
      </c>
      <c r="K30" s="84">
        <v>96.841831650998571</v>
      </c>
      <c r="L30" s="85">
        <v>100.44034320867733</v>
      </c>
    </row>
    <row r="31" spans="2:12">
      <c r="B31" s="83">
        <v>32629</v>
      </c>
      <c r="C31" s="84">
        <v>105.76312576312577</v>
      </c>
      <c r="D31" s="84">
        <v>119.5362339617232</v>
      </c>
      <c r="E31" s="84">
        <v>105.23998238661383</v>
      </c>
      <c r="F31" s="84" t="s">
        <v>362</v>
      </c>
      <c r="G31" s="84" t="s">
        <v>362</v>
      </c>
      <c r="H31" s="84" t="s">
        <v>362</v>
      </c>
      <c r="I31" s="84">
        <v>107.30964467005077</v>
      </c>
      <c r="J31" s="84">
        <v>117.62837480148225</v>
      </c>
      <c r="K31" s="84">
        <v>103.86431573019107</v>
      </c>
      <c r="L31" s="85">
        <v>104.94090982677675</v>
      </c>
    </row>
    <row r="32" spans="2:12">
      <c r="B32" s="83">
        <v>32660</v>
      </c>
      <c r="C32" s="84">
        <v>113.94383394383395</v>
      </c>
      <c r="D32" s="84">
        <v>125.44978854562399</v>
      </c>
      <c r="E32" s="84">
        <v>101.93747247908411</v>
      </c>
      <c r="F32" s="84" t="s">
        <v>362</v>
      </c>
      <c r="G32" s="84" t="s">
        <v>362</v>
      </c>
      <c r="H32" s="84" t="s">
        <v>362</v>
      </c>
      <c r="I32" s="84">
        <v>113.50253807106598</v>
      </c>
      <c r="J32" s="84">
        <v>124.5897300158814</v>
      </c>
      <c r="K32" s="84">
        <v>113.84424323816953</v>
      </c>
      <c r="L32" s="85">
        <v>109.84296584102314</v>
      </c>
    </row>
    <row r="33" spans="2:12">
      <c r="B33" s="83">
        <v>32690</v>
      </c>
      <c r="C33" s="84">
        <v>111.06227106227107</v>
      </c>
      <c r="D33" s="84">
        <v>129.5641889470289</v>
      </c>
      <c r="E33" s="84">
        <v>101.93747247908411</v>
      </c>
      <c r="F33" s="84" t="s">
        <v>362</v>
      </c>
      <c r="G33" s="84" t="s">
        <v>362</v>
      </c>
      <c r="H33" s="84" t="s">
        <v>362</v>
      </c>
      <c r="I33" s="84">
        <v>119.28934010152284</v>
      </c>
      <c r="J33" s="84">
        <v>122.6310217046056</v>
      </c>
      <c r="K33" s="84">
        <v>112.89260494736386</v>
      </c>
      <c r="L33" s="85">
        <v>109.17597539258539</v>
      </c>
    </row>
    <row r="34" spans="2:12">
      <c r="B34" s="83">
        <v>32721</v>
      </c>
      <c r="C34" s="84">
        <v>118.26617826617827</v>
      </c>
      <c r="D34" s="84">
        <v>139.07605189592147</v>
      </c>
      <c r="E34" s="84">
        <v>101.93747247908411</v>
      </c>
      <c r="F34" s="84" t="s">
        <v>362</v>
      </c>
      <c r="G34" s="84" t="s">
        <v>362</v>
      </c>
      <c r="H34" s="84" t="s">
        <v>362</v>
      </c>
      <c r="I34" s="84">
        <v>132.82571912013537</v>
      </c>
      <c r="J34" s="84">
        <v>144.25622022233983</v>
      </c>
      <c r="K34" s="84">
        <v>125.84730465421883</v>
      </c>
      <c r="L34" s="85">
        <v>117.78209486805891</v>
      </c>
    </row>
    <row r="35" spans="2:12">
      <c r="B35" s="83">
        <v>32752</v>
      </c>
      <c r="C35" s="84">
        <v>111.84371184371184</v>
      </c>
      <c r="D35" s="84">
        <v>152.69873127374385</v>
      </c>
      <c r="E35" s="84">
        <v>107.35358872743285</v>
      </c>
      <c r="F35" s="84" t="s">
        <v>362</v>
      </c>
      <c r="G35" s="84" t="s">
        <v>362</v>
      </c>
      <c r="H35" s="84" t="s">
        <v>362</v>
      </c>
      <c r="I35" s="84">
        <v>142.09813874788495</v>
      </c>
      <c r="J35" s="84">
        <v>145.34145050291158</v>
      </c>
      <c r="K35" s="84">
        <v>124.52742999898916</v>
      </c>
      <c r="L35" s="85">
        <v>121.67071393880522</v>
      </c>
    </row>
    <row r="36" spans="2:12">
      <c r="B36" s="83">
        <v>32782</v>
      </c>
      <c r="C36" s="84">
        <v>114.26129426129425</v>
      </c>
      <c r="D36" s="84">
        <v>145.7601605619669</v>
      </c>
      <c r="E36" s="84">
        <v>102.99427564949362</v>
      </c>
      <c r="F36" s="84" t="s">
        <v>362</v>
      </c>
      <c r="G36" s="84" t="s">
        <v>362</v>
      </c>
      <c r="H36" s="84" t="s">
        <v>362</v>
      </c>
      <c r="I36" s="84">
        <v>134.4839255499154</v>
      </c>
      <c r="J36" s="84">
        <v>148.83536262572787</v>
      </c>
      <c r="K36" s="84">
        <v>121.56276624933214</v>
      </c>
      <c r="L36" s="85">
        <v>120.96163186012625</v>
      </c>
    </row>
    <row r="37" spans="2:12">
      <c r="B37" s="83">
        <v>32813</v>
      </c>
      <c r="C37" s="84">
        <v>118.55921855921855</v>
      </c>
      <c r="D37" s="84">
        <v>154.98172174037705</v>
      </c>
      <c r="E37" s="84">
        <v>92.029942756494933</v>
      </c>
      <c r="F37" s="84" t="s">
        <v>362</v>
      </c>
      <c r="G37" s="84" t="s">
        <v>362</v>
      </c>
      <c r="H37" s="84" t="s">
        <v>362</v>
      </c>
      <c r="I37" s="84">
        <v>142.16582064297802</v>
      </c>
      <c r="J37" s="84">
        <v>158.07305452620434</v>
      </c>
      <c r="K37" s="84">
        <v>121.19164175655968</v>
      </c>
      <c r="L37" s="85">
        <v>117.85980249311962</v>
      </c>
    </row>
    <row r="38" spans="2:12">
      <c r="B38" s="83">
        <v>32843</v>
      </c>
      <c r="C38" s="84">
        <v>128.96214896214897</v>
      </c>
      <c r="D38" s="84">
        <v>168.86961508135622</v>
      </c>
      <c r="E38" s="84">
        <v>86.437692646411278</v>
      </c>
      <c r="F38" s="84" t="s">
        <v>362</v>
      </c>
      <c r="G38" s="84" t="s">
        <v>362</v>
      </c>
      <c r="H38" s="84" t="s">
        <v>362</v>
      </c>
      <c r="I38" s="84">
        <v>146.90355329949239</v>
      </c>
      <c r="J38" s="84">
        <v>172.12811011116989</v>
      </c>
      <c r="K38" s="84">
        <v>132.31093589799133</v>
      </c>
      <c r="L38" s="85">
        <v>121.58653067832279</v>
      </c>
    </row>
    <row r="39" spans="2:12">
      <c r="B39" s="83">
        <v>32874</v>
      </c>
      <c r="C39" s="84">
        <v>132.79609279609278</v>
      </c>
      <c r="D39" s="84">
        <v>178.08759228729124</v>
      </c>
      <c r="E39" s="84">
        <v>82.034346103038317</v>
      </c>
      <c r="F39" s="84" t="s">
        <v>362</v>
      </c>
      <c r="G39" s="84" t="s">
        <v>362</v>
      </c>
      <c r="H39" s="84" t="s">
        <v>362</v>
      </c>
      <c r="I39" s="84">
        <v>156.64974619289339</v>
      </c>
      <c r="J39" s="84">
        <v>168.58125992588668</v>
      </c>
      <c r="K39" s="84">
        <v>133.21780819939642</v>
      </c>
      <c r="L39" s="85">
        <v>122.84604176784846</v>
      </c>
    </row>
    <row r="40" spans="2:12">
      <c r="B40" s="83">
        <v>32905</v>
      </c>
      <c r="C40" s="84">
        <v>127.52136752136752</v>
      </c>
      <c r="D40" s="84">
        <v>172.63637015267724</v>
      </c>
      <c r="E40" s="84">
        <v>75.385292822545125</v>
      </c>
      <c r="F40" s="84" t="s">
        <v>362</v>
      </c>
      <c r="G40" s="84" t="s">
        <v>362</v>
      </c>
      <c r="H40" s="84" t="s">
        <v>362</v>
      </c>
      <c r="I40" s="84">
        <v>145.07614213197968</v>
      </c>
      <c r="J40" s="84">
        <v>150.02646903123343</v>
      </c>
      <c r="K40" s="84">
        <v>125.0530693584023</v>
      </c>
      <c r="L40" s="85">
        <v>114.51513679779828</v>
      </c>
    </row>
    <row r="41" spans="2:12">
      <c r="B41" s="83">
        <v>32933</v>
      </c>
      <c r="C41" s="84">
        <v>121.56288156288156</v>
      </c>
      <c r="D41" s="84">
        <v>169.7799440900294</v>
      </c>
      <c r="E41" s="84">
        <v>71.950682518714231</v>
      </c>
      <c r="F41" s="84" t="s">
        <v>362</v>
      </c>
      <c r="G41" s="84" t="s">
        <v>362</v>
      </c>
      <c r="H41" s="84" t="s">
        <v>362</v>
      </c>
      <c r="I41" s="84">
        <v>142.2673434856176</v>
      </c>
      <c r="J41" s="84">
        <v>154.39385918475381</v>
      </c>
      <c r="K41" s="84">
        <v>132.47555921385145</v>
      </c>
      <c r="L41" s="85">
        <v>116.38659543467701</v>
      </c>
    </row>
    <row r="42" spans="2:12">
      <c r="B42" s="83">
        <v>32964</v>
      </c>
      <c r="C42" s="84">
        <v>122.02686202686202</v>
      </c>
      <c r="D42" s="84">
        <v>173.93376818866034</v>
      </c>
      <c r="E42" s="84">
        <v>83.223249669749009</v>
      </c>
      <c r="F42" s="84" t="s">
        <v>362</v>
      </c>
      <c r="G42" s="84" t="s">
        <v>362</v>
      </c>
      <c r="H42" s="84" t="s">
        <v>362</v>
      </c>
      <c r="I42" s="84">
        <v>151.81049069373944</v>
      </c>
      <c r="J42" s="84">
        <v>166.78136580201163</v>
      </c>
      <c r="K42" s="84">
        <v>140.10455024621297</v>
      </c>
      <c r="L42" s="85">
        <v>118.73725109276347</v>
      </c>
    </row>
    <row r="43" spans="2:12">
      <c r="B43" s="83">
        <v>32994</v>
      </c>
      <c r="C43" s="84">
        <v>118.16849816849816</v>
      </c>
      <c r="D43" s="84">
        <v>177.53924449860227</v>
      </c>
      <c r="E43" s="84">
        <v>86.525759577278734</v>
      </c>
      <c r="F43" s="84" t="s">
        <v>362</v>
      </c>
      <c r="G43" s="84" t="s">
        <v>362</v>
      </c>
      <c r="H43" s="84" t="s">
        <v>362</v>
      </c>
      <c r="I43" s="84">
        <v>161.79357021996617</v>
      </c>
      <c r="J43" s="84">
        <v>168.42244573848595</v>
      </c>
      <c r="K43" s="84">
        <v>149.39421507891811</v>
      </c>
      <c r="L43" s="85">
        <v>116.71685284118503</v>
      </c>
    </row>
    <row r="44" spans="2:12">
      <c r="B44" s="83">
        <v>33025</v>
      </c>
      <c r="C44" s="84">
        <v>137.31379731379729</v>
      </c>
      <c r="D44" s="84">
        <v>205.93505841875137</v>
      </c>
      <c r="E44" s="84">
        <v>107.04535446939674</v>
      </c>
      <c r="F44" s="84" t="s">
        <v>362</v>
      </c>
      <c r="G44" s="84" t="s">
        <v>362</v>
      </c>
      <c r="H44" s="84" t="s">
        <v>362</v>
      </c>
      <c r="I44" s="84">
        <v>187.20812182741119</v>
      </c>
      <c r="J44" s="84">
        <v>198.59714134462675</v>
      </c>
      <c r="K44" s="84">
        <v>173.55052058513482</v>
      </c>
      <c r="L44" s="85">
        <v>128.1981544439048</v>
      </c>
    </row>
    <row r="45" spans="2:12">
      <c r="B45" s="83">
        <v>33055</v>
      </c>
      <c r="C45" s="84">
        <v>137.80219780219778</v>
      </c>
      <c r="D45" s="84">
        <v>210.7124937280482</v>
      </c>
      <c r="E45" s="84">
        <v>120.69572875385293</v>
      </c>
      <c r="F45" s="84" t="s">
        <v>362</v>
      </c>
      <c r="G45" s="84" t="s">
        <v>362</v>
      </c>
      <c r="H45" s="84" t="s">
        <v>362</v>
      </c>
      <c r="I45" s="84">
        <v>199.35702199661591</v>
      </c>
      <c r="J45" s="84">
        <v>196.71784012705135</v>
      </c>
      <c r="K45" s="84">
        <v>186.03012317867407</v>
      </c>
      <c r="L45" s="85">
        <v>127.18471750040472</v>
      </c>
    </row>
    <row r="46" spans="2:12">
      <c r="B46" s="83">
        <v>33086</v>
      </c>
      <c r="C46" s="84">
        <v>120.39072039072039</v>
      </c>
      <c r="D46" s="84">
        <v>214.16027524908611</v>
      </c>
      <c r="E46" s="84">
        <v>107.04535446939674</v>
      </c>
      <c r="F46" s="84" t="s">
        <v>362</v>
      </c>
      <c r="G46" s="84" t="s">
        <v>362</v>
      </c>
      <c r="H46" s="84" t="s">
        <v>362</v>
      </c>
      <c r="I46" s="84">
        <v>194.11167512690355</v>
      </c>
      <c r="J46" s="84">
        <v>200.02646903123343</v>
      </c>
      <c r="K46" s="84">
        <v>181.5650767520109</v>
      </c>
      <c r="L46" s="85">
        <v>126.02234094220495</v>
      </c>
    </row>
    <row r="47" spans="2:12">
      <c r="B47" s="83">
        <v>33117</v>
      </c>
      <c r="C47" s="84">
        <v>108.15628815628814</v>
      </c>
      <c r="D47" s="84">
        <v>188.95061285929327</v>
      </c>
      <c r="E47" s="84">
        <v>108.19022457067371</v>
      </c>
      <c r="F47" s="84" t="s">
        <v>362</v>
      </c>
      <c r="G47" s="84" t="s">
        <v>362</v>
      </c>
      <c r="H47" s="84" t="s">
        <v>362</v>
      </c>
      <c r="I47" s="84">
        <v>174.82233502538071</v>
      </c>
      <c r="J47" s="84">
        <v>186.26257278983587</v>
      </c>
      <c r="K47" s="84">
        <v>169.86382474837183</v>
      </c>
      <c r="L47" s="85">
        <v>114.82920511575196</v>
      </c>
    </row>
    <row r="48" spans="2:12">
      <c r="B48" s="83">
        <v>33147</v>
      </c>
      <c r="C48" s="84">
        <v>104.76190476190476</v>
      </c>
      <c r="D48" s="84">
        <v>181.58196545050535</v>
      </c>
      <c r="E48" s="84">
        <v>108.19022457067371</v>
      </c>
      <c r="F48" s="84" t="s">
        <v>362</v>
      </c>
      <c r="G48" s="84" t="s">
        <v>362</v>
      </c>
      <c r="H48" s="84" t="s">
        <v>362</v>
      </c>
      <c r="I48" s="84">
        <v>174.82233502538071</v>
      </c>
      <c r="J48" s="84">
        <v>184.38327157226044</v>
      </c>
      <c r="K48" s="84">
        <v>172.8443732039452</v>
      </c>
      <c r="L48" s="85">
        <v>112.44940909826776</v>
      </c>
    </row>
    <row r="49" spans="2:12">
      <c r="B49" s="83">
        <v>33178</v>
      </c>
      <c r="C49" s="84">
        <v>98.949938949938939</v>
      </c>
      <c r="D49" s="84">
        <v>189.63156762956064</v>
      </c>
      <c r="E49" s="84">
        <v>119.68295904887715</v>
      </c>
      <c r="F49" s="84" t="s">
        <v>362</v>
      </c>
      <c r="G49" s="84" t="s">
        <v>362</v>
      </c>
      <c r="H49" s="84" t="s">
        <v>362</v>
      </c>
      <c r="I49" s="84">
        <v>180.50761421319797</v>
      </c>
      <c r="J49" s="84">
        <v>199.8676548438327</v>
      </c>
      <c r="K49" s="84">
        <v>160.92362344582594</v>
      </c>
      <c r="L49" s="85">
        <v>109.87534401813177</v>
      </c>
    </row>
    <row r="50" spans="2:12">
      <c r="B50" s="83">
        <v>33208</v>
      </c>
      <c r="C50" s="84">
        <v>114.31013431013432</v>
      </c>
      <c r="D50" s="84">
        <v>198.48039567056128</v>
      </c>
      <c r="E50" s="84">
        <v>113.8265081461911</v>
      </c>
      <c r="F50" s="84" t="s">
        <v>362</v>
      </c>
      <c r="G50" s="84" t="s">
        <v>362</v>
      </c>
      <c r="H50" s="84" t="s">
        <v>362</v>
      </c>
      <c r="I50" s="84">
        <v>189.94923857868019</v>
      </c>
      <c r="J50" s="84">
        <v>207.99364743250393</v>
      </c>
      <c r="K50" s="84">
        <v>184.01854178399691</v>
      </c>
      <c r="L50" s="85">
        <v>116.56143759106361</v>
      </c>
    </row>
    <row r="51" spans="2:12">
      <c r="B51" s="83">
        <v>33239</v>
      </c>
      <c r="C51" s="84">
        <v>113.33333333333333</v>
      </c>
      <c r="D51" s="84">
        <v>204.11440040140494</v>
      </c>
      <c r="E51" s="84">
        <v>116.16028181417879</v>
      </c>
      <c r="F51" s="84" t="s">
        <v>362</v>
      </c>
      <c r="G51" s="84" t="s">
        <v>362</v>
      </c>
      <c r="H51" s="84" t="s">
        <v>362</v>
      </c>
      <c r="I51" s="84">
        <v>197.93570219966159</v>
      </c>
      <c r="J51" s="84">
        <v>206.88194812069875</v>
      </c>
      <c r="K51" s="84">
        <v>180.49502519891988</v>
      </c>
      <c r="L51" s="85">
        <v>119.03189250445199</v>
      </c>
    </row>
    <row r="52" spans="2:12">
      <c r="B52" s="83">
        <v>33270</v>
      </c>
      <c r="C52" s="84">
        <v>111.40415140415139</v>
      </c>
      <c r="D52" s="84">
        <v>202.77399469572077</v>
      </c>
      <c r="E52" s="84">
        <v>125.45134302069572</v>
      </c>
      <c r="F52" s="84" t="s">
        <v>362</v>
      </c>
      <c r="G52" s="84" t="s">
        <v>362</v>
      </c>
      <c r="H52" s="84" t="s">
        <v>362</v>
      </c>
      <c r="I52" s="84">
        <v>183.07952622673434</v>
      </c>
      <c r="J52" s="84">
        <v>210.21704605611433</v>
      </c>
      <c r="K52" s="84">
        <v>199.88736299441149</v>
      </c>
      <c r="L52" s="85">
        <v>123.90480815930061</v>
      </c>
    </row>
    <row r="53" spans="2:12">
      <c r="B53" s="83">
        <v>33298</v>
      </c>
      <c r="C53" s="84">
        <v>124.54212454212454</v>
      </c>
      <c r="D53" s="84">
        <v>215.91642176188088</v>
      </c>
      <c r="E53" s="84">
        <v>149.84588287098194</v>
      </c>
      <c r="F53" s="84" t="s">
        <v>362</v>
      </c>
      <c r="G53" s="84" t="s">
        <v>362</v>
      </c>
      <c r="H53" s="84" t="s">
        <v>362</v>
      </c>
      <c r="I53" s="84">
        <v>188.56175972927244</v>
      </c>
      <c r="J53" s="84">
        <v>234.70089994706191</v>
      </c>
      <c r="K53" s="84">
        <v>215.5496830279138</v>
      </c>
      <c r="L53" s="85">
        <v>134.34353245912254</v>
      </c>
    </row>
    <row r="54" spans="2:12">
      <c r="B54" s="83">
        <v>33329</v>
      </c>
      <c r="C54" s="84">
        <v>132.16117216117217</v>
      </c>
      <c r="D54" s="84">
        <v>240.05447638162141</v>
      </c>
      <c r="E54" s="84">
        <v>196.65345662703655</v>
      </c>
      <c r="F54" s="84" t="s">
        <v>362</v>
      </c>
      <c r="G54" s="84" t="s">
        <v>362</v>
      </c>
      <c r="H54" s="84" t="s">
        <v>362</v>
      </c>
      <c r="I54" s="84">
        <v>194.58544839255498</v>
      </c>
      <c r="J54" s="84">
        <v>244.70619375330861</v>
      </c>
      <c r="K54" s="84">
        <v>231.47626680529686</v>
      </c>
      <c r="L54" s="85">
        <v>134.93281528249958</v>
      </c>
    </row>
    <row r="55" spans="2:12">
      <c r="B55" s="83">
        <v>33359</v>
      </c>
      <c r="C55" s="84">
        <v>132.64957264957266</v>
      </c>
      <c r="D55" s="84">
        <v>248.31553293670709</v>
      </c>
      <c r="E55" s="84">
        <v>191.9859092910612</v>
      </c>
      <c r="F55" s="84" t="s">
        <v>362</v>
      </c>
      <c r="G55" s="84" t="s">
        <v>362</v>
      </c>
      <c r="H55" s="84" t="s">
        <v>362</v>
      </c>
      <c r="I55" s="84">
        <v>193.40101522842639</v>
      </c>
      <c r="J55" s="84">
        <v>242.48279512969822</v>
      </c>
      <c r="K55" s="84">
        <v>245.66419731692878</v>
      </c>
      <c r="L55" s="85">
        <v>138.44260968107494</v>
      </c>
    </row>
    <row r="56" spans="2:12">
      <c r="B56" s="83">
        <v>33390</v>
      </c>
      <c r="C56" s="84">
        <v>136.43467643467645</v>
      </c>
      <c r="D56" s="84">
        <v>264.99892480825753</v>
      </c>
      <c r="E56" s="84">
        <v>186.12945838837516</v>
      </c>
      <c r="F56" s="84" t="s">
        <v>362</v>
      </c>
      <c r="G56" s="84" t="s">
        <v>362</v>
      </c>
      <c r="H56" s="84" t="s">
        <v>362</v>
      </c>
      <c r="I56" s="84">
        <v>193.97631133671743</v>
      </c>
      <c r="J56" s="84">
        <v>252.54102699841184</v>
      </c>
      <c r="K56" s="84">
        <v>252.38487198371101</v>
      </c>
      <c r="L56" s="85">
        <v>141.93945280880683</v>
      </c>
    </row>
    <row r="57" spans="2:12">
      <c r="B57" s="83">
        <v>33420</v>
      </c>
      <c r="C57" s="84">
        <v>131.06227106227107</v>
      </c>
      <c r="D57" s="84">
        <v>264.99892480825753</v>
      </c>
      <c r="E57" s="84">
        <v>186.12945838837516</v>
      </c>
      <c r="F57" s="84">
        <v>100</v>
      </c>
      <c r="G57" s="84" t="s">
        <v>362</v>
      </c>
      <c r="H57" s="84" t="s">
        <v>362</v>
      </c>
      <c r="I57" s="84">
        <v>183.85786802030455</v>
      </c>
      <c r="J57" s="84">
        <v>251.37638962413973</v>
      </c>
      <c r="K57" s="84">
        <v>260.85430836546379</v>
      </c>
      <c r="L57" s="85">
        <v>138.49117694673788</v>
      </c>
    </row>
    <row r="58" spans="2:12">
      <c r="B58" s="83">
        <v>33451</v>
      </c>
      <c r="C58" s="84">
        <v>126.15384615384616</v>
      </c>
      <c r="D58" s="84">
        <v>268.82660741165512</v>
      </c>
      <c r="E58" s="84">
        <v>186.12945838837516</v>
      </c>
      <c r="F58" s="84">
        <v>135.71428571428569</v>
      </c>
      <c r="G58" s="84" t="s">
        <v>362</v>
      </c>
      <c r="H58" s="84" t="s">
        <v>362</v>
      </c>
      <c r="I58" s="84">
        <v>187.61421319796955</v>
      </c>
      <c r="J58" s="84">
        <v>273.26627845420859</v>
      </c>
      <c r="K58" s="84">
        <v>283.27773686262623</v>
      </c>
      <c r="L58" s="85">
        <v>142.10458151206086</v>
      </c>
    </row>
    <row r="59" spans="2:12">
      <c r="B59" s="83">
        <v>33482</v>
      </c>
      <c r="C59" s="84">
        <v>127.98534798534799</v>
      </c>
      <c r="D59" s="84">
        <v>281.13396889111897</v>
      </c>
      <c r="E59" s="84">
        <v>173.05151915455747</v>
      </c>
      <c r="F59" s="84">
        <v>138.13025210084035</v>
      </c>
      <c r="G59" s="84" t="s">
        <v>362</v>
      </c>
      <c r="H59" s="84" t="s">
        <v>362</v>
      </c>
      <c r="I59" s="84">
        <v>194.31472081218274</v>
      </c>
      <c r="J59" s="84">
        <v>295.15616728427733</v>
      </c>
      <c r="K59" s="84">
        <v>302.97044000635395</v>
      </c>
      <c r="L59" s="85">
        <v>145.72122389509468</v>
      </c>
    </row>
    <row r="60" spans="2:12">
      <c r="B60" s="83">
        <v>33512</v>
      </c>
      <c r="C60" s="84">
        <v>136.82539682539681</v>
      </c>
      <c r="D60" s="84">
        <v>284.74302917353594</v>
      </c>
      <c r="E60" s="84">
        <v>163.54029062087184</v>
      </c>
      <c r="F60" s="84">
        <v>137.60504201680672</v>
      </c>
      <c r="G60" s="84" t="s">
        <v>362</v>
      </c>
      <c r="H60" s="84" t="s">
        <v>362</v>
      </c>
      <c r="I60" s="84">
        <v>197.4957698815567</v>
      </c>
      <c r="J60" s="84">
        <v>292.87983059820004</v>
      </c>
      <c r="K60" s="84">
        <v>286.51388467703509</v>
      </c>
      <c r="L60" s="85">
        <v>143.78500890399869</v>
      </c>
    </row>
    <row r="61" spans="2:12">
      <c r="B61" s="83">
        <v>33543</v>
      </c>
      <c r="C61" s="84">
        <v>135.82417582417582</v>
      </c>
      <c r="D61" s="84">
        <v>288.87534943731634</v>
      </c>
      <c r="E61" s="84">
        <v>175.38529282254515</v>
      </c>
      <c r="F61" s="84">
        <v>163.8655462184874</v>
      </c>
      <c r="G61" s="84" t="s">
        <v>362</v>
      </c>
      <c r="H61" s="84" t="s">
        <v>362</v>
      </c>
      <c r="I61" s="84">
        <v>195.19458544839253</v>
      </c>
      <c r="J61" s="84">
        <v>297.93541556379029</v>
      </c>
      <c r="K61" s="84">
        <v>275.2920619792344</v>
      </c>
      <c r="L61" s="85">
        <v>144.79197021207705</v>
      </c>
    </row>
    <row r="62" spans="2:12">
      <c r="B62" s="83">
        <v>33573</v>
      </c>
      <c r="C62" s="84">
        <v>134.72527472527474</v>
      </c>
      <c r="D62" s="84">
        <v>272.89083219840876</v>
      </c>
      <c r="E62" s="84">
        <v>176.5301629238221</v>
      </c>
      <c r="F62" s="84">
        <v>183.82352941176472</v>
      </c>
      <c r="G62" s="84" t="s">
        <v>362</v>
      </c>
      <c r="H62" s="84" t="s">
        <v>362</v>
      </c>
      <c r="I62" s="84">
        <v>192.85956006768188</v>
      </c>
      <c r="J62" s="84">
        <v>324.98676548438323</v>
      </c>
      <c r="K62" s="84">
        <v>297.73426331066156</v>
      </c>
      <c r="L62" s="85">
        <v>141.70956775133558</v>
      </c>
    </row>
    <row r="63" spans="2:12">
      <c r="B63" s="83">
        <v>33604</v>
      </c>
      <c r="C63" s="84">
        <v>149.47496947496947</v>
      </c>
      <c r="D63" s="84">
        <v>280.05519317611646</v>
      </c>
      <c r="E63" s="84">
        <v>188.46323205636284</v>
      </c>
      <c r="F63" s="84">
        <v>221.3235294117647</v>
      </c>
      <c r="G63" s="84" t="s">
        <v>362</v>
      </c>
      <c r="H63" s="84" t="s">
        <v>362</v>
      </c>
      <c r="I63" s="84">
        <v>219.76311336717427</v>
      </c>
      <c r="J63" s="84">
        <v>362.83748014822652</v>
      </c>
      <c r="K63" s="84">
        <v>352.63902727837228</v>
      </c>
      <c r="L63" s="85">
        <v>155.29545086611623</v>
      </c>
    </row>
    <row r="64" spans="2:12">
      <c r="B64" s="83">
        <v>33635</v>
      </c>
      <c r="C64" s="84">
        <v>172.60073260073258</v>
      </c>
      <c r="D64" s="84">
        <v>315.33940219339121</v>
      </c>
      <c r="E64" s="84">
        <v>219.50682518714223</v>
      </c>
      <c r="F64" s="84">
        <v>223.21428571428572</v>
      </c>
      <c r="G64" s="84" t="s">
        <v>362</v>
      </c>
      <c r="H64" s="84" t="s">
        <v>362</v>
      </c>
      <c r="I64" s="84">
        <v>237.46192893401016</v>
      </c>
      <c r="J64" s="84">
        <v>356.61725780836417</v>
      </c>
      <c r="K64" s="84">
        <v>327.93108925760669</v>
      </c>
      <c r="L64" s="85">
        <v>152.71814796826936</v>
      </c>
    </row>
    <row r="65" spans="2:12">
      <c r="B65" s="83">
        <v>33664</v>
      </c>
      <c r="C65" s="84">
        <v>162.61294261294259</v>
      </c>
      <c r="D65" s="84">
        <v>325.26342197691923</v>
      </c>
      <c r="E65" s="84">
        <v>237.29634522236898</v>
      </c>
      <c r="F65" s="84">
        <v>279.51680672268913</v>
      </c>
      <c r="G65" s="84" t="s">
        <v>362</v>
      </c>
      <c r="H65" s="84" t="s">
        <v>362</v>
      </c>
      <c r="I65" s="84">
        <v>238.91708967851099</v>
      </c>
      <c r="J65" s="84">
        <v>367.91953414505025</v>
      </c>
      <c r="K65" s="84">
        <v>323.43860561163342</v>
      </c>
      <c r="L65" s="85">
        <v>154.33381900598997</v>
      </c>
    </row>
    <row r="66" spans="2:12">
      <c r="B66" s="83">
        <v>33695</v>
      </c>
      <c r="C66" s="84">
        <v>159.65811965811963</v>
      </c>
      <c r="D66" s="84">
        <v>304.31151888753499</v>
      </c>
      <c r="E66" s="84">
        <v>234.87450462351387</v>
      </c>
      <c r="F66" s="84">
        <v>247.58403361344537</v>
      </c>
      <c r="G66" s="84">
        <v>100</v>
      </c>
      <c r="H66" s="84" t="s">
        <v>362</v>
      </c>
      <c r="I66" s="84">
        <v>240.9813874788494</v>
      </c>
      <c r="J66" s="84">
        <v>372.04870301746951</v>
      </c>
      <c r="K66" s="84">
        <v>317.75910121445798</v>
      </c>
      <c r="L66" s="85">
        <v>151.5816739517565</v>
      </c>
    </row>
    <row r="67" spans="2:12">
      <c r="B67" s="83">
        <v>33725</v>
      </c>
      <c r="C67" s="84">
        <v>170.98901098901101</v>
      </c>
      <c r="D67" s="84">
        <v>341.09741237187302</v>
      </c>
      <c r="E67" s="84">
        <v>232.49669749009246</v>
      </c>
      <c r="F67" s="84">
        <v>215.6512605042017</v>
      </c>
      <c r="G67" s="84">
        <v>76.481312670920701</v>
      </c>
      <c r="H67" s="84" t="s">
        <v>362</v>
      </c>
      <c r="I67" s="84">
        <v>242.0304568527919</v>
      </c>
      <c r="J67" s="84">
        <v>376.019057702488</v>
      </c>
      <c r="K67" s="84">
        <v>308.76691360164045</v>
      </c>
      <c r="L67" s="85">
        <v>154.91015055852353</v>
      </c>
    </row>
    <row r="68" spans="2:12">
      <c r="B68" s="83">
        <v>33756</v>
      </c>
      <c r="C68" s="84">
        <v>186.20268620268621</v>
      </c>
      <c r="D68" s="84">
        <v>338.85026162999071</v>
      </c>
      <c r="E68" s="84">
        <v>236.01937472479085</v>
      </c>
      <c r="F68" s="84">
        <v>220.37815126050421</v>
      </c>
      <c r="G68" s="84">
        <v>58.067456700091157</v>
      </c>
      <c r="H68" s="84" t="s">
        <v>362</v>
      </c>
      <c r="I68" s="84">
        <v>246.76818950930627</v>
      </c>
      <c r="J68" s="84">
        <v>406.08787718369501</v>
      </c>
      <c r="K68" s="84">
        <v>319.25803982728996</v>
      </c>
      <c r="L68" s="85">
        <v>157.37089201877933</v>
      </c>
    </row>
    <row r="69" spans="2:12">
      <c r="B69" s="83">
        <v>33786</v>
      </c>
      <c r="C69" s="84">
        <v>184.71306471306471</v>
      </c>
      <c r="D69" s="84">
        <v>306.25761594150964</v>
      </c>
      <c r="E69" s="84">
        <v>214.35490973139588</v>
      </c>
      <c r="F69" s="84">
        <v>243.80252100840337</v>
      </c>
      <c r="G69" s="84">
        <v>60.255241567912485</v>
      </c>
      <c r="H69" s="84" t="s">
        <v>362</v>
      </c>
      <c r="I69" s="84">
        <v>219.52622673434857</v>
      </c>
      <c r="J69" s="84">
        <v>375.54261514028582</v>
      </c>
      <c r="K69" s="84">
        <v>321.81836560816765</v>
      </c>
      <c r="L69" s="85">
        <v>156.04662457503642</v>
      </c>
    </row>
    <row r="70" spans="2:12">
      <c r="B70" s="83">
        <v>33817</v>
      </c>
      <c r="C70" s="84">
        <v>168.91330891330892</v>
      </c>
      <c r="D70" s="84">
        <v>305.69493226292025</v>
      </c>
      <c r="E70" s="84">
        <v>228.79788639365918</v>
      </c>
      <c r="F70" s="84">
        <v>277.6260504201681</v>
      </c>
      <c r="G70" s="84">
        <v>70.556061987237925</v>
      </c>
      <c r="H70" s="84" t="s">
        <v>362</v>
      </c>
      <c r="I70" s="84">
        <v>241.59052453468695</v>
      </c>
      <c r="J70" s="84">
        <v>391.47697194282682</v>
      </c>
      <c r="K70" s="84">
        <v>336.07127900763913</v>
      </c>
      <c r="L70" s="85">
        <v>160.93572931843937</v>
      </c>
    </row>
    <row r="71" spans="2:12">
      <c r="B71" s="83">
        <v>33848</v>
      </c>
      <c r="C71" s="84">
        <v>166.83760683760684</v>
      </c>
      <c r="D71" s="84">
        <v>293.33381119633009</v>
      </c>
      <c r="E71" s="84">
        <v>229.98678996036986</v>
      </c>
      <c r="F71" s="84">
        <v>285.08403361344534</v>
      </c>
      <c r="G71" s="84">
        <v>61.713764813126708</v>
      </c>
      <c r="H71" s="84" t="s">
        <v>362</v>
      </c>
      <c r="I71" s="84">
        <v>222.53807106598984</v>
      </c>
      <c r="J71" s="84">
        <v>398.30598200105868</v>
      </c>
      <c r="K71" s="84">
        <v>343.88799838264816</v>
      </c>
      <c r="L71" s="85">
        <v>158.07997409745829</v>
      </c>
    </row>
    <row r="72" spans="2:12">
      <c r="B72" s="83">
        <v>33878</v>
      </c>
      <c r="C72" s="84">
        <v>175.75091575091577</v>
      </c>
      <c r="D72" s="84">
        <v>304.26851121783392</v>
      </c>
      <c r="E72" s="84">
        <v>242.05195948921181</v>
      </c>
      <c r="F72" s="84">
        <v>345.1680672268908</v>
      </c>
      <c r="G72" s="84">
        <v>59.525979945305373</v>
      </c>
      <c r="H72" s="84" t="s">
        <v>362</v>
      </c>
      <c r="I72" s="84">
        <v>235.0253807106599</v>
      </c>
      <c r="J72" s="84">
        <v>365.299100052938</v>
      </c>
      <c r="K72" s="84">
        <v>354.40078557091084</v>
      </c>
      <c r="L72" s="85">
        <v>158.54298203011169</v>
      </c>
    </row>
    <row r="73" spans="2:12">
      <c r="B73" s="83">
        <v>33909</v>
      </c>
      <c r="C73" s="84">
        <v>182.17338217338218</v>
      </c>
      <c r="D73" s="84">
        <v>302.56612429216551</v>
      </c>
      <c r="E73" s="84">
        <v>271.11404667547339</v>
      </c>
      <c r="F73" s="84">
        <v>352.62605042016804</v>
      </c>
      <c r="G73" s="84">
        <v>72.014585232452148</v>
      </c>
      <c r="H73" s="84" t="s">
        <v>362</v>
      </c>
      <c r="I73" s="84">
        <v>253.63790186125212</v>
      </c>
      <c r="J73" s="84">
        <v>379.0100582318687</v>
      </c>
      <c r="K73" s="84">
        <v>370.16852228913058</v>
      </c>
      <c r="L73" s="85">
        <v>161.26922454265824</v>
      </c>
    </row>
    <row r="74" spans="2:12">
      <c r="B74" s="83">
        <v>33939</v>
      </c>
      <c r="C74" s="84">
        <v>194.48107448107447</v>
      </c>
      <c r="D74" s="84">
        <v>316.16729983513733</v>
      </c>
      <c r="E74" s="84">
        <v>257.72787318361952</v>
      </c>
      <c r="F74" s="84">
        <v>416.38655462184875</v>
      </c>
      <c r="G74" s="84">
        <v>69.097538742023701</v>
      </c>
      <c r="H74" s="84" t="s">
        <v>362</v>
      </c>
      <c r="I74" s="84">
        <v>257.22504230118443</v>
      </c>
      <c r="J74" s="84">
        <v>363.12863949179456</v>
      </c>
      <c r="K74" s="84">
        <v>385.18534563676013</v>
      </c>
      <c r="L74" s="85">
        <v>164.94090982677673</v>
      </c>
    </row>
    <row r="75" spans="2:12">
      <c r="B75" s="83">
        <v>33970</v>
      </c>
      <c r="C75" s="84">
        <v>193.47985347985346</v>
      </c>
      <c r="D75" s="84">
        <v>292.36972260053045</v>
      </c>
      <c r="E75" s="84">
        <v>245.5746367239102</v>
      </c>
      <c r="F75" s="84">
        <v>435.18907563025215</v>
      </c>
      <c r="G75" s="84">
        <v>82.315405651777567</v>
      </c>
      <c r="H75" s="84" t="s">
        <v>362</v>
      </c>
      <c r="I75" s="84">
        <v>256.61590524534682</v>
      </c>
      <c r="J75" s="84">
        <v>383.74801482265741</v>
      </c>
      <c r="K75" s="84">
        <v>384.75068232032231</v>
      </c>
      <c r="L75" s="85">
        <v>167.12967459932003</v>
      </c>
    </row>
    <row r="76" spans="2:12">
      <c r="B76" s="83">
        <v>34001</v>
      </c>
      <c r="C76" s="84">
        <v>195.45787545787545</v>
      </c>
      <c r="D76" s="84">
        <v>260.63723030607127</v>
      </c>
      <c r="E76" s="84">
        <v>262.5715543813298</v>
      </c>
      <c r="F76" s="84">
        <v>431.4075630252101</v>
      </c>
      <c r="G76" s="84">
        <v>58.796718322698268</v>
      </c>
      <c r="H76" s="84" t="s">
        <v>362</v>
      </c>
      <c r="I76" s="84">
        <v>241.75972927241961</v>
      </c>
      <c r="J76" s="84">
        <v>394.07093700370558</v>
      </c>
      <c r="K76" s="84">
        <v>396.02160320004623</v>
      </c>
      <c r="L76" s="85">
        <v>169.99514327343368</v>
      </c>
    </row>
    <row r="77" spans="2:12">
      <c r="B77" s="83">
        <v>34029</v>
      </c>
      <c r="C77" s="84">
        <v>197.33821733821733</v>
      </c>
      <c r="D77" s="84">
        <v>255.54082144649135</v>
      </c>
      <c r="E77" s="84">
        <v>251.60722148833113</v>
      </c>
      <c r="F77" s="84">
        <v>386.3445378151261</v>
      </c>
      <c r="G77" s="84">
        <v>52.962625341841388</v>
      </c>
      <c r="H77" s="84" t="s">
        <v>362</v>
      </c>
      <c r="I77" s="84">
        <v>253.80710659898477</v>
      </c>
      <c r="J77" s="84">
        <v>386.05082053996819</v>
      </c>
      <c r="K77" s="84">
        <v>396.77396063481069</v>
      </c>
      <c r="L77" s="85">
        <v>170.33187631536344</v>
      </c>
    </row>
    <row r="78" spans="2:12">
      <c r="B78" s="83">
        <v>34060</v>
      </c>
      <c r="C78" s="84">
        <v>212.74725274725276</v>
      </c>
      <c r="D78" s="84">
        <v>282.16973693642041</v>
      </c>
      <c r="E78" s="84">
        <v>263.80449141347424</v>
      </c>
      <c r="F78" s="84">
        <v>431.4075630252101</v>
      </c>
      <c r="G78" s="84">
        <v>55.150410209662716</v>
      </c>
      <c r="H78" s="84" t="s">
        <v>362</v>
      </c>
      <c r="I78" s="84">
        <v>239.96615905245346</v>
      </c>
      <c r="J78" s="84">
        <v>394.46797247220746</v>
      </c>
      <c r="K78" s="84">
        <v>374.59457898309006</v>
      </c>
      <c r="L78" s="85">
        <v>173.89995143273433</v>
      </c>
    </row>
    <row r="79" spans="2:12">
      <c r="B79" s="83">
        <v>34090</v>
      </c>
      <c r="C79" s="84">
        <v>197.85103785103786</v>
      </c>
      <c r="D79" s="84">
        <v>278.54634076410298</v>
      </c>
      <c r="E79" s="84">
        <v>263.80449141347424</v>
      </c>
      <c r="F79" s="84">
        <v>448.31932773109247</v>
      </c>
      <c r="G79" s="84">
        <v>60.984503190519604</v>
      </c>
      <c r="H79" s="84" t="s">
        <v>362</v>
      </c>
      <c r="I79" s="84">
        <v>237.08967851099831</v>
      </c>
      <c r="J79" s="84">
        <v>364.55796717840121</v>
      </c>
      <c r="K79" s="84">
        <v>315.92225158486048</v>
      </c>
      <c r="L79" s="85">
        <v>171.13485510765742</v>
      </c>
    </row>
    <row r="80" spans="2:12">
      <c r="B80" s="83">
        <v>34121</v>
      </c>
      <c r="C80" s="84">
        <v>199.75579975579976</v>
      </c>
      <c r="D80" s="84">
        <v>272.17403770339047</v>
      </c>
      <c r="E80" s="84">
        <v>269.92514310876265</v>
      </c>
      <c r="F80" s="84">
        <v>558.92857142857144</v>
      </c>
      <c r="G80" s="84">
        <v>71.285323609845037</v>
      </c>
      <c r="H80" s="84" t="s">
        <v>362</v>
      </c>
      <c r="I80" s="84">
        <v>238.91708967851099</v>
      </c>
      <c r="J80" s="84">
        <v>381.81577554261509</v>
      </c>
      <c r="K80" s="84">
        <v>338.48864243526987</v>
      </c>
      <c r="L80" s="85">
        <v>176.20203982515784</v>
      </c>
    </row>
    <row r="81" spans="2:12">
      <c r="B81" s="83">
        <v>34151</v>
      </c>
      <c r="C81" s="84">
        <v>195.28693528693529</v>
      </c>
      <c r="D81" s="84">
        <v>275.65049100422914</v>
      </c>
      <c r="E81" s="84">
        <v>287.09819462791722</v>
      </c>
      <c r="F81" s="84">
        <v>438.86554621848745</v>
      </c>
      <c r="G81" s="84">
        <v>60.255241567912485</v>
      </c>
      <c r="H81" s="84" t="s">
        <v>362</v>
      </c>
      <c r="I81" s="84">
        <v>250.42301184433163</v>
      </c>
      <c r="J81" s="84">
        <v>397.30015881418734</v>
      </c>
      <c r="K81" s="84">
        <v>310.28462504873721</v>
      </c>
      <c r="L81" s="85">
        <v>174.69969240731743</v>
      </c>
    </row>
    <row r="82" spans="2:12">
      <c r="B82" s="83">
        <v>34182</v>
      </c>
      <c r="C82" s="84">
        <v>206.22710622710622</v>
      </c>
      <c r="D82" s="84">
        <v>269.85879148448146</v>
      </c>
      <c r="E82" s="84">
        <v>289.52003522677234</v>
      </c>
      <c r="F82" s="84">
        <v>506.40756302521015</v>
      </c>
      <c r="G82" s="84">
        <v>58.067456700091157</v>
      </c>
      <c r="H82" s="84" t="s">
        <v>362</v>
      </c>
      <c r="I82" s="84">
        <v>236.751269035533</v>
      </c>
      <c r="J82" s="84">
        <v>401.93223928004232</v>
      </c>
      <c r="K82" s="84">
        <v>308.77846611503418</v>
      </c>
      <c r="L82" s="85">
        <v>175.40877448599642</v>
      </c>
    </row>
    <row r="83" spans="2:12">
      <c r="B83" s="83">
        <v>34213</v>
      </c>
      <c r="C83" s="84">
        <v>216.11721611721612</v>
      </c>
      <c r="D83" s="84">
        <v>294.76023224141642</v>
      </c>
      <c r="E83" s="84">
        <v>293.2628797886394</v>
      </c>
      <c r="F83" s="84">
        <v>480.14705882352945</v>
      </c>
      <c r="G83" s="84">
        <v>60.255241567912485</v>
      </c>
      <c r="H83" s="84" t="s">
        <v>362</v>
      </c>
      <c r="I83" s="84">
        <v>238.57868020304568</v>
      </c>
      <c r="J83" s="84">
        <v>393.83271572260452</v>
      </c>
      <c r="K83" s="84">
        <v>310.6774105041228</v>
      </c>
      <c r="L83" s="85">
        <v>181.05876639145217</v>
      </c>
    </row>
    <row r="84" spans="2:12">
      <c r="B84" s="83">
        <v>34243</v>
      </c>
      <c r="C84" s="84">
        <v>209.64590964590963</v>
      </c>
      <c r="D84" s="84">
        <v>244.95735072754644</v>
      </c>
      <c r="E84" s="84">
        <v>305.59225011008368</v>
      </c>
      <c r="F84" s="84">
        <v>545.79831932773118</v>
      </c>
      <c r="G84" s="84">
        <v>57.338195077484045</v>
      </c>
      <c r="H84" s="84" t="s">
        <v>362</v>
      </c>
      <c r="I84" s="84">
        <v>230.05076142131978</v>
      </c>
      <c r="J84" s="84">
        <v>389.59767072525142</v>
      </c>
      <c r="K84" s="84">
        <v>298.61225432858237</v>
      </c>
      <c r="L84" s="85">
        <v>180.74793589120929</v>
      </c>
    </row>
    <row r="85" spans="2:12">
      <c r="B85" s="83">
        <v>34274</v>
      </c>
      <c r="C85" s="84">
        <v>227.61904761904762</v>
      </c>
      <c r="D85" s="84">
        <v>254.04272095190314</v>
      </c>
      <c r="E85" s="84">
        <v>327.78511668868339</v>
      </c>
      <c r="F85" s="84">
        <v>519.53781512605042</v>
      </c>
      <c r="G85" s="84">
        <v>54.421148587055612</v>
      </c>
      <c r="H85" s="84" t="s">
        <v>362</v>
      </c>
      <c r="I85" s="84">
        <v>263.24873096446697</v>
      </c>
      <c r="J85" s="84">
        <v>400.02646903123338</v>
      </c>
      <c r="K85" s="84">
        <v>315.20166356192874</v>
      </c>
      <c r="L85" s="85">
        <v>184.06669904484374</v>
      </c>
    </row>
    <row r="86" spans="2:12">
      <c r="B86" s="83">
        <v>34304</v>
      </c>
      <c r="C86" s="84">
        <v>233.52869352869351</v>
      </c>
      <c r="D86" s="84">
        <v>278.04100064511505</v>
      </c>
      <c r="E86" s="84">
        <v>316.60061646851608</v>
      </c>
      <c r="F86" s="84">
        <v>513.97058823529414</v>
      </c>
      <c r="G86" s="84">
        <v>58.067456700091157</v>
      </c>
      <c r="H86" s="84" t="s">
        <v>362</v>
      </c>
      <c r="I86" s="84">
        <v>277.32656514382404</v>
      </c>
      <c r="J86" s="84">
        <v>393.48861831656956</v>
      </c>
      <c r="K86" s="84">
        <v>344.23024159193636</v>
      </c>
      <c r="L86" s="85">
        <v>181.82936700663751</v>
      </c>
    </row>
    <row r="87" spans="2:12">
      <c r="B87" s="83">
        <v>34335</v>
      </c>
      <c r="C87" s="84">
        <v>225.03052503052501</v>
      </c>
      <c r="D87" s="84">
        <v>279.50326141495236</v>
      </c>
      <c r="E87" s="84">
        <v>343.81329810656098</v>
      </c>
      <c r="F87" s="84">
        <v>568.27731092436977</v>
      </c>
      <c r="G87" s="84">
        <v>57.338195077484045</v>
      </c>
      <c r="H87" s="84" t="s">
        <v>362</v>
      </c>
      <c r="I87" s="84">
        <v>281.62436548223354</v>
      </c>
      <c r="J87" s="84">
        <v>414.45209105346737</v>
      </c>
      <c r="K87" s="84">
        <v>307.99578333261138</v>
      </c>
      <c r="L87" s="85">
        <v>183.61340456532295</v>
      </c>
    </row>
    <row r="88" spans="2:12">
      <c r="B88" s="83">
        <v>34366</v>
      </c>
      <c r="C88" s="84">
        <v>241.53846153846155</v>
      </c>
      <c r="D88" s="84">
        <v>309.06386638950619</v>
      </c>
      <c r="E88" s="84">
        <v>341.30339057683841</v>
      </c>
      <c r="F88" s="84">
        <v>590.86134453781517</v>
      </c>
      <c r="G88" s="84">
        <v>57.338195077484045</v>
      </c>
      <c r="H88" s="84" t="s">
        <v>362</v>
      </c>
      <c r="I88" s="84">
        <v>286.19289340101523</v>
      </c>
      <c r="J88" s="84">
        <v>386.52726310217042</v>
      </c>
      <c r="K88" s="84">
        <v>326.11301246227384</v>
      </c>
      <c r="L88" s="85">
        <v>189.49651934596079</v>
      </c>
    </row>
    <row r="89" spans="2:12">
      <c r="B89" s="83">
        <v>34394</v>
      </c>
      <c r="C89" s="84">
        <v>244.46886446886447</v>
      </c>
      <c r="D89" s="84">
        <v>304.38319833703679</v>
      </c>
      <c r="E89" s="84">
        <v>349.93394980184945</v>
      </c>
      <c r="F89" s="84">
        <v>616.07142857142856</v>
      </c>
      <c r="G89" s="84">
        <v>55.150410209662716</v>
      </c>
      <c r="H89" s="84" t="s">
        <v>362</v>
      </c>
      <c r="I89" s="84">
        <v>280.67681895093062</v>
      </c>
      <c r="J89" s="84">
        <v>394.65325569084166</v>
      </c>
      <c r="K89" s="84">
        <v>338.19116521538223</v>
      </c>
      <c r="L89" s="85">
        <v>184.01489396146997</v>
      </c>
    </row>
    <row r="90" spans="2:12">
      <c r="B90" s="83">
        <v>34425</v>
      </c>
      <c r="C90" s="84">
        <v>227.93650793650792</v>
      </c>
      <c r="D90" s="84">
        <v>273.35674862017061</v>
      </c>
      <c r="E90" s="84">
        <v>339.98238661382652</v>
      </c>
      <c r="F90" s="84">
        <v>596.42857142857144</v>
      </c>
      <c r="G90" s="84">
        <v>51.504102096627165</v>
      </c>
      <c r="H90" s="84" t="s">
        <v>362</v>
      </c>
      <c r="I90" s="84">
        <v>263.41793570219966</v>
      </c>
      <c r="J90" s="84">
        <v>380.17469560614074</v>
      </c>
      <c r="K90" s="84">
        <v>313.00379788877819</v>
      </c>
      <c r="L90" s="85">
        <v>176.99530516431923</v>
      </c>
    </row>
    <row r="91" spans="2:12">
      <c r="B91" s="83">
        <v>34455</v>
      </c>
      <c r="C91" s="84">
        <v>239.46275946275946</v>
      </c>
      <c r="D91" s="84">
        <v>287.81449358468933</v>
      </c>
      <c r="E91" s="84">
        <v>359.84147952443857</v>
      </c>
      <c r="F91" s="84">
        <v>604.8319327731092</v>
      </c>
      <c r="G91" s="84">
        <v>44.849589790337284</v>
      </c>
      <c r="H91" s="84" t="s">
        <v>362</v>
      </c>
      <c r="I91" s="84">
        <v>279.83079526226732</v>
      </c>
      <c r="J91" s="84">
        <v>391.87400741132871</v>
      </c>
      <c r="K91" s="84">
        <v>305.44267787260469</v>
      </c>
      <c r="L91" s="85">
        <v>180.165128703254</v>
      </c>
    </row>
    <row r="92" spans="2:12">
      <c r="B92" s="83">
        <v>34486</v>
      </c>
      <c r="C92" s="84">
        <v>245.95848595848597</v>
      </c>
      <c r="D92" s="84">
        <v>283.01555444054191</v>
      </c>
      <c r="E92" s="84">
        <v>343.68119771025982</v>
      </c>
      <c r="F92" s="84">
        <v>593.59243697478996</v>
      </c>
      <c r="G92" s="84">
        <v>38.924339106654514</v>
      </c>
      <c r="H92" s="84" t="s">
        <v>362</v>
      </c>
      <c r="I92" s="84">
        <v>274.2470389170897</v>
      </c>
      <c r="J92" s="84">
        <v>383.66860772895706</v>
      </c>
      <c r="K92" s="84">
        <v>276.71302112665887</v>
      </c>
      <c r="L92" s="85">
        <v>182.67443742917274</v>
      </c>
    </row>
    <row r="93" spans="2:12">
      <c r="B93" s="83">
        <v>34516</v>
      </c>
      <c r="C93" s="84">
        <v>237.92429792429792</v>
      </c>
      <c r="D93" s="84">
        <v>262.6299190022221</v>
      </c>
      <c r="E93" s="84">
        <v>313.78247468075739</v>
      </c>
      <c r="F93" s="84">
        <v>554.20168067226894</v>
      </c>
      <c r="G93" s="84">
        <v>31.631722880583411</v>
      </c>
      <c r="H93" s="84" t="s">
        <v>362</v>
      </c>
      <c r="I93" s="84">
        <v>268.05414551607447</v>
      </c>
      <c r="J93" s="84">
        <v>391.39756484912647</v>
      </c>
      <c r="K93" s="84">
        <v>298.41008534419268</v>
      </c>
      <c r="L93" s="85">
        <v>178.55593330095513</v>
      </c>
    </row>
    <row r="94" spans="2:12">
      <c r="B94" s="83">
        <v>34547</v>
      </c>
      <c r="C94" s="84">
        <v>220.85470085470084</v>
      </c>
      <c r="D94" s="84">
        <v>267.42527417389437</v>
      </c>
      <c r="E94" s="84">
        <v>301.32100396301189</v>
      </c>
      <c r="F94" s="84">
        <v>582.35294117647061</v>
      </c>
      <c r="G94" s="84">
        <v>33.090246125797627</v>
      </c>
      <c r="H94" s="84" t="s">
        <v>362</v>
      </c>
      <c r="I94" s="84">
        <v>276.64974619289342</v>
      </c>
      <c r="J94" s="84">
        <v>417.25780836421382</v>
      </c>
      <c r="K94" s="84">
        <v>305.98420193793413</v>
      </c>
      <c r="L94" s="85">
        <v>184.73045167557063</v>
      </c>
    </row>
    <row r="95" spans="2:12">
      <c r="B95" s="83">
        <v>34578</v>
      </c>
      <c r="C95" s="84">
        <v>226.37362637362637</v>
      </c>
      <c r="D95" s="84">
        <v>292.01132535302133</v>
      </c>
      <c r="E95" s="84">
        <v>320.03522677234696</v>
      </c>
      <c r="F95" s="84">
        <v>671.00840336134456</v>
      </c>
      <c r="G95" s="84">
        <v>32.360984503190522</v>
      </c>
      <c r="H95" s="84" t="s">
        <v>362</v>
      </c>
      <c r="I95" s="84">
        <v>302.19966159052456</v>
      </c>
      <c r="J95" s="84">
        <v>432.53043938591838</v>
      </c>
      <c r="K95" s="84">
        <v>298.92417219021218</v>
      </c>
      <c r="L95" s="85">
        <v>190.20560142463978</v>
      </c>
    </row>
    <row r="96" spans="2:12">
      <c r="B96" s="83">
        <v>34608</v>
      </c>
      <c r="C96" s="84">
        <v>211.2820512820513</v>
      </c>
      <c r="D96" s="84">
        <v>274.54662748190094</v>
      </c>
      <c r="E96" s="84">
        <v>282.51871422280936</v>
      </c>
      <c r="F96" s="84">
        <v>618.90756302521015</v>
      </c>
      <c r="G96" s="84">
        <v>33.090246125797627</v>
      </c>
      <c r="H96" s="84" t="s">
        <v>362</v>
      </c>
      <c r="I96" s="84">
        <v>295.93908629441626</v>
      </c>
      <c r="J96" s="84">
        <v>465.08734780307032</v>
      </c>
      <c r="K96" s="84">
        <v>282.23367846467102</v>
      </c>
      <c r="L96" s="85">
        <v>186.11623765581999</v>
      </c>
    </row>
    <row r="97" spans="2:12">
      <c r="B97" s="83">
        <v>34639</v>
      </c>
      <c r="C97" s="84">
        <v>233.43101343101341</v>
      </c>
      <c r="D97" s="84">
        <v>284.24485699949827</v>
      </c>
      <c r="E97" s="84">
        <v>302.50990752972257</v>
      </c>
      <c r="F97" s="84">
        <v>675.21008403361338</v>
      </c>
      <c r="G97" s="84">
        <v>30.902461257976299</v>
      </c>
      <c r="H97" s="84" t="s">
        <v>362</v>
      </c>
      <c r="I97" s="84">
        <v>317.02199661590521</v>
      </c>
      <c r="J97" s="84">
        <v>478.08364213869766</v>
      </c>
      <c r="K97" s="84">
        <v>286.7853687417869</v>
      </c>
      <c r="L97" s="85">
        <v>189.08207867897036</v>
      </c>
    </row>
    <row r="98" spans="2:12">
      <c r="B98" s="83">
        <v>34669</v>
      </c>
      <c r="C98" s="84">
        <v>226.86202686202685</v>
      </c>
      <c r="D98" s="84">
        <v>273.94093613361053</v>
      </c>
      <c r="E98" s="84">
        <v>283.66358432408634</v>
      </c>
      <c r="F98" s="84">
        <v>576.78571428571433</v>
      </c>
      <c r="G98" s="84">
        <v>30.17319963536919</v>
      </c>
      <c r="H98" s="84" t="s">
        <v>362</v>
      </c>
      <c r="I98" s="84">
        <v>307.61421319796955</v>
      </c>
      <c r="J98" s="84">
        <v>478.69242985706717</v>
      </c>
      <c r="K98" s="84">
        <v>273.61983566549702</v>
      </c>
      <c r="L98" s="85">
        <v>181.78079974097454</v>
      </c>
    </row>
    <row r="99" spans="2:12">
      <c r="B99" s="83">
        <v>34700</v>
      </c>
      <c r="C99" s="84">
        <v>235.94627594627596</v>
      </c>
      <c r="D99" s="84">
        <v>272.72955343702961</v>
      </c>
      <c r="E99" s="84">
        <v>288.68339938353148</v>
      </c>
      <c r="F99" s="84">
        <v>528.88655462184875</v>
      </c>
      <c r="G99" s="84">
        <v>24.977210574293526</v>
      </c>
      <c r="H99" s="84" t="s">
        <v>362</v>
      </c>
      <c r="I99" s="84">
        <v>310.76142131979691</v>
      </c>
      <c r="J99" s="84">
        <v>488.16834303864471</v>
      </c>
      <c r="K99" s="84">
        <v>258.4196161677425</v>
      </c>
      <c r="L99" s="85">
        <v>186.40116561437591</v>
      </c>
    </row>
    <row r="100" spans="2:12">
      <c r="B100" s="83">
        <v>34731</v>
      </c>
      <c r="C100" s="84">
        <v>258.11965811965808</v>
      </c>
      <c r="D100" s="84">
        <v>255.15375241918147</v>
      </c>
      <c r="E100" s="84">
        <v>323.82210479964772</v>
      </c>
      <c r="F100" s="84">
        <v>641.49159663865555</v>
      </c>
      <c r="G100" s="84">
        <v>24.977210574293526</v>
      </c>
      <c r="H100" s="84" t="s">
        <v>362</v>
      </c>
      <c r="I100" s="84">
        <v>321.92893401015226</v>
      </c>
      <c r="J100" s="84">
        <v>495.26204340921112</v>
      </c>
      <c r="K100" s="84">
        <v>285.78174414070963</v>
      </c>
      <c r="L100" s="85">
        <v>191.2417030921159</v>
      </c>
    </row>
    <row r="101" spans="2:12">
      <c r="B101" s="83">
        <v>34759</v>
      </c>
      <c r="C101" s="84">
        <v>267.66788766788761</v>
      </c>
      <c r="D101" s="84">
        <v>255.15375241918147</v>
      </c>
      <c r="E101" s="84">
        <v>312.4614707177455</v>
      </c>
      <c r="F101" s="84">
        <v>588.02521008403357</v>
      </c>
      <c r="G101" s="84">
        <v>23.518687329079306</v>
      </c>
      <c r="H101" s="84" t="s">
        <v>362</v>
      </c>
      <c r="I101" s="84">
        <v>330.76142131979697</v>
      </c>
      <c r="J101" s="84">
        <v>523.71625198517722</v>
      </c>
      <c r="K101" s="84">
        <v>296.42160897630293</v>
      </c>
      <c r="L101" s="85">
        <v>198.03788246721706</v>
      </c>
    </row>
    <row r="102" spans="2:12">
      <c r="B102" s="83">
        <v>34790</v>
      </c>
      <c r="C102" s="84">
        <v>274.7496947496947</v>
      </c>
      <c r="D102" s="84">
        <v>283.25926456884815</v>
      </c>
      <c r="E102" s="84">
        <v>332.62879788639367</v>
      </c>
      <c r="F102" s="84">
        <v>579.51680672268913</v>
      </c>
      <c r="G102" s="84">
        <v>23.518687329079306</v>
      </c>
      <c r="H102" s="84" t="s">
        <v>362</v>
      </c>
      <c r="I102" s="84">
        <v>332.65651438240269</v>
      </c>
      <c r="J102" s="84">
        <v>549.60296453149806</v>
      </c>
      <c r="K102" s="84">
        <v>316.82623575791712</v>
      </c>
      <c r="L102" s="85">
        <v>205.05747126436782</v>
      </c>
    </row>
    <row r="103" spans="2:12">
      <c r="B103" s="83">
        <v>34820</v>
      </c>
      <c r="C103" s="84">
        <v>284.85958485958486</v>
      </c>
      <c r="D103" s="84">
        <v>291.35187441760451</v>
      </c>
      <c r="E103" s="84">
        <v>347.73227653016295</v>
      </c>
      <c r="F103" s="84">
        <v>561.23949579831935</v>
      </c>
      <c r="G103" s="84">
        <v>24.247948951686418</v>
      </c>
      <c r="H103" s="84" t="s">
        <v>362</v>
      </c>
      <c r="I103" s="84">
        <v>351.50592216582066</v>
      </c>
      <c r="J103" s="84">
        <v>548.41185812599258</v>
      </c>
      <c r="K103" s="84">
        <v>280.2683071235686</v>
      </c>
      <c r="L103" s="85">
        <v>210.44196211753277</v>
      </c>
    </row>
    <row r="104" spans="2:12">
      <c r="B104" s="83">
        <v>34851</v>
      </c>
      <c r="C104" s="84">
        <v>303.58974358974359</v>
      </c>
      <c r="D104" s="84">
        <v>298.20084581750416</v>
      </c>
      <c r="E104" s="84">
        <v>348.96521356230738</v>
      </c>
      <c r="F104" s="84">
        <v>661.13445378151266</v>
      </c>
      <c r="G104" s="84">
        <v>30.902461257976299</v>
      </c>
      <c r="H104" s="84" t="s">
        <v>362</v>
      </c>
      <c r="I104" s="84">
        <v>359.72927241962776</v>
      </c>
      <c r="J104" s="84">
        <v>580.51879301217559</v>
      </c>
      <c r="K104" s="84">
        <v>301.59424684832993</v>
      </c>
      <c r="L104" s="85">
        <v>219.04808159300629</v>
      </c>
    </row>
    <row r="105" spans="2:12">
      <c r="B105" s="83">
        <v>34881</v>
      </c>
      <c r="C105" s="84">
        <v>315.72649572649573</v>
      </c>
      <c r="D105" s="84">
        <v>300.69170668769266</v>
      </c>
      <c r="E105" s="84">
        <v>366.66666666666669</v>
      </c>
      <c r="F105" s="84">
        <v>649.89495798319331</v>
      </c>
      <c r="G105" s="84">
        <v>32.360984503190522</v>
      </c>
      <c r="H105" s="84" t="s">
        <v>362</v>
      </c>
      <c r="I105" s="84">
        <v>365.44839255499159</v>
      </c>
      <c r="J105" s="84">
        <v>616.06670195870822</v>
      </c>
      <c r="K105" s="84">
        <v>323.56135106644143</v>
      </c>
      <c r="L105" s="85">
        <v>225.05423344665695</v>
      </c>
    </row>
    <row r="106" spans="2:12">
      <c r="B106" s="83">
        <v>34912</v>
      </c>
      <c r="C106" s="84">
        <v>313.69963369963369</v>
      </c>
      <c r="D106" s="84">
        <v>308.78431653644907</v>
      </c>
      <c r="E106" s="84">
        <v>376.79436371642453</v>
      </c>
      <c r="F106" s="84">
        <v>784.87394957983201</v>
      </c>
      <c r="G106" s="84">
        <v>39.653600729261619</v>
      </c>
      <c r="H106" s="84" t="s">
        <v>362</v>
      </c>
      <c r="I106" s="84">
        <v>350.35532994923858</v>
      </c>
      <c r="J106" s="84">
        <v>635.17734250926401</v>
      </c>
      <c r="K106" s="84">
        <v>317.45584773787351</v>
      </c>
      <c r="L106" s="85">
        <v>230.51643192488262</v>
      </c>
    </row>
    <row r="107" spans="2:12">
      <c r="B107" s="83">
        <v>34943</v>
      </c>
      <c r="C107" s="84">
        <v>297.04517704517707</v>
      </c>
      <c r="D107" s="84">
        <v>310.02795498530577</v>
      </c>
      <c r="E107" s="84">
        <v>390.70893879348301</v>
      </c>
      <c r="F107" s="84">
        <v>723.00420168067228</v>
      </c>
      <c r="G107" s="84">
        <v>38.195077484047403</v>
      </c>
      <c r="H107" s="84" t="s">
        <v>362</v>
      </c>
      <c r="I107" s="84">
        <v>353.53637901861254</v>
      </c>
      <c r="J107" s="84">
        <v>612.49338274219156</v>
      </c>
      <c r="K107" s="84">
        <v>304.33941284350681</v>
      </c>
      <c r="L107" s="85">
        <v>232.90917921321028</v>
      </c>
    </row>
    <row r="108" spans="2:12">
      <c r="B108" s="83">
        <v>34973</v>
      </c>
      <c r="C108" s="84">
        <v>308.20512820512818</v>
      </c>
      <c r="D108" s="84">
        <v>323.72589778510508</v>
      </c>
      <c r="E108" s="84">
        <v>443.98943196829589</v>
      </c>
      <c r="F108" s="84">
        <v>683.61344537815125</v>
      </c>
      <c r="G108" s="84">
        <v>33.819507748404739</v>
      </c>
      <c r="H108" s="84" t="s">
        <v>362</v>
      </c>
      <c r="I108" s="84">
        <v>393.67174280879863</v>
      </c>
      <c r="J108" s="84">
        <v>660.05823186871351</v>
      </c>
      <c r="K108" s="84">
        <v>302.81014888301638</v>
      </c>
      <c r="L108" s="85">
        <v>240.78031406831792</v>
      </c>
    </row>
    <row r="109" spans="2:12">
      <c r="B109" s="83">
        <v>35004</v>
      </c>
      <c r="C109" s="84">
        <v>333.55311355311358</v>
      </c>
      <c r="D109" s="84">
        <v>318.23883592574015</v>
      </c>
      <c r="E109" s="84">
        <v>408.45442536327613</v>
      </c>
      <c r="F109" s="84">
        <v>706.19747899159665</v>
      </c>
      <c r="G109" s="84">
        <v>34.548769371011851</v>
      </c>
      <c r="H109" s="84" t="s">
        <v>362</v>
      </c>
      <c r="I109" s="84">
        <v>421.89509306260578</v>
      </c>
      <c r="J109" s="84">
        <v>687.61249338274217</v>
      </c>
      <c r="K109" s="84">
        <v>272.22342560903411</v>
      </c>
      <c r="L109" s="85">
        <v>242.19200259025413</v>
      </c>
    </row>
    <row r="110" spans="2:12">
      <c r="B110" s="83">
        <v>35034</v>
      </c>
      <c r="C110" s="84">
        <v>364.51770451770454</v>
      </c>
      <c r="D110" s="84">
        <v>289.30901010680242</v>
      </c>
      <c r="E110" s="84">
        <v>417.26111845002202</v>
      </c>
      <c r="F110" s="84">
        <v>810.29411764705878</v>
      </c>
      <c r="G110" s="84">
        <v>30.902461257976299</v>
      </c>
      <c r="H110" s="84" t="s">
        <v>362</v>
      </c>
      <c r="I110" s="84">
        <v>434.07783417935701</v>
      </c>
      <c r="J110" s="84">
        <v>728.34833245103221</v>
      </c>
      <c r="K110" s="84">
        <v>297.29526780170119</v>
      </c>
      <c r="L110" s="85">
        <v>252.27456694188115</v>
      </c>
    </row>
    <row r="111" spans="2:12">
      <c r="B111" s="83">
        <v>35065</v>
      </c>
      <c r="C111" s="84">
        <v>366.54456654456652</v>
      </c>
      <c r="D111" s="84">
        <v>298.11124650562687</v>
      </c>
      <c r="E111" s="84">
        <v>432.54073095552616</v>
      </c>
      <c r="F111" s="84">
        <v>807.45798319327741</v>
      </c>
      <c r="G111" s="84">
        <v>35.278030993618962</v>
      </c>
      <c r="H111" s="84" t="s">
        <v>362</v>
      </c>
      <c r="I111" s="84">
        <v>425.10998307952622</v>
      </c>
      <c r="J111" s="84">
        <v>713.63155108523017</v>
      </c>
      <c r="K111" s="84">
        <v>272.77650218775727</v>
      </c>
      <c r="L111" s="85">
        <v>256.44811397118337</v>
      </c>
    </row>
    <row r="112" spans="2:12">
      <c r="B112" s="83">
        <v>35096</v>
      </c>
      <c r="C112" s="84">
        <v>406.15384615384613</v>
      </c>
      <c r="D112" s="84">
        <v>288.67823095118632</v>
      </c>
      <c r="E112" s="84">
        <v>417.26111845002202</v>
      </c>
      <c r="F112" s="84">
        <v>720.1680672268908</v>
      </c>
      <c r="G112" s="84">
        <v>44.120328167730172</v>
      </c>
      <c r="H112" s="84" t="s">
        <v>362</v>
      </c>
      <c r="I112" s="84">
        <v>431.57360406091368</v>
      </c>
      <c r="J112" s="84">
        <v>725.6484912652196</v>
      </c>
      <c r="K112" s="84">
        <v>266.64644976822774</v>
      </c>
      <c r="L112" s="85">
        <v>266.24575036425443</v>
      </c>
    </row>
    <row r="113" spans="2:12">
      <c r="B113" s="83">
        <v>35125</v>
      </c>
      <c r="C113" s="84">
        <v>409.74358974358978</v>
      </c>
      <c r="D113" s="84">
        <v>288.67823095118632</v>
      </c>
      <c r="E113" s="84">
        <v>370.14531043593132</v>
      </c>
      <c r="F113" s="84">
        <v>779.30672268907563</v>
      </c>
      <c r="G113" s="84">
        <v>40.47402005469462</v>
      </c>
      <c r="H113" s="84" t="s">
        <v>362</v>
      </c>
      <c r="I113" s="84">
        <v>435.43147208121826</v>
      </c>
      <c r="J113" s="84">
        <v>789.33298041291675</v>
      </c>
      <c r="K113" s="84">
        <v>265.11429767938893</v>
      </c>
      <c r="L113" s="85">
        <v>269.28929901246556</v>
      </c>
    </row>
    <row r="114" spans="2:12">
      <c r="B114" s="83">
        <v>35156</v>
      </c>
      <c r="C114" s="84">
        <v>400.58608058608058</v>
      </c>
      <c r="D114" s="84">
        <v>300.86373736649711</v>
      </c>
      <c r="E114" s="84">
        <v>375.25319242624397</v>
      </c>
      <c r="F114" s="84">
        <v>844.01260504201684</v>
      </c>
      <c r="G114" s="84">
        <v>41.203281677301732</v>
      </c>
      <c r="H114" s="84" t="s">
        <v>362</v>
      </c>
      <c r="I114" s="84">
        <v>444.43316412859559</v>
      </c>
      <c r="J114" s="84">
        <v>812.22869242985689</v>
      </c>
      <c r="K114" s="84">
        <v>288.73774350532142</v>
      </c>
      <c r="L114" s="85">
        <v>273.66035292213047</v>
      </c>
    </row>
    <row r="115" spans="2:12">
      <c r="B115" s="83">
        <v>35186</v>
      </c>
      <c r="C115" s="84">
        <v>397.55799755799757</v>
      </c>
      <c r="D115" s="84">
        <v>312.51164791054413</v>
      </c>
      <c r="E115" s="84">
        <v>390.57683839718186</v>
      </c>
      <c r="F115" s="84">
        <v>900.31512605042019</v>
      </c>
      <c r="G115" s="84">
        <v>49.225159525979947</v>
      </c>
      <c r="H115" s="84" t="s">
        <v>362</v>
      </c>
      <c r="I115" s="84">
        <v>438.13874788494081</v>
      </c>
      <c r="J115" s="84">
        <v>788.14187400741116</v>
      </c>
      <c r="K115" s="84">
        <v>297.95231700096758</v>
      </c>
      <c r="L115" s="85">
        <v>274.40181317791803</v>
      </c>
    </row>
    <row r="116" spans="2:12">
      <c r="B116" s="83">
        <v>35217</v>
      </c>
      <c r="C116" s="84">
        <v>396.14163614163613</v>
      </c>
      <c r="D116" s="84">
        <v>299.56992330298908</v>
      </c>
      <c r="E116" s="84">
        <v>361.074416556583</v>
      </c>
      <c r="F116" s="84">
        <v>856.61764705882354</v>
      </c>
      <c r="G116" s="84">
        <v>48.495897903372835</v>
      </c>
      <c r="H116" s="84" t="s">
        <v>362</v>
      </c>
      <c r="I116" s="84">
        <v>453.67174280879863</v>
      </c>
      <c r="J116" s="84">
        <v>891.76813128639481</v>
      </c>
      <c r="K116" s="84">
        <v>319.45443255498282</v>
      </c>
      <c r="L116" s="85">
        <v>280.66375263072689</v>
      </c>
    </row>
    <row r="117" spans="2:12">
      <c r="B117" s="83">
        <v>35247</v>
      </c>
      <c r="C117" s="84">
        <v>386.95970695970692</v>
      </c>
      <c r="D117" s="84">
        <v>306.03899362052903</v>
      </c>
      <c r="E117" s="84">
        <v>389.25583443416997</v>
      </c>
      <c r="F117" s="84">
        <v>777.94117647058829</v>
      </c>
      <c r="G117" s="84">
        <v>51.504102096627165</v>
      </c>
      <c r="H117" s="84" t="s">
        <v>362</v>
      </c>
      <c r="I117" s="84">
        <v>468.52791878172587</v>
      </c>
      <c r="J117" s="84">
        <v>954.60561143462132</v>
      </c>
      <c r="K117" s="84">
        <v>306.24846568181493</v>
      </c>
      <c r="L117" s="85">
        <v>284.59446333171439</v>
      </c>
    </row>
    <row r="118" spans="2:12">
      <c r="B118" s="83">
        <v>35278</v>
      </c>
      <c r="C118" s="84">
        <v>383.90720390720389</v>
      </c>
      <c r="D118" s="84">
        <v>299.56992330298908</v>
      </c>
      <c r="E118" s="84">
        <v>361.074416556583</v>
      </c>
      <c r="F118" s="84">
        <v>585.1890756302522</v>
      </c>
      <c r="G118" s="84">
        <v>49.954421148587052</v>
      </c>
      <c r="H118" s="84" t="s">
        <v>362</v>
      </c>
      <c r="I118" s="84">
        <v>465.82064297800338</v>
      </c>
      <c r="J118" s="84">
        <v>930.43938591847518</v>
      </c>
      <c r="K118" s="84">
        <v>301.63179251685949</v>
      </c>
      <c r="L118" s="85">
        <v>274.16869030273591</v>
      </c>
    </row>
    <row r="119" spans="2:12">
      <c r="B119" s="83">
        <v>35309</v>
      </c>
      <c r="C119" s="84">
        <v>378.38827838827837</v>
      </c>
      <c r="D119" s="84">
        <v>309.59787828829479</v>
      </c>
      <c r="E119" s="84">
        <v>416.1602818141788</v>
      </c>
      <c r="F119" s="84">
        <v>635.81932773109247</v>
      </c>
      <c r="G119" s="84">
        <v>54.421148587055612</v>
      </c>
      <c r="H119" s="84" t="s">
        <v>362</v>
      </c>
      <c r="I119" s="84">
        <v>461.92893401015226</v>
      </c>
      <c r="J119" s="84">
        <v>966.67548967707762</v>
      </c>
      <c r="K119" s="84">
        <v>325.36209909168366</v>
      </c>
      <c r="L119" s="85">
        <v>275.5577141006961</v>
      </c>
    </row>
    <row r="120" spans="2:12">
      <c r="B120" s="83">
        <v>35339</v>
      </c>
      <c r="C120" s="84">
        <v>387.57020757020751</v>
      </c>
      <c r="D120" s="84">
        <v>299.24736578023084</v>
      </c>
      <c r="E120" s="84">
        <v>449.58168207837957</v>
      </c>
      <c r="F120" s="84">
        <v>545.79831932773118</v>
      </c>
      <c r="G120" s="84">
        <v>60.984503190519604</v>
      </c>
      <c r="H120" s="84" t="s">
        <v>362</v>
      </c>
      <c r="I120" s="84">
        <v>508.05414551607441</v>
      </c>
      <c r="J120" s="84">
        <v>971.43991529909988</v>
      </c>
      <c r="K120" s="84">
        <v>320.73676154168294</v>
      </c>
      <c r="L120" s="85">
        <v>291.81803464464946</v>
      </c>
    </row>
    <row r="121" spans="2:12">
      <c r="B121" s="83">
        <v>35370</v>
      </c>
      <c r="C121" s="84">
        <v>370.23199023199021</v>
      </c>
      <c r="D121" s="84">
        <v>288.0151960432944</v>
      </c>
      <c r="E121" s="84">
        <v>423.86613826508147</v>
      </c>
      <c r="F121" s="84">
        <v>516.91176470588243</v>
      </c>
      <c r="G121" s="84">
        <v>56.60893345487694</v>
      </c>
      <c r="H121" s="84" t="s">
        <v>362</v>
      </c>
      <c r="I121" s="84">
        <v>516.95431472081214</v>
      </c>
      <c r="J121" s="84">
        <v>973.87506617257804</v>
      </c>
      <c r="K121" s="84">
        <v>325.36209909168366</v>
      </c>
      <c r="L121" s="85">
        <v>298.49765258215956</v>
      </c>
    </row>
    <row r="122" spans="2:12">
      <c r="B122" s="83">
        <v>35400</v>
      </c>
      <c r="C122" s="84">
        <v>377.99755799755803</v>
      </c>
      <c r="D122" s="84">
        <v>291.29453085800304</v>
      </c>
      <c r="E122" s="84">
        <v>440.59885512989871</v>
      </c>
      <c r="F122" s="84">
        <v>617.5420168067227</v>
      </c>
      <c r="G122" s="84">
        <v>53.691886964448493</v>
      </c>
      <c r="H122" s="84" t="s">
        <v>362</v>
      </c>
      <c r="I122" s="84">
        <v>567.20812182741111</v>
      </c>
      <c r="J122" s="84">
        <v>988.38009528851228</v>
      </c>
      <c r="K122" s="84">
        <v>314.5691634536239</v>
      </c>
      <c r="L122" s="85">
        <v>321.5152986886838</v>
      </c>
    </row>
    <row r="123" spans="2:12">
      <c r="B123" s="83">
        <v>35431</v>
      </c>
      <c r="C123" s="84">
        <v>370.8424908424908</v>
      </c>
      <c r="D123" s="84">
        <v>299.81363343129527</v>
      </c>
      <c r="E123" s="84">
        <v>422.54513430206958</v>
      </c>
      <c r="F123" s="84">
        <v>602.10084033613452</v>
      </c>
      <c r="G123" s="84">
        <v>52.233363719234269</v>
      </c>
      <c r="H123" s="84" t="s">
        <v>362</v>
      </c>
      <c r="I123" s="84">
        <v>561.99661590524533</v>
      </c>
      <c r="J123" s="84">
        <v>1022.3663313922709</v>
      </c>
      <c r="K123" s="84">
        <v>281.25171482620692</v>
      </c>
      <c r="L123" s="85">
        <v>315.33106686093566</v>
      </c>
    </row>
    <row r="124" spans="2:12">
      <c r="B124" s="83">
        <v>35462</v>
      </c>
      <c r="C124" s="84">
        <v>369.81684981684981</v>
      </c>
      <c r="D124" s="84">
        <v>284.41330370582756</v>
      </c>
      <c r="E124" s="84">
        <v>458.60854249229413</v>
      </c>
      <c r="F124" s="84">
        <v>534.55882352941171</v>
      </c>
      <c r="G124" s="84">
        <v>60.984503190519604</v>
      </c>
      <c r="H124" s="84" t="s">
        <v>362</v>
      </c>
      <c r="I124" s="84">
        <v>608.15566835871402</v>
      </c>
      <c r="J124" s="84">
        <v>1155.9555320275276</v>
      </c>
      <c r="K124" s="84">
        <v>288.97890222241477</v>
      </c>
      <c r="L124" s="85">
        <v>335.30516431924877</v>
      </c>
    </row>
    <row r="125" spans="2:12">
      <c r="B125" s="83">
        <v>35490</v>
      </c>
      <c r="C125" s="84">
        <v>355.09157509157507</v>
      </c>
      <c r="D125" s="84">
        <v>299.48390796358689</v>
      </c>
      <c r="E125" s="84">
        <v>426.37604579480404</v>
      </c>
      <c r="F125" s="84">
        <v>542.96218487394958</v>
      </c>
      <c r="G125" s="84">
        <v>59.525979945305373</v>
      </c>
      <c r="H125" s="84" t="s">
        <v>362</v>
      </c>
      <c r="I125" s="84">
        <v>631.09983079526228</v>
      </c>
      <c r="J125" s="84">
        <v>1172.9486500794069</v>
      </c>
      <c r="K125" s="84">
        <v>333.79398980490697</v>
      </c>
      <c r="L125" s="85">
        <v>339.57584587987691</v>
      </c>
    </row>
    <row r="126" spans="2:12">
      <c r="B126" s="83">
        <v>35521</v>
      </c>
      <c r="C126" s="84">
        <v>394.99389499389497</v>
      </c>
      <c r="D126" s="84">
        <v>336.79664540176333</v>
      </c>
      <c r="E126" s="84">
        <v>423.77807133421402</v>
      </c>
      <c r="F126" s="84">
        <v>447.3739495798319</v>
      </c>
      <c r="G126" s="84">
        <v>60.255241567912485</v>
      </c>
      <c r="H126" s="84" t="s">
        <v>362</v>
      </c>
      <c r="I126" s="84">
        <v>614.72081218274116</v>
      </c>
      <c r="J126" s="84">
        <v>1092.8798305982</v>
      </c>
      <c r="K126" s="84">
        <v>343.86778148420922</v>
      </c>
      <c r="L126" s="85">
        <v>324.85996438400514</v>
      </c>
    </row>
    <row r="127" spans="2:12">
      <c r="B127" s="83">
        <v>35551</v>
      </c>
      <c r="C127" s="84">
        <v>431.84371184371184</v>
      </c>
      <c r="D127" s="84">
        <v>338.4846964375314</v>
      </c>
      <c r="E127" s="84">
        <v>421.18009687362394</v>
      </c>
      <c r="F127" s="84">
        <v>450.10504201680675</v>
      </c>
      <c r="G127" s="84">
        <v>63.992707383773933</v>
      </c>
      <c r="H127" s="84" t="s">
        <v>362</v>
      </c>
      <c r="I127" s="84">
        <v>661.01522842639588</v>
      </c>
      <c r="J127" s="84">
        <v>1209.7141344626787</v>
      </c>
      <c r="K127" s="84">
        <v>350.06426085575242</v>
      </c>
      <c r="L127" s="85">
        <v>341.9556418973612</v>
      </c>
    </row>
    <row r="128" spans="2:12">
      <c r="B128" s="83">
        <v>35582</v>
      </c>
      <c r="C128" s="84">
        <v>399.75579975579973</v>
      </c>
      <c r="D128" s="84">
        <v>383.6606694860584</v>
      </c>
      <c r="E128" s="84">
        <v>494.93615147512111</v>
      </c>
      <c r="F128" s="84">
        <v>533.08823529411768</v>
      </c>
      <c r="G128" s="84">
        <v>82.315405651777567</v>
      </c>
      <c r="H128" s="84" t="s">
        <v>362</v>
      </c>
      <c r="I128" s="84">
        <v>703.11336717428082</v>
      </c>
      <c r="J128" s="84">
        <v>1316.8078348332449</v>
      </c>
      <c r="K128" s="84">
        <v>376.39532700833229</v>
      </c>
      <c r="L128" s="85">
        <v>363.18277480977821</v>
      </c>
    </row>
    <row r="129" spans="2:12">
      <c r="B129" s="83">
        <v>35612</v>
      </c>
      <c r="C129" s="84">
        <v>398.73015873015873</v>
      </c>
      <c r="D129" s="84">
        <v>403.88861013547421</v>
      </c>
      <c r="E129" s="84">
        <v>549.31748128577715</v>
      </c>
      <c r="F129" s="84">
        <v>538.76050420168065</v>
      </c>
      <c r="G129" s="84">
        <v>96.627164995442115</v>
      </c>
      <c r="H129" s="84" t="s">
        <v>362</v>
      </c>
      <c r="I129" s="84">
        <v>734.68697123519462</v>
      </c>
      <c r="J129" s="84">
        <v>1339.0153520381152</v>
      </c>
      <c r="K129" s="84">
        <v>421.40103106182039</v>
      </c>
      <c r="L129" s="85">
        <v>382.89460903351136</v>
      </c>
    </row>
    <row r="130" spans="2:12">
      <c r="B130" s="83">
        <v>35643</v>
      </c>
      <c r="C130" s="84">
        <v>431.01343101343099</v>
      </c>
      <c r="D130" s="84">
        <v>391.07590853702249</v>
      </c>
      <c r="E130" s="84">
        <v>511.75693527080585</v>
      </c>
      <c r="F130" s="84">
        <v>559.8739495798319</v>
      </c>
      <c r="G130" s="84">
        <v>109.57155879671832</v>
      </c>
      <c r="H130" s="84" t="s">
        <v>362</v>
      </c>
      <c r="I130" s="84">
        <v>799.15397631133669</v>
      </c>
      <c r="J130" s="84">
        <v>1339.0153520381152</v>
      </c>
      <c r="K130" s="84">
        <v>455.54881658940928</v>
      </c>
      <c r="L130" s="85">
        <v>407.50849927149096</v>
      </c>
    </row>
    <row r="131" spans="2:12">
      <c r="B131" s="83">
        <v>35674</v>
      </c>
      <c r="C131" s="84">
        <v>388.62026862026863</v>
      </c>
      <c r="D131" s="84">
        <v>369.83728764963092</v>
      </c>
      <c r="E131" s="84">
        <v>498.81109643328926</v>
      </c>
      <c r="F131" s="84">
        <v>542.96218487394958</v>
      </c>
      <c r="G131" s="84">
        <v>115.4056517775752</v>
      </c>
      <c r="H131" s="84" t="s">
        <v>362</v>
      </c>
      <c r="I131" s="84">
        <v>702.80879864636211</v>
      </c>
      <c r="J131" s="84">
        <v>1118.2901005823185</v>
      </c>
      <c r="K131" s="84">
        <v>440.80347730653153</v>
      </c>
      <c r="L131" s="85">
        <v>387.57001780799737</v>
      </c>
    </row>
    <row r="132" spans="2:12">
      <c r="B132" s="83">
        <v>35704</v>
      </c>
      <c r="C132" s="84">
        <v>397.36263736263737</v>
      </c>
      <c r="D132" s="84">
        <v>400.21145437603047</v>
      </c>
      <c r="E132" s="84">
        <v>453.32452664024657</v>
      </c>
      <c r="F132" s="84">
        <v>637.18487394957992</v>
      </c>
      <c r="G132" s="84">
        <v>109.93618960802188</v>
      </c>
      <c r="H132" s="84">
        <v>100</v>
      </c>
      <c r="I132" s="84">
        <v>746.36209813874791</v>
      </c>
      <c r="J132" s="84">
        <v>1211.540497617787</v>
      </c>
      <c r="K132" s="84">
        <v>459.46656269404616</v>
      </c>
      <c r="L132" s="85">
        <v>412.33932329609837</v>
      </c>
    </row>
    <row r="133" spans="2:12">
      <c r="B133" s="83">
        <v>35735</v>
      </c>
      <c r="C133" s="84">
        <v>374.77411477411476</v>
      </c>
      <c r="D133" s="84">
        <v>372.32814851981942</v>
      </c>
      <c r="E133" s="84">
        <v>444.25363276089826</v>
      </c>
      <c r="F133" s="84">
        <v>613.97058823529414</v>
      </c>
      <c r="G133" s="84">
        <v>104.0109389243391</v>
      </c>
      <c r="H133" s="84">
        <v>98.4</v>
      </c>
      <c r="I133" s="84">
        <v>751.60744500846022</v>
      </c>
      <c r="J133" s="84">
        <v>1139.4123875066171</v>
      </c>
      <c r="K133" s="84">
        <v>451.69316524426347</v>
      </c>
      <c r="L133" s="85">
        <v>405.68237008256432</v>
      </c>
    </row>
    <row r="134" spans="2:12">
      <c r="B134" s="83">
        <v>35765</v>
      </c>
      <c r="C134" s="84">
        <v>402.14896214896214</v>
      </c>
      <c r="D134" s="84">
        <v>371.6507777220271</v>
      </c>
      <c r="E134" s="84">
        <v>455.92250110083666</v>
      </c>
      <c r="F134" s="84">
        <v>655.46218487394958</v>
      </c>
      <c r="G134" s="84">
        <v>93.710118505013668</v>
      </c>
      <c r="H134" s="84">
        <v>109.7</v>
      </c>
      <c r="I134" s="84">
        <v>825.78680203045678</v>
      </c>
      <c r="J134" s="84">
        <v>1265.7226045526731</v>
      </c>
      <c r="K134" s="84">
        <v>508.44633135496548</v>
      </c>
      <c r="L134" s="85">
        <v>421.82936700663748</v>
      </c>
    </row>
    <row r="135" spans="2:12">
      <c r="B135" s="83">
        <v>35796</v>
      </c>
      <c r="C135" s="84">
        <v>392.8937728937729</v>
      </c>
      <c r="D135" s="84">
        <v>380.48885384560248</v>
      </c>
      <c r="E135" s="84">
        <v>501.49713782474686</v>
      </c>
      <c r="F135" s="84">
        <v>647.05882352941182</v>
      </c>
      <c r="G135" s="84">
        <v>88.605287146763899</v>
      </c>
      <c r="H135" s="84">
        <v>93.7</v>
      </c>
      <c r="I135" s="84">
        <v>845.65143824027075</v>
      </c>
      <c r="J135" s="84">
        <v>1307.3848597141343</v>
      </c>
      <c r="K135" s="84">
        <v>491.39048939334873</v>
      </c>
      <c r="L135" s="85">
        <v>420.53423992229233</v>
      </c>
    </row>
    <row r="136" spans="2:12">
      <c r="B136" s="83">
        <v>35827</v>
      </c>
      <c r="C136" s="84">
        <v>391.86813186813185</v>
      </c>
      <c r="D136" s="84">
        <v>371.76904881370518</v>
      </c>
      <c r="E136" s="84">
        <v>484.58828709819466</v>
      </c>
      <c r="F136" s="84">
        <v>714.60084033613441</v>
      </c>
      <c r="G136" s="84">
        <v>99.635369188696444</v>
      </c>
      <c r="H136" s="84">
        <v>89.9</v>
      </c>
      <c r="I136" s="84">
        <v>844.94077834179359</v>
      </c>
      <c r="J136" s="84">
        <v>1307.3848597141343</v>
      </c>
      <c r="K136" s="84">
        <v>508.52431082037293</v>
      </c>
      <c r="L136" s="85">
        <v>434.29172737574868</v>
      </c>
    </row>
    <row r="137" spans="2:12">
      <c r="B137" s="83">
        <v>35855</v>
      </c>
      <c r="C137" s="84">
        <v>438.31501831501834</v>
      </c>
      <c r="D137" s="84">
        <v>428.34205433302282</v>
      </c>
      <c r="E137" s="84">
        <v>437.60457948040511</v>
      </c>
      <c r="F137" s="84">
        <v>811.65966386554635</v>
      </c>
      <c r="G137" s="84">
        <v>110.30082041932543</v>
      </c>
      <c r="H137" s="84">
        <v>95</v>
      </c>
      <c r="I137" s="84">
        <v>876.85279187817252</v>
      </c>
      <c r="J137" s="84">
        <v>1333.1127580730545</v>
      </c>
      <c r="K137" s="84">
        <v>584.0618637092233</v>
      </c>
      <c r="L137" s="85">
        <v>455.14974906912738</v>
      </c>
    </row>
    <row r="138" spans="2:12">
      <c r="B138" s="83">
        <v>35886</v>
      </c>
      <c r="C138" s="84">
        <v>506.30036630036631</v>
      </c>
      <c r="D138" s="84">
        <v>505.29352734571006</v>
      </c>
      <c r="E138" s="84">
        <v>467.6794363716424</v>
      </c>
      <c r="F138" s="84">
        <v>866.49159663865544</v>
      </c>
      <c r="G138" s="84">
        <v>115.77028258887876</v>
      </c>
      <c r="H138" s="84">
        <v>101.6</v>
      </c>
      <c r="I138" s="84">
        <v>930.6598984771573</v>
      </c>
      <c r="J138" s="84">
        <v>1583.9068290100581</v>
      </c>
      <c r="K138" s="84">
        <v>642.66920821961332</v>
      </c>
      <c r="L138" s="85">
        <v>482.01068479844582</v>
      </c>
    </row>
    <row r="139" spans="2:12">
      <c r="B139" s="83">
        <v>35916</v>
      </c>
      <c r="C139" s="84">
        <v>515.57997557997555</v>
      </c>
      <c r="D139" s="84">
        <v>500.15052684395391</v>
      </c>
      <c r="E139" s="84">
        <v>504.22721268163804</v>
      </c>
      <c r="F139" s="84">
        <v>851.05042016806726</v>
      </c>
      <c r="G139" s="84">
        <v>112.85323609845031</v>
      </c>
      <c r="H139" s="84">
        <v>101.2</v>
      </c>
      <c r="I139" s="84">
        <v>889.47546531302874</v>
      </c>
      <c r="J139" s="84">
        <v>1496.7178401270512</v>
      </c>
      <c r="K139" s="84">
        <v>631.75063899839711</v>
      </c>
      <c r="L139" s="85">
        <v>488.04597701149419</v>
      </c>
    </row>
    <row r="140" spans="2:12">
      <c r="B140" s="83">
        <v>35947</v>
      </c>
      <c r="C140" s="84">
        <v>554.4322344322344</v>
      </c>
      <c r="D140" s="84">
        <v>484.72510931116051</v>
      </c>
      <c r="E140" s="84">
        <v>523.86613826508153</v>
      </c>
      <c r="F140" s="84">
        <v>804.62184873949582</v>
      </c>
      <c r="G140" s="84">
        <v>102.55241567912489</v>
      </c>
      <c r="H140" s="84">
        <v>103.8</v>
      </c>
      <c r="I140" s="84">
        <v>911.47208121827418</v>
      </c>
      <c r="J140" s="84">
        <v>1561.8051879301215</v>
      </c>
      <c r="K140" s="84">
        <v>705.06433305896121</v>
      </c>
      <c r="L140" s="85">
        <v>475.78436134045648</v>
      </c>
    </row>
    <row r="141" spans="2:12">
      <c r="B141" s="83">
        <v>35977</v>
      </c>
      <c r="C141" s="84">
        <v>587.96092796092785</v>
      </c>
      <c r="D141" s="84">
        <v>496.38018780015778</v>
      </c>
      <c r="E141" s="84">
        <v>489.82826948480852</v>
      </c>
      <c r="F141" s="84">
        <v>903.04621848739509</v>
      </c>
      <c r="G141" s="84">
        <v>100.72926162260711</v>
      </c>
      <c r="H141" s="84">
        <v>105.2</v>
      </c>
      <c r="I141" s="84">
        <v>984.09475465313028</v>
      </c>
      <c r="J141" s="84">
        <v>1687.7448385389093</v>
      </c>
      <c r="K141" s="84">
        <v>755.98203584167288</v>
      </c>
      <c r="L141" s="85">
        <v>501.46349360530996</v>
      </c>
    </row>
    <row r="142" spans="2:12">
      <c r="B142" s="83">
        <v>36008</v>
      </c>
      <c r="C142" s="84">
        <v>533.28449328449335</v>
      </c>
      <c r="D142" s="84">
        <v>488.15138699734791</v>
      </c>
      <c r="E142" s="84">
        <v>459.70937912813741</v>
      </c>
      <c r="F142" s="84">
        <v>732.8781512605043</v>
      </c>
      <c r="G142" s="84">
        <v>87.511394712853232</v>
      </c>
      <c r="H142" s="84">
        <v>114.5</v>
      </c>
      <c r="I142" s="84">
        <v>815.49915397631139</v>
      </c>
      <c r="J142" s="84">
        <v>1616.4107993647431</v>
      </c>
      <c r="K142" s="84">
        <v>770.04000057762573</v>
      </c>
      <c r="L142" s="85">
        <v>486.16804273919371</v>
      </c>
    </row>
    <row r="143" spans="2:12">
      <c r="B143" s="83">
        <v>36039</v>
      </c>
      <c r="C143" s="84">
        <v>495.82417582417582</v>
      </c>
      <c r="D143" s="84">
        <v>435.3594724392517</v>
      </c>
      <c r="E143" s="84">
        <v>438.74944958168209</v>
      </c>
      <c r="F143" s="84">
        <v>645.69327731092449</v>
      </c>
      <c r="G143" s="84">
        <v>81.221513217866899</v>
      </c>
      <c r="H143" s="84">
        <v>127.6</v>
      </c>
      <c r="I143" s="84">
        <v>855.600676818951</v>
      </c>
      <c r="J143" s="84">
        <v>1343.3033350979354</v>
      </c>
      <c r="K143" s="84">
        <v>771.60247801412299</v>
      </c>
      <c r="L143" s="85">
        <v>435.14327343370564</v>
      </c>
    </row>
    <row r="144" spans="2:12">
      <c r="B144" s="83">
        <v>36069</v>
      </c>
      <c r="C144" s="84">
        <v>494.79853479853477</v>
      </c>
      <c r="D144" s="84">
        <v>369.54340190667341</v>
      </c>
      <c r="E144" s="84">
        <v>467.6354029062087</v>
      </c>
      <c r="F144" s="84">
        <v>585.1890756302522</v>
      </c>
      <c r="G144" s="84">
        <v>91.157702825888791</v>
      </c>
      <c r="H144" s="84">
        <v>125</v>
      </c>
      <c r="I144" s="84">
        <v>760.71065989847716</v>
      </c>
      <c r="J144" s="84">
        <v>1109.7935415563788</v>
      </c>
      <c r="K144" s="84">
        <v>664.6449768227701</v>
      </c>
      <c r="L144" s="85">
        <v>432.36522583778526</v>
      </c>
    </row>
    <row r="145" spans="2:12">
      <c r="B145" s="83">
        <v>36100</v>
      </c>
      <c r="C145" s="84">
        <v>558.85225885225884</v>
      </c>
      <c r="D145" s="84">
        <v>472.1274460612143</v>
      </c>
      <c r="E145" s="84">
        <v>451.87142228093353</v>
      </c>
      <c r="F145" s="84">
        <v>773.63445378151266</v>
      </c>
      <c r="G145" s="84">
        <v>97.082953509571553</v>
      </c>
      <c r="H145" s="84">
        <v>142.30000000000001</v>
      </c>
      <c r="I145" s="84">
        <v>963.82402707275799</v>
      </c>
      <c r="J145" s="84">
        <v>1400.7940709370034</v>
      </c>
      <c r="K145" s="84">
        <v>860.91062686825808</v>
      </c>
      <c r="L145" s="85">
        <v>487.71571960498619</v>
      </c>
    </row>
    <row r="146" spans="2:12">
      <c r="B146" s="83">
        <v>36130</v>
      </c>
      <c r="C146" s="84">
        <v>584.88400488400487</v>
      </c>
      <c r="D146" s="84">
        <v>443.79972761809194</v>
      </c>
      <c r="E146" s="84">
        <v>422.85336856010565</v>
      </c>
      <c r="F146" s="84">
        <v>821.53361344537825</v>
      </c>
      <c r="G146" s="84">
        <v>116.86417502278941</v>
      </c>
      <c r="H146" s="84">
        <v>148.19999999999999</v>
      </c>
      <c r="I146" s="84">
        <v>943.68866328257184</v>
      </c>
      <c r="J146" s="84">
        <v>1381.4981471678136</v>
      </c>
      <c r="K146" s="84">
        <v>936.75865355456403</v>
      </c>
      <c r="L146" s="85">
        <v>516.3898332523878</v>
      </c>
    </row>
    <row r="147" spans="2:12">
      <c r="B147" s="83">
        <v>36161</v>
      </c>
      <c r="C147" s="84">
        <v>635.55555555555554</v>
      </c>
      <c r="D147" s="84">
        <v>478.42090172747476</v>
      </c>
      <c r="E147" s="84">
        <v>459.75341259357106</v>
      </c>
      <c r="F147" s="84">
        <v>897.47899159663871</v>
      </c>
      <c r="G147" s="84">
        <v>129.71741112123976</v>
      </c>
      <c r="H147" s="84">
        <v>161.69999999999999</v>
      </c>
      <c r="I147" s="84">
        <v>979.93231810490681</v>
      </c>
      <c r="J147" s="84">
        <v>1324.6426680783482</v>
      </c>
      <c r="K147" s="84">
        <v>1019.8905399355948</v>
      </c>
      <c r="L147" s="85">
        <v>540.71879553181145</v>
      </c>
    </row>
    <row r="148" spans="2:12">
      <c r="B148" s="83">
        <v>36192</v>
      </c>
      <c r="C148" s="84">
        <v>656.77655677655673</v>
      </c>
      <c r="D148" s="84">
        <v>491.71385563758872</v>
      </c>
      <c r="E148" s="84">
        <v>484.76442095992957</v>
      </c>
      <c r="F148" s="84">
        <v>841.17647058823525</v>
      </c>
      <c r="G148" s="84">
        <v>137.10118505013673</v>
      </c>
      <c r="H148" s="84">
        <v>149.19999999999999</v>
      </c>
      <c r="I148" s="84">
        <v>975.80372250423011</v>
      </c>
      <c r="J148" s="84">
        <v>1265.3255690841713</v>
      </c>
      <c r="K148" s="84">
        <v>1058.2434403384889</v>
      </c>
      <c r="L148" s="85">
        <v>560.40472721385777</v>
      </c>
    </row>
    <row r="149" spans="2:12">
      <c r="B149" s="83">
        <v>36220</v>
      </c>
      <c r="C149" s="84">
        <v>716.23931623931617</v>
      </c>
      <c r="D149" s="84">
        <v>482.27008816572294</v>
      </c>
      <c r="E149" s="84">
        <v>515.10347864376922</v>
      </c>
      <c r="F149" s="84">
        <v>1031.09243697479</v>
      </c>
      <c r="G149" s="84">
        <v>140.74749316317229</v>
      </c>
      <c r="H149" s="84">
        <v>200.4</v>
      </c>
      <c r="I149" s="84">
        <v>952.92724196277493</v>
      </c>
      <c r="J149" s="84">
        <v>1259.158284806776</v>
      </c>
      <c r="K149" s="84">
        <v>1075.4639056159658</v>
      </c>
      <c r="L149" s="85">
        <v>544.87939129027029</v>
      </c>
    </row>
    <row r="150" spans="2:12">
      <c r="B150" s="83">
        <v>36251</v>
      </c>
      <c r="C150" s="84">
        <v>755.84859584859578</v>
      </c>
      <c r="D150" s="84">
        <v>479.69321195613225</v>
      </c>
      <c r="E150" s="84">
        <v>591.72170849845884</v>
      </c>
      <c r="F150" s="84">
        <v>1099.2647058823529</v>
      </c>
      <c r="G150" s="84">
        <v>149.95442114858704</v>
      </c>
      <c r="H150" s="84">
        <v>237.1</v>
      </c>
      <c r="I150" s="84">
        <v>1059.9323181049069</v>
      </c>
      <c r="J150" s="84">
        <v>1207.6760190577024</v>
      </c>
      <c r="K150" s="84">
        <v>1169.0363759765487</v>
      </c>
      <c r="L150" s="85">
        <v>570.92763477416213</v>
      </c>
    </row>
    <row r="151" spans="2:12">
      <c r="B151" s="83">
        <v>36281</v>
      </c>
      <c r="C151" s="84">
        <v>699.92673992673986</v>
      </c>
      <c r="D151" s="84">
        <v>509.14271378395824</v>
      </c>
      <c r="E151" s="84">
        <v>575.86966094231616</v>
      </c>
      <c r="F151" s="84">
        <v>1213.2352941176471</v>
      </c>
      <c r="G151" s="84">
        <v>145.94348222424793</v>
      </c>
      <c r="H151" s="84">
        <v>210.1</v>
      </c>
      <c r="I151" s="84">
        <v>1017.7664974619289</v>
      </c>
      <c r="J151" s="84">
        <v>1367.4695606140815</v>
      </c>
      <c r="K151" s="84">
        <v>1156.5004548802151</v>
      </c>
      <c r="L151" s="85">
        <v>598.22891371215792</v>
      </c>
    </row>
    <row r="152" spans="2:12">
      <c r="B152" s="83">
        <v>36312</v>
      </c>
      <c r="C152" s="84">
        <v>640.70818070818063</v>
      </c>
      <c r="D152" s="84">
        <v>476.85470575585987</v>
      </c>
      <c r="E152" s="84">
        <v>588.99163364156755</v>
      </c>
      <c r="F152" s="84">
        <v>1192.121848739496</v>
      </c>
      <c r="G152" s="84">
        <v>164.63081130355513</v>
      </c>
      <c r="H152" s="84">
        <v>186.3</v>
      </c>
      <c r="I152" s="84">
        <v>1032.6226734348561</v>
      </c>
      <c r="J152" s="84">
        <v>1369.9576495500262</v>
      </c>
      <c r="K152" s="84">
        <v>1089.116088318965</v>
      </c>
      <c r="L152" s="85">
        <v>572.38141492633952</v>
      </c>
    </row>
    <row r="153" spans="2:12">
      <c r="B153" s="83">
        <v>36342</v>
      </c>
      <c r="C153" s="84">
        <v>691.50183150183148</v>
      </c>
      <c r="D153" s="84">
        <v>485.01541108164292</v>
      </c>
      <c r="E153" s="84">
        <v>602.24570673712026</v>
      </c>
      <c r="F153" s="84">
        <v>1335.6092436974791</v>
      </c>
      <c r="G153" s="84">
        <v>168.00364630811305</v>
      </c>
      <c r="H153" s="84">
        <v>174.2</v>
      </c>
      <c r="I153" s="84">
        <v>929.37394247038924</v>
      </c>
      <c r="J153" s="84">
        <v>1288.9094759131815</v>
      </c>
      <c r="K153" s="84">
        <v>1198.5934814943178</v>
      </c>
      <c r="L153" s="85">
        <v>611.34855107657438</v>
      </c>
    </row>
    <row r="154" spans="2:12">
      <c r="B154" s="83">
        <v>36373</v>
      </c>
      <c r="C154" s="84">
        <v>709.13308913308913</v>
      </c>
      <c r="D154" s="84">
        <v>443.50225790265938</v>
      </c>
      <c r="E154" s="84">
        <v>623.4258036107442</v>
      </c>
      <c r="F154" s="84">
        <v>1095.0630252100841</v>
      </c>
      <c r="G154" s="84">
        <v>160.9845031905196</v>
      </c>
      <c r="H154" s="84">
        <v>132.30000000000001</v>
      </c>
      <c r="I154" s="84">
        <v>976.68358714043984</v>
      </c>
      <c r="J154" s="84">
        <v>1193.3033350979354</v>
      </c>
      <c r="K154" s="84">
        <v>1063.6731216335256</v>
      </c>
      <c r="L154" s="85">
        <v>588.39889914197829</v>
      </c>
    </row>
    <row r="155" spans="2:12">
      <c r="B155" s="83">
        <v>36404</v>
      </c>
      <c r="C155" s="84">
        <v>668.42490842490838</v>
      </c>
      <c r="D155" s="84">
        <v>450.59852340334032</v>
      </c>
      <c r="E155" s="84">
        <v>599.55966534566267</v>
      </c>
      <c r="F155" s="84">
        <v>983.19327731092437</v>
      </c>
      <c r="G155" s="84">
        <v>135.27803099361896</v>
      </c>
      <c r="H155" s="84">
        <v>133.30000000000001</v>
      </c>
      <c r="I155" s="84">
        <v>1075.5668358714045</v>
      </c>
      <c r="J155" s="84">
        <v>1192.0592906299628</v>
      </c>
      <c r="K155" s="84">
        <v>1129.5643258386403</v>
      </c>
      <c r="L155" s="85">
        <v>590.64270681560618</v>
      </c>
    </row>
    <row r="156" spans="2:12">
      <c r="B156" s="83">
        <v>36434</v>
      </c>
      <c r="C156" s="84">
        <v>722.41758241758248</v>
      </c>
      <c r="D156" s="84">
        <v>428.60010035122934</v>
      </c>
      <c r="E156" s="84">
        <v>562.39542051959495</v>
      </c>
      <c r="F156" s="84">
        <v>862.92016806722688</v>
      </c>
      <c r="G156" s="84">
        <v>138.1950774840474</v>
      </c>
      <c r="H156" s="84">
        <v>134.5</v>
      </c>
      <c r="I156" s="84">
        <v>1012.5888324873096</v>
      </c>
      <c r="J156" s="84">
        <v>977.58073054526199</v>
      </c>
      <c r="K156" s="84">
        <v>1214.044968158385</v>
      </c>
      <c r="L156" s="85">
        <v>569.77820948680585</v>
      </c>
    </row>
    <row r="157" spans="2:12">
      <c r="B157" s="83">
        <v>36465</v>
      </c>
      <c r="C157" s="84">
        <v>692.30769230769226</v>
      </c>
      <c r="D157" s="84">
        <v>439.37710558382918</v>
      </c>
      <c r="E157" s="84">
        <v>494.76001761338614</v>
      </c>
      <c r="F157" s="84">
        <v>757.45798319327741</v>
      </c>
      <c r="G157" s="84">
        <v>138.1950774840474</v>
      </c>
      <c r="H157" s="84">
        <v>130.80000000000001</v>
      </c>
      <c r="I157" s="84">
        <v>1174.1455160744501</v>
      </c>
      <c r="J157" s="84">
        <v>1175.5690841715193</v>
      </c>
      <c r="K157" s="84">
        <v>1413.5063322214039</v>
      </c>
      <c r="L157" s="85">
        <v>601.86498300145695</v>
      </c>
    </row>
    <row r="158" spans="2:12">
      <c r="B158" s="83">
        <v>36495</v>
      </c>
      <c r="C158" s="84">
        <v>777.21611721611714</v>
      </c>
      <c r="D158" s="84">
        <v>409.64805390294606</v>
      </c>
      <c r="E158" s="84">
        <v>473.40378687802729</v>
      </c>
      <c r="F158" s="84">
        <v>829.20168067226894</v>
      </c>
      <c r="G158" s="84">
        <v>122.78942570647219</v>
      </c>
      <c r="H158" s="84">
        <v>131.19999999999999</v>
      </c>
      <c r="I158" s="84">
        <v>1220.3722504230118</v>
      </c>
      <c r="J158" s="84">
        <v>1361.8845950238219</v>
      </c>
      <c r="K158" s="84">
        <v>1468.4760790769544</v>
      </c>
      <c r="L158" s="85">
        <v>622.14343532459111</v>
      </c>
    </row>
    <row r="159" spans="2:12">
      <c r="B159" s="83">
        <v>36526</v>
      </c>
      <c r="C159" s="84">
        <v>658.75457875457869</v>
      </c>
      <c r="D159" s="84">
        <v>361.07089097555735</v>
      </c>
      <c r="E159" s="84">
        <v>426.86041391457508</v>
      </c>
      <c r="F159" s="84">
        <v>858.71848739495806</v>
      </c>
      <c r="G159" s="84">
        <v>118.68732907930719</v>
      </c>
      <c r="H159" s="84">
        <v>120.4</v>
      </c>
      <c r="I159" s="84">
        <v>1165.3130287648055</v>
      </c>
      <c r="J159" s="84">
        <v>1125.9661196400209</v>
      </c>
      <c r="K159" s="84">
        <v>1681.7701338647491</v>
      </c>
      <c r="L159" s="85">
        <v>648.24672170956762</v>
      </c>
    </row>
    <row r="160" spans="2:12">
      <c r="B160" s="83">
        <v>36557</v>
      </c>
      <c r="C160" s="84">
        <v>608.88888888888891</v>
      </c>
      <c r="D160" s="84">
        <v>326.27051824241994</v>
      </c>
      <c r="E160" s="84">
        <v>398.94319682959048</v>
      </c>
      <c r="F160" s="84">
        <v>852.4159663865546</v>
      </c>
      <c r="G160" s="84">
        <v>125.34184138559708</v>
      </c>
      <c r="H160" s="84">
        <v>99.2</v>
      </c>
      <c r="I160" s="84">
        <v>1084.7377326565145</v>
      </c>
      <c r="J160" s="84">
        <v>1160.9052408681839</v>
      </c>
      <c r="K160" s="84">
        <v>1475.8711317130935</v>
      </c>
      <c r="L160" s="85">
        <v>628.21434353245911</v>
      </c>
    </row>
    <row r="161" spans="2:12">
      <c r="B161" s="83">
        <v>36586</v>
      </c>
      <c r="C161" s="84">
        <v>519.53601953601947</v>
      </c>
      <c r="D161" s="84">
        <v>346.93211956132183</v>
      </c>
      <c r="E161" s="84">
        <v>338.9696169088507</v>
      </c>
      <c r="F161" s="84">
        <v>896.74369747899163</v>
      </c>
      <c r="G161" s="84">
        <v>115.4056517775752</v>
      </c>
      <c r="H161" s="84">
        <v>90.9</v>
      </c>
      <c r="I161" s="84">
        <v>962.09813874788495</v>
      </c>
      <c r="J161" s="84">
        <v>1018.6077289571201</v>
      </c>
      <c r="K161" s="84">
        <v>1257.3986627965749</v>
      </c>
      <c r="L161" s="85">
        <v>615.67427553828713</v>
      </c>
    </row>
    <row r="162" spans="2:12">
      <c r="B162" s="83">
        <v>36617</v>
      </c>
      <c r="C162" s="84">
        <v>640.04884004884002</v>
      </c>
      <c r="D162" s="84">
        <v>373.61479463837725</v>
      </c>
      <c r="E162" s="84">
        <v>429.72258916776752</v>
      </c>
      <c r="F162" s="84">
        <v>1141.4915966386557</v>
      </c>
      <c r="G162" s="84">
        <v>127.89425706472198</v>
      </c>
      <c r="H162" s="84">
        <v>97.8</v>
      </c>
      <c r="I162" s="84">
        <v>648.66328257191196</v>
      </c>
      <c r="J162" s="84">
        <v>988.72419269454724</v>
      </c>
      <c r="K162" s="84">
        <v>1535.8185677771521</v>
      </c>
      <c r="L162" s="85">
        <v>672.80880686417345</v>
      </c>
    </row>
    <row r="163" spans="2:12">
      <c r="B163" s="83">
        <v>36647</v>
      </c>
      <c r="C163" s="84">
        <v>646.30036630036625</v>
      </c>
      <c r="D163" s="84">
        <v>384.53515876998068</v>
      </c>
      <c r="E163" s="84">
        <v>485.73315719947158</v>
      </c>
      <c r="F163" s="84">
        <v>1111.8697478991596</v>
      </c>
      <c r="G163" s="84">
        <v>144.48495897903373</v>
      </c>
      <c r="H163" s="84">
        <v>108.7</v>
      </c>
      <c r="I163" s="84">
        <v>651.13367174280881</v>
      </c>
      <c r="J163" s="84">
        <v>927.31604023292743</v>
      </c>
      <c r="K163" s="84">
        <v>1458.7127611951075</v>
      </c>
      <c r="L163" s="85">
        <v>656.43192488262912</v>
      </c>
    </row>
    <row r="164" spans="2:12">
      <c r="B164" s="83">
        <v>36678</v>
      </c>
      <c r="C164" s="84">
        <v>592.25885225885224</v>
      </c>
      <c r="D164" s="84">
        <v>425.61465127947821</v>
      </c>
      <c r="E164" s="84">
        <v>424.17437252311754</v>
      </c>
      <c r="F164" s="84">
        <v>1029.6218487394958</v>
      </c>
      <c r="G164" s="84">
        <v>146.30811303555151</v>
      </c>
      <c r="H164" s="84">
        <v>96.4</v>
      </c>
      <c r="I164" s="84">
        <v>718.91708967851105</v>
      </c>
      <c r="J164" s="84">
        <v>1067.681312863949</v>
      </c>
      <c r="K164" s="84">
        <v>1449.2714696241103</v>
      </c>
      <c r="L164" s="85">
        <v>648.68058928282335</v>
      </c>
    </row>
    <row r="165" spans="2:12">
      <c r="B165" s="83">
        <v>36708</v>
      </c>
      <c r="C165" s="84">
        <v>540.31746031746025</v>
      </c>
      <c r="D165" s="84">
        <v>445.59888180058783</v>
      </c>
      <c r="E165" s="84">
        <v>384.05988551298992</v>
      </c>
      <c r="F165" s="84">
        <v>985.2941176470589</v>
      </c>
      <c r="G165" s="84">
        <v>144.48495897903373</v>
      </c>
      <c r="H165" s="84">
        <v>92.3</v>
      </c>
      <c r="I165" s="84">
        <v>612.11505922165816</v>
      </c>
      <c r="J165" s="84">
        <v>1174.1397564849124</v>
      </c>
      <c r="K165" s="84">
        <v>1433.5196176118068</v>
      </c>
      <c r="L165" s="85">
        <v>658.43613404565315</v>
      </c>
    </row>
    <row r="166" spans="2:12">
      <c r="B166" s="83">
        <v>36739</v>
      </c>
      <c r="C166" s="84">
        <v>541.34310134310135</v>
      </c>
      <c r="D166" s="84">
        <v>430.79707547846039</v>
      </c>
      <c r="E166" s="84">
        <v>390.70893879348301</v>
      </c>
      <c r="F166" s="84">
        <v>780.67226890756308</v>
      </c>
      <c r="G166" s="84">
        <v>131.99635369188698</v>
      </c>
      <c r="H166" s="84">
        <v>83.3</v>
      </c>
      <c r="I166" s="84">
        <v>650.86294416243652</v>
      </c>
      <c r="J166" s="84">
        <v>1269.6929592376916</v>
      </c>
      <c r="K166" s="84">
        <v>1375.2342994122662</v>
      </c>
      <c r="L166" s="85">
        <v>644.78873239436609</v>
      </c>
    </row>
    <row r="167" spans="2:12">
      <c r="B167" s="83">
        <v>36770</v>
      </c>
      <c r="C167" s="84">
        <v>492.50305250305246</v>
      </c>
      <c r="D167" s="84">
        <v>427.09483191169096</v>
      </c>
      <c r="E167" s="84">
        <v>404.05107881990313</v>
      </c>
      <c r="F167" s="84">
        <v>791.17647058823536</v>
      </c>
      <c r="G167" s="84">
        <v>127.89425706472198</v>
      </c>
      <c r="H167" s="84">
        <v>96.4</v>
      </c>
      <c r="I167" s="84">
        <v>676.34517766497459</v>
      </c>
      <c r="J167" s="84">
        <v>1091.1858125992587</v>
      </c>
      <c r="K167" s="84">
        <v>1230.3065748241854</v>
      </c>
      <c r="L167" s="85">
        <v>682.77804759592038</v>
      </c>
    </row>
    <row r="168" spans="2:12">
      <c r="B168" s="83">
        <v>36800</v>
      </c>
      <c r="C168" s="84">
        <v>499.78021978021974</v>
      </c>
      <c r="D168" s="84">
        <v>449.3011253673572</v>
      </c>
      <c r="E168" s="84">
        <v>437.64861294583881</v>
      </c>
      <c r="F168" s="84">
        <v>930.46218487394958</v>
      </c>
      <c r="G168" s="84">
        <v>126.0711030082042</v>
      </c>
      <c r="H168" s="84">
        <v>99.4</v>
      </c>
      <c r="I168" s="84">
        <v>750.01692047377333</v>
      </c>
      <c r="J168" s="84">
        <v>1150.1852832186339</v>
      </c>
      <c r="K168" s="84">
        <v>1167.0175742610004</v>
      </c>
      <c r="L168" s="85">
        <v>645.27764286870649</v>
      </c>
    </row>
    <row r="169" spans="2:12">
      <c r="B169" s="83">
        <v>36831</v>
      </c>
      <c r="C169" s="84">
        <v>525.7631257631258</v>
      </c>
      <c r="D169" s="84">
        <v>498.13991828542765</v>
      </c>
      <c r="E169" s="84">
        <v>461.7789520035227</v>
      </c>
      <c r="F169" s="84">
        <v>947.3739495798319</v>
      </c>
      <c r="G169" s="84">
        <v>144.12032816773018</v>
      </c>
      <c r="H169" s="84">
        <v>97.8</v>
      </c>
      <c r="I169" s="84">
        <v>763.92554991539771</v>
      </c>
      <c r="J169" s="84">
        <v>1228.3748014822656</v>
      </c>
      <c r="K169" s="84">
        <v>1178.0574448728503</v>
      </c>
      <c r="L169" s="85">
        <v>639.05455722842794</v>
      </c>
    </row>
    <row r="170" spans="2:12">
      <c r="B170" s="83">
        <v>36861</v>
      </c>
      <c r="C170" s="84">
        <v>517.68009768009767</v>
      </c>
      <c r="D170" s="84">
        <v>547.34786036843241</v>
      </c>
      <c r="E170" s="84">
        <v>543.72523117569347</v>
      </c>
      <c r="F170" s="84">
        <v>932.56302521008399</v>
      </c>
      <c r="G170" s="84">
        <v>161.71376481312672</v>
      </c>
      <c r="H170" s="84">
        <v>110.5</v>
      </c>
      <c r="I170" s="84">
        <v>818.57868020304568</v>
      </c>
      <c r="J170" s="84">
        <v>1258.3112758073053</v>
      </c>
      <c r="K170" s="84">
        <v>1291.6042108911322</v>
      </c>
      <c r="L170" s="85">
        <v>592.13534078031398</v>
      </c>
    </row>
    <row r="171" spans="2:12">
      <c r="B171" s="83">
        <v>36892</v>
      </c>
      <c r="C171" s="84">
        <v>568.91330891330881</v>
      </c>
      <c r="D171" s="84">
        <v>567.78725539387858</v>
      </c>
      <c r="E171" s="84">
        <v>565.25759577278734</v>
      </c>
      <c r="F171" s="84">
        <v>873.52941176470597</v>
      </c>
      <c r="G171" s="84">
        <v>173.1084776663628</v>
      </c>
      <c r="H171" s="84">
        <v>106.5</v>
      </c>
      <c r="I171" s="84">
        <v>868.42639593908621</v>
      </c>
      <c r="J171" s="84">
        <v>1233.0068819481205</v>
      </c>
      <c r="K171" s="84">
        <v>1342.1363485393292</v>
      </c>
      <c r="L171" s="85">
        <v>594.90367492310168</v>
      </c>
    </row>
    <row r="172" spans="2:12">
      <c r="B172" s="83">
        <v>36923</v>
      </c>
      <c r="C172" s="84">
        <v>485.76312576312574</v>
      </c>
      <c r="D172" s="84">
        <v>495.48777865386</v>
      </c>
      <c r="E172" s="84">
        <v>514.00264200792606</v>
      </c>
      <c r="F172" s="84">
        <v>786.23949579831935</v>
      </c>
      <c r="G172" s="84">
        <v>160.61987237921602</v>
      </c>
      <c r="H172" s="84">
        <v>115.9</v>
      </c>
      <c r="I172" s="84">
        <v>822.80879864636211</v>
      </c>
      <c r="J172" s="84">
        <v>1162.2286924298569</v>
      </c>
      <c r="K172" s="84">
        <v>1407.1914395875756</v>
      </c>
      <c r="L172" s="85">
        <v>619.43014408288798</v>
      </c>
    </row>
    <row r="173" spans="2:12">
      <c r="B173" s="83">
        <v>36951</v>
      </c>
      <c r="C173" s="84">
        <v>488.76678876678875</v>
      </c>
      <c r="D173" s="84">
        <v>542.04716507777232</v>
      </c>
      <c r="E173" s="84">
        <v>538.61734918538093</v>
      </c>
      <c r="F173" s="84">
        <v>910.0840336134454</v>
      </c>
      <c r="G173" s="84">
        <v>177.2105742935278</v>
      </c>
      <c r="H173" s="84">
        <v>125.8</v>
      </c>
      <c r="I173" s="84">
        <v>763.85786802030452</v>
      </c>
      <c r="J173" s="84">
        <v>1066.3313922710427</v>
      </c>
      <c r="K173" s="84">
        <v>1221.2494043235283</v>
      </c>
      <c r="L173" s="85">
        <v>560.43710539096651</v>
      </c>
    </row>
    <row r="174" spans="2:12">
      <c r="B174" s="83">
        <v>36982</v>
      </c>
      <c r="C174" s="84">
        <v>445.7631257631258</v>
      </c>
      <c r="D174" s="84">
        <v>550.08959931187735</v>
      </c>
      <c r="E174" s="84">
        <v>494.53985028621747</v>
      </c>
      <c r="F174" s="84">
        <v>876.36554621848734</v>
      </c>
      <c r="G174" s="84">
        <v>177.11941659070192</v>
      </c>
      <c r="H174" s="84">
        <v>123.4</v>
      </c>
      <c r="I174" s="84">
        <v>685.41455160744499</v>
      </c>
      <c r="J174" s="84">
        <v>931.15404976177865</v>
      </c>
      <c r="K174" s="84">
        <v>1281.2098369651549</v>
      </c>
      <c r="L174" s="85">
        <v>517.84037558685441</v>
      </c>
    </row>
    <row r="175" spans="2:12">
      <c r="B175" s="83">
        <v>37012</v>
      </c>
      <c r="C175" s="84">
        <v>464.83516483516485</v>
      </c>
      <c r="D175" s="84">
        <v>556.61601318901876</v>
      </c>
      <c r="E175" s="84">
        <v>554.99779832672834</v>
      </c>
      <c r="F175" s="84">
        <v>974.89495798319331</v>
      </c>
      <c r="G175" s="84">
        <v>153.50957155879672</v>
      </c>
      <c r="H175" s="84">
        <v>144.4</v>
      </c>
      <c r="I175" s="84">
        <v>718.44331641285953</v>
      </c>
      <c r="J175" s="84">
        <v>967.31074642668068</v>
      </c>
      <c r="K175" s="84">
        <v>1353.5690046065649</v>
      </c>
      <c r="L175" s="85">
        <v>572.80880686417345</v>
      </c>
    </row>
    <row r="176" spans="2:12">
      <c r="B176" s="83">
        <v>37043</v>
      </c>
      <c r="C176" s="84">
        <v>497.14285714285711</v>
      </c>
      <c r="D176" s="84">
        <v>588.86101354741606</v>
      </c>
      <c r="E176" s="84">
        <v>540.77498899163356</v>
      </c>
      <c r="F176" s="84">
        <v>982.35294117647072</v>
      </c>
      <c r="G176" s="84">
        <v>145.57885141294437</v>
      </c>
      <c r="H176" s="84">
        <v>149.4</v>
      </c>
      <c r="I176" s="84">
        <v>710.96446700507613</v>
      </c>
      <c r="J176" s="84">
        <v>970.96347273689776</v>
      </c>
      <c r="K176" s="84">
        <v>1308.5344192695925</v>
      </c>
      <c r="L176" s="85">
        <v>571.10895256597041</v>
      </c>
    </row>
    <row r="177" spans="2:12">
      <c r="B177" s="83">
        <v>37073</v>
      </c>
      <c r="C177" s="84">
        <v>458.48595848595846</v>
      </c>
      <c r="D177" s="84">
        <v>612.65859078202288</v>
      </c>
      <c r="E177" s="84">
        <v>556.31880228974023</v>
      </c>
      <c r="F177" s="84">
        <v>945.27310924369749</v>
      </c>
      <c r="G177" s="84">
        <v>152.0510483135825</v>
      </c>
      <c r="H177" s="84">
        <v>141.5</v>
      </c>
      <c r="I177" s="84">
        <v>721.6920473773265</v>
      </c>
      <c r="J177" s="84">
        <v>929.72472207517194</v>
      </c>
      <c r="K177" s="84">
        <v>1260.4629669742526</v>
      </c>
      <c r="L177" s="85">
        <v>560.63785008903994</v>
      </c>
    </row>
    <row r="178" spans="2:12">
      <c r="B178" s="83">
        <v>37104</v>
      </c>
      <c r="C178" s="84">
        <v>491.62393162393164</v>
      </c>
      <c r="D178" s="84">
        <v>565.82682245000365</v>
      </c>
      <c r="E178" s="84">
        <v>583.39938353148398</v>
      </c>
      <c r="F178" s="84">
        <v>973.63445378151266</v>
      </c>
      <c r="G178" s="84">
        <v>174.93163172288058</v>
      </c>
      <c r="H178" s="84">
        <v>147.5</v>
      </c>
      <c r="I178" s="84">
        <v>804.80541455160733</v>
      </c>
      <c r="J178" s="84">
        <v>898.729486500794</v>
      </c>
      <c r="K178" s="84">
        <v>1393.728429291398</v>
      </c>
      <c r="L178" s="85">
        <v>551.80184555609515</v>
      </c>
    </row>
    <row r="179" spans="2:12">
      <c r="B179" s="83">
        <v>37135</v>
      </c>
      <c r="C179" s="84">
        <v>502.49084249084245</v>
      </c>
      <c r="D179" s="84">
        <v>527.4388932692998</v>
      </c>
      <c r="E179" s="84">
        <v>615.71994715984147</v>
      </c>
      <c r="F179" s="84">
        <v>987.39495798319331</v>
      </c>
      <c r="G179" s="84">
        <v>193.34548769371011</v>
      </c>
      <c r="H179" s="84">
        <v>137.5</v>
      </c>
      <c r="I179" s="84">
        <v>834.61928934010155</v>
      </c>
      <c r="J179" s="84">
        <v>992.29751191106391</v>
      </c>
      <c r="K179" s="84">
        <v>1217.3908648500342</v>
      </c>
      <c r="L179" s="85">
        <v>515.19507851707942</v>
      </c>
    </row>
    <row r="180" spans="2:12">
      <c r="B180" s="83">
        <v>37165</v>
      </c>
      <c r="C180" s="84">
        <v>457.31379731379729</v>
      </c>
      <c r="D180" s="84">
        <v>548.96064798222358</v>
      </c>
      <c r="E180" s="84">
        <v>567.591369440775</v>
      </c>
      <c r="F180" s="84">
        <v>843.27731092436977</v>
      </c>
      <c r="G180" s="84">
        <v>135.27803099361896</v>
      </c>
      <c r="H180" s="84">
        <v>123</v>
      </c>
      <c r="I180" s="84">
        <v>814.82233502538077</v>
      </c>
      <c r="J180" s="84">
        <v>943.06511381683424</v>
      </c>
      <c r="K180" s="84">
        <v>1262.6579445190546</v>
      </c>
      <c r="L180" s="85">
        <v>472.50445199935234</v>
      </c>
    </row>
    <row r="181" spans="2:12">
      <c r="B181" s="83">
        <v>37196</v>
      </c>
      <c r="C181" s="84">
        <v>438.41269841269838</v>
      </c>
      <c r="D181" s="84">
        <v>548.96064798222358</v>
      </c>
      <c r="E181" s="84">
        <v>583.83971818582131</v>
      </c>
      <c r="F181" s="84">
        <v>982.03781512605042</v>
      </c>
      <c r="G181" s="84">
        <v>147.03737465815863</v>
      </c>
      <c r="H181" s="84">
        <v>165.2</v>
      </c>
      <c r="I181" s="84">
        <v>859.86463620981385</v>
      </c>
      <c r="J181" s="84">
        <v>994.22975119110629</v>
      </c>
      <c r="K181" s="84">
        <v>1325.587373102861</v>
      </c>
      <c r="L181" s="85">
        <v>493.75424963574545</v>
      </c>
    </row>
    <row r="182" spans="2:12">
      <c r="B182" s="83">
        <v>37226</v>
      </c>
      <c r="C182" s="84">
        <v>450.76923076923077</v>
      </c>
      <c r="D182" s="84">
        <v>584.24844097197342</v>
      </c>
      <c r="E182" s="84">
        <v>620.07926023778077</v>
      </c>
      <c r="F182" s="84">
        <v>1052.6260504201682</v>
      </c>
      <c r="G182" s="84">
        <v>150.04557885141293</v>
      </c>
      <c r="H182" s="84">
        <v>154.80000000000001</v>
      </c>
      <c r="I182" s="84">
        <v>863.48561759729273</v>
      </c>
      <c r="J182" s="84">
        <v>955.74377977766005</v>
      </c>
      <c r="K182" s="84">
        <v>1384.9644038181057</v>
      </c>
      <c r="L182" s="85">
        <v>515.2922130484053</v>
      </c>
    </row>
    <row r="183" spans="2:12">
      <c r="B183" s="83">
        <v>37257</v>
      </c>
      <c r="C183" s="84">
        <v>446.54456654456652</v>
      </c>
      <c r="D183" s="84">
        <v>615.61895204644838</v>
      </c>
      <c r="E183" s="84">
        <v>633.99383531483932</v>
      </c>
      <c r="F183" s="84">
        <v>1156.1974789915967</v>
      </c>
      <c r="G183" s="84">
        <v>161.98723792160436</v>
      </c>
      <c r="H183" s="84">
        <v>158.69999999999999</v>
      </c>
      <c r="I183" s="84">
        <v>895.53299492385793</v>
      </c>
      <c r="J183" s="84">
        <v>968.47538380095284</v>
      </c>
      <c r="K183" s="84">
        <v>1462.1438576730352</v>
      </c>
      <c r="L183" s="85">
        <v>524.19621175327825</v>
      </c>
    </row>
    <row r="184" spans="2:12">
      <c r="B184" s="83">
        <v>37288</v>
      </c>
      <c r="C184" s="84">
        <v>449.25518925518924</v>
      </c>
      <c r="D184" s="84">
        <v>665.02401261558316</v>
      </c>
      <c r="E184" s="84">
        <v>673.97622192866572</v>
      </c>
      <c r="F184" s="84">
        <v>1242.6470588235295</v>
      </c>
      <c r="G184" s="84">
        <v>162.89881494986327</v>
      </c>
      <c r="H184" s="84">
        <v>178</v>
      </c>
      <c r="I184" s="84">
        <v>938.91708967851093</v>
      </c>
      <c r="J184" s="84">
        <v>917.73425092641594</v>
      </c>
      <c r="K184" s="84">
        <v>1505.5899724183746</v>
      </c>
      <c r="L184" s="85">
        <v>512.88975230694507</v>
      </c>
    </row>
    <row r="185" spans="2:12">
      <c r="B185" s="83">
        <v>37316</v>
      </c>
      <c r="C185" s="84">
        <v>441.48962148962153</v>
      </c>
      <c r="D185" s="84">
        <v>682.67149308293324</v>
      </c>
      <c r="E185" s="84">
        <v>680.05284015852055</v>
      </c>
      <c r="F185" s="84">
        <v>1134.2436974789916</v>
      </c>
      <c r="G185" s="84">
        <v>169.37101185050139</v>
      </c>
      <c r="H185" s="84">
        <v>190.8</v>
      </c>
      <c r="I185" s="84">
        <v>995.56683587140446</v>
      </c>
      <c r="J185" s="84">
        <v>994.36209634727356</v>
      </c>
      <c r="K185" s="84">
        <v>1595.7833326113014</v>
      </c>
      <c r="L185" s="85">
        <v>518.05730937348221</v>
      </c>
    </row>
    <row r="186" spans="2:12">
      <c r="B186" s="83">
        <v>37347</v>
      </c>
      <c r="C186" s="84">
        <v>459.70695970695971</v>
      </c>
      <c r="D186" s="84">
        <v>728.66102788330591</v>
      </c>
      <c r="E186" s="84">
        <v>759.31307793923384</v>
      </c>
      <c r="F186" s="84">
        <v>1195.3781512605042</v>
      </c>
      <c r="G186" s="84">
        <v>174.47584320875114</v>
      </c>
      <c r="H186" s="84">
        <v>187.5</v>
      </c>
      <c r="I186" s="84">
        <v>1023.31641285956</v>
      </c>
      <c r="J186" s="84">
        <v>1078.7453679195339</v>
      </c>
      <c r="K186" s="84">
        <v>1515.0081589625845</v>
      </c>
      <c r="L186" s="85">
        <v>525.24850250930865</v>
      </c>
    </row>
    <row r="187" spans="2:12">
      <c r="B187" s="83">
        <v>37377</v>
      </c>
      <c r="C187" s="84">
        <v>480.46398046398048</v>
      </c>
      <c r="D187" s="84">
        <v>718.34277112751784</v>
      </c>
      <c r="E187" s="84">
        <v>804.18317921620428</v>
      </c>
      <c r="F187" s="84">
        <v>1187.920168067227</v>
      </c>
      <c r="G187" s="84">
        <v>187.87602552415677</v>
      </c>
      <c r="H187" s="84">
        <v>199.2</v>
      </c>
      <c r="I187" s="84">
        <v>1048.2910321489001</v>
      </c>
      <c r="J187" s="84">
        <v>1188.4595023822126</v>
      </c>
      <c r="K187" s="84">
        <v>1444.8020910049245</v>
      </c>
      <c r="L187" s="85">
        <v>498.18682208191677</v>
      </c>
    </row>
    <row r="188" spans="2:12">
      <c r="B188" s="83">
        <v>37408</v>
      </c>
      <c r="C188" s="84">
        <v>497.65567765567766</v>
      </c>
      <c r="D188" s="84">
        <v>682.62490144075696</v>
      </c>
      <c r="E188" s="84">
        <v>810.47996477322761</v>
      </c>
      <c r="F188" s="84">
        <v>1325.3151260504203</v>
      </c>
      <c r="G188" s="84">
        <v>187.05560619872378</v>
      </c>
      <c r="H188" s="84">
        <v>204.6</v>
      </c>
      <c r="I188" s="84">
        <v>1023.1133671742809</v>
      </c>
      <c r="J188" s="84">
        <v>1114.4256220222339</v>
      </c>
      <c r="K188" s="84">
        <v>1351.9588730523187</v>
      </c>
      <c r="L188" s="85">
        <v>477.98607738384322</v>
      </c>
    </row>
    <row r="189" spans="2:12">
      <c r="B189" s="83">
        <v>37438</v>
      </c>
      <c r="C189" s="84">
        <v>474.04151404151406</v>
      </c>
      <c r="D189" s="84">
        <v>675.48204429789985</v>
      </c>
      <c r="E189" s="84">
        <v>865.65389696169098</v>
      </c>
      <c r="F189" s="84">
        <v>1183.9285714285713</v>
      </c>
      <c r="G189" s="84">
        <v>181.40382862351868</v>
      </c>
      <c r="H189" s="84">
        <v>188.6</v>
      </c>
      <c r="I189" s="84">
        <v>1036.0067681895093</v>
      </c>
      <c r="J189" s="84">
        <v>1166.5431445209103</v>
      </c>
      <c r="K189" s="84">
        <v>1385.5622463862296</v>
      </c>
      <c r="L189" s="85">
        <v>445.48162538449077</v>
      </c>
    </row>
    <row r="190" spans="2:12">
      <c r="B190" s="83">
        <v>37469</v>
      </c>
      <c r="C190" s="84">
        <v>410.6227106227106</v>
      </c>
      <c r="D190" s="84">
        <v>584.99390724679245</v>
      </c>
      <c r="E190" s="84">
        <v>781.24174372523123</v>
      </c>
      <c r="F190" s="84">
        <v>1036.0294117647059</v>
      </c>
      <c r="G190" s="84">
        <v>162.98997265268915</v>
      </c>
      <c r="H190" s="84">
        <v>182</v>
      </c>
      <c r="I190" s="84">
        <v>1016.311336717428</v>
      </c>
      <c r="J190" s="84">
        <v>1033.6421386977236</v>
      </c>
      <c r="K190" s="84">
        <v>1207.2723071813311</v>
      </c>
      <c r="L190" s="85">
        <v>407.38870001618903</v>
      </c>
    </row>
    <row r="191" spans="2:12">
      <c r="B191" s="83">
        <v>37500</v>
      </c>
      <c r="C191" s="84">
        <v>400.83028083028086</v>
      </c>
      <c r="D191" s="84">
        <v>621.90165579528355</v>
      </c>
      <c r="E191" s="84">
        <v>780.18494055482165</v>
      </c>
      <c r="F191" s="84">
        <v>991.17647058823536</v>
      </c>
      <c r="G191" s="84">
        <v>166.18049225159527</v>
      </c>
      <c r="H191" s="84">
        <v>195.7</v>
      </c>
      <c r="I191" s="84">
        <v>1025.3468697123519</v>
      </c>
      <c r="J191" s="84">
        <v>1055.796717840127</v>
      </c>
      <c r="K191" s="84">
        <v>1362.1294170312931</v>
      </c>
      <c r="L191" s="85">
        <v>422.48664400194264</v>
      </c>
    </row>
    <row r="192" spans="2:12">
      <c r="B192" s="83">
        <v>37530</v>
      </c>
      <c r="C192" s="84">
        <v>308.37606837606836</v>
      </c>
      <c r="D192" s="84">
        <v>646.2798365708552</v>
      </c>
      <c r="E192" s="84">
        <v>757.02333773667988</v>
      </c>
      <c r="F192" s="84">
        <v>938.86554621848734</v>
      </c>
      <c r="G192" s="84">
        <v>135.18687329079307</v>
      </c>
      <c r="H192" s="84">
        <v>189.5</v>
      </c>
      <c r="I192" s="84">
        <v>1054.4839255499153</v>
      </c>
      <c r="J192" s="84">
        <v>1040.3917416622551</v>
      </c>
      <c r="K192" s="84">
        <v>1318.8652543719045</v>
      </c>
      <c r="L192" s="85">
        <v>391.64319248826286</v>
      </c>
    </row>
    <row r="193" spans="2:12">
      <c r="B193" s="83">
        <v>37561</v>
      </c>
      <c r="C193" s="84">
        <v>305.86080586080584</v>
      </c>
      <c r="D193" s="84">
        <v>590.80352662891551</v>
      </c>
      <c r="E193" s="84">
        <v>685.55702333773672</v>
      </c>
      <c r="F193" s="84">
        <v>1124.1596638655462</v>
      </c>
      <c r="G193" s="84">
        <v>129.35278030993621</v>
      </c>
      <c r="H193" s="84">
        <v>148.4</v>
      </c>
      <c r="I193" s="84">
        <v>1022.3011844331642</v>
      </c>
      <c r="J193" s="84">
        <v>973.26627845420842</v>
      </c>
      <c r="K193" s="84">
        <v>1391.2995133503734</v>
      </c>
      <c r="L193" s="85">
        <v>416.74923101829364</v>
      </c>
    </row>
    <row r="194" spans="2:12">
      <c r="B194" s="83">
        <v>37591</v>
      </c>
      <c r="C194" s="84">
        <v>320.48840048840049</v>
      </c>
      <c r="D194" s="84">
        <v>532.08730556949331</v>
      </c>
      <c r="E194" s="84">
        <v>616.1602818141788</v>
      </c>
      <c r="F194" s="84">
        <v>1218.59243697479</v>
      </c>
      <c r="G194" s="84">
        <v>118.68732907930719</v>
      </c>
      <c r="H194" s="84">
        <v>154.5</v>
      </c>
      <c r="I194" s="84">
        <v>962.03045685279199</v>
      </c>
      <c r="J194" s="84">
        <v>943.56802541026991</v>
      </c>
      <c r="K194" s="84">
        <v>1386.9629886352152</v>
      </c>
      <c r="L194" s="85">
        <v>433.0063137445361</v>
      </c>
    </row>
    <row r="195" spans="2:12">
      <c r="B195" s="83">
        <v>37622</v>
      </c>
      <c r="C195" s="84">
        <v>274.99389499389497</v>
      </c>
      <c r="D195" s="84">
        <v>546.66690559816504</v>
      </c>
      <c r="E195" s="84">
        <v>592.51431087626588</v>
      </c>
      <c r="F195" s="84">
        <v>1166.701680672269</v>
      </c>
      <c r="G195" s="84">
        <v>101.640838650866</v>
      </c>
      <c r="H195" s="84">
        <v>156.30000000000001</v>
      </c>
      <c r="I195" s="84">
        <v>998.5109983079526</v>
      </c>
      <c r="J195" s="84">
        <v>915.19322392800404</v>
      </c>
      <c r="K195" s="84">
        <v>1290.1760314228366</v>
      </c>
      <c r="L195" s="85">
        <v>408.34709405860445</v>
      </c>
    </row>
    <row r="196" spans="2:12">
      <c r="B196" s="83">
        <v>37653</v>
      </c>
      <c r="C196" s="84">
        <v>248.30280830280827</v>
      </c>
      <c r="D196" s="84">
        <v>521.96616729983521</v>
      </c>
      <c r="E196" s="84">
        <v>596.69749009247028</v>
      </c>
      <c r="F196" s="84">
        <v>1101.0504201680674</v>
      </c>
      <c r="G196" s="84">
        <v>95.077484047401995</v>
      </c>
      <c r="H196" s="84">
        <v>153.4</v>
      </c>
      <c r="I196" s="84">
        <v>1000.7445008460236</v>
      </c>
      <c r="J196" s="84">
        <v>838.14187400741127</v>
      </c>
      <c r="K196" s="84">
        <v>1227.8516657280252</v>
      </c>
      <c r="L196" s="85">
        <v>399.79925530192645</v>
      </c>
    </row>
    <row r="197" spans="2:12">
      <c r="B197" s="83">
        <v>37681</v>
      </c>
      <c r="C197" s="84">
        <v>225.56776556776558</v>
      </c>
      <c r="D197" s="84">
        <v>513.46140061644337</v>
      </c>
      <c r="E197" s="84">
        <v>545.39850286217518</v>
      </c>
      <c r="F197" s="84">
        <v>1103.6764705882354</v>
      </c>
      <c r="G197" s="84">
        <v>98.906107566089332</v>
      </c>
      <c r="H197" s="84">
        <v>150.5</v>
      </c>
      <c r="I197" s="84">
        <v>943.51945854483927</v>
      </c>
      <c r="J197" s="84">
        <v>818.52832186341971</v>
      </c>
      <c r="K197" s="84">
        <v>1220.6992158731534</v>
      </c>
      <c r="L197" s="85">
        <v>388.73239436619713</v>
      </c>
    </row>
    <row r="198" spans="2:12">
      <c r="B198" s="83">
        <v>37712</v>
      </c>
      <c r="C198" s="84">
        <v>240.26862026862025</v>
      </c>
      <c r="D198" s="84">
        <v>540.33761020715372</v>
      </c>
      <c r="E198" s="84">
        <v>592.16204315279606</v>
      </c>
      <c r="F198" s="84">
        <v>1167.5420168067228</v>
      </c>
      <c r="G198" s="84">
        <v>104.102096627165</v>
      </c>
      <c r="H198" s="84">
        <v>154.5</v>
      </c>
      <c r="I198" s="84">
        <v>1045.1099830795263</v>
      </c>
      <c r="J198" s="84">
        <v>848.04129168872407</v>
      </c>
      <c r="K198" s="84">
        <v>1341.2352524946209</v>
      </c>
      <c r="L198" s="85">
        <v>400.29140359397758</v>
      </c>
    </row>
    <row r="199" spans="2:12">
      <c r="B199" s="83">
        <v>37742</v>
      </c>
      <c r="C199" s="84">
        <v>293.45543345543348</v>
      </c>
      <c r="D199" s="84">
        <v>563.00623611210676</v>
      </c>
      <c r="E199" s="84">
        <v>634.47820343461035</v>
      </c>
      <c r="F199" s="84">
        <v>1217.5420168067226</v>
      </c>
      <c r="G199" s="84">
        <v>101.73199635369188</v>
      </c>
      <c r="H199" s="84">
        <v>157.9</v>
      </c>
      <c r="I199" s="84">
        <v>1053.9763113367173</v>
      </c>
      <c r="J199" s="84">
        <v>849.10005293806239</v>
      </c>
      <c r="K199" s="84">
        <v>1431.2986469118689</v>
      </c>
      <c r="L199" s="85">
        <v>427.84199449570986</v>
      </c>
    </row>
    <row r="200" spans="2:12">
      <c r="B200" s="83">
        <v>37773</v>
      </c>
      <c r="C200" s="84">
        <v>323.22344322344321</v>
      </c>
      <c r="D200" s="84">
        <v>542.39839438033118</v>
      </c>
      <c r="E200" s="84">
        <v>655.17393218846325</v>
      </c>
      <c r="F200" s="84">
        <v>1250.7352941176471</v>
      </c>
      <c r="G200" s="84">
        <v>122.78942570647219</v>
      </c>
      <c r="H200" s="84">
        <v>179.7</v>
      </c>
      <c r="I200" s="84">
        <v>1070.9644670050761</v>
      </c>
      <c r="J200" s="84">
        <v>961.61990471148749</v>
      </c>
      <c r="K200" s="84">
        <v>1342.2590939941374</v>
      </c>
      <c r="L200" s="85">
        <v>452.22599967621818</v>
      </c>
    </row>
    <row r="201" spans="2:12">
      <c r="B201" s="83">
        <v>37803</v>
      </c>
      <c r="C201" s="84">
        <v>375.18925518925522</v>
      </c>
      <c r="D201" s="84">
        <v>530.858003010537</v>
      </c>
      <c r="E201" s="84">
        <v>650.55041831792164</v>
      </c>
      <c r="F201" s="84">
        <v>1332.6680672268908</v>
      </c>
      <c r="G201" s="84">
        <v>131.08477666362808</v>
      </c>
      <c r="H201" s="84">
        <v>192.8</v>
      </c>
      <c r="I201" s="84">
        <v>1055.0253807106599</v>
      </c>
      <c r="J201" s="84">
        <v>980.70407623080985</v>
      </c>
      <c r="K201" s="84">
        <v>1392.8822076853096</v>
      </c>
      <c r="L201" s="85">
        <v>460.10361016674756</v>
      </c>
    </row>
    <row r="202" spans="2:12">
      <c r="B202" s="83">
        <v>37834</v>
      </c>
      <c r="C202" s="84">
        <v>392.82051282051276</v>
      </c>
      <c r="D202" s="84">
        <v>522.20270948319126</v>
      </c>
      <c r="E202" s="84">
        <v>639.98238661382652</v>
      </c>
      <c r="F202" s="84">
        <v>1250.420168067227</v>
      </c>
      <c r="G202" s="84">
        <v>122.42479489516865</v>
      </c>
      <c r="H202" s="84">
        <v>193</v>
      </c>
      <c r="I202" s="84">
        <v>1022.0304568527919</v>
      </c>
      <c r="J202" s="84">
        <v>943.99152991000517</v>
      </c>
      <c r="K202" s="84">
        <v>1416.4594434576672</v>
      </c>
      <c r="L202" s="85">
        <v>459.65355350493763</v>
      </c>
    </row>
    <row r="203" spans="2:12">
      <c r="B203" s="83">
        <v>37865</v>
      </c>
      <c r="C203" s="84">
        <v>383.41880341880341</v>
      </c>
      <c r="D203" s="84">
        <v>557.23604042720956</v>
      </c>
      <c r="E203" s="84">
        <v>695.02421840598856</v>
      </c>
      <c r="F203" s="84">
        <v>1323.1092436974789</v>
      </c>
      <c r="G203" s="84">
        <v>124.61257976298997</v>
      </c>
      <c r="H203" s="84">
        <v>191.3</v>
      </c>
      <c r="I203" s="84">
        <v>1028.9678510998308</v>
      </c>
      <c r="J203" s="84">
        <v>918.05187930121747</v>
      </c>
      <c r="K203" s="84">
        <v>1516.4103452757442</v>
      </c>
      <c r="L203" s="85">
        <v>473.46608385947866</v>
      </c>
    </row>
    <row r="204" spans="2:12">
      <c r="B204" s="83">
        <v>37895</v>
      </c>
      <c r="C204" s="84">
        <v>414.01709401709405</v>
      </c>
      <c r="D204" s="84">
        <v>553.23274317253254</v>
      </c>
      <c r="E204" s="84">
        <v>729.19418758256279</v>
      </c>
      <c r="F204" s="84">
        <v>1347.0588235294119</v>
      </c>
      <c r="G204" s="84">
        <v>105.83409298085688</v>
      </c>
      <c r="H204" s="84">
        <v>202.1</v>
      </c>
      <c r="I204" s="84">
        <v>1107.8510998307952</v>
      </c>
      <c r="J204" s="84">
        <v>930.43938591847518</v>
      </c>
      <c r="K204" s="84">
        <v>1462.334474144031</v>
      </c>
      <c r="L204" s="85">
        <v>478.94770924396954</v>
      </c>
    </row>
    <row r="205" spans="2:12">
      <c r="B205" s="83">
        <v>37926</v>
      </c>
      <c r="C205" s="84">
        <v>434.18803418803418</v>
      </c>
      <c r="D205" s="84">
        <v>590.02938857429581</v>
      </c>
      <c r="E205" s="84">
        <v>816.42448260678111</v>
      </c>
      <c r="F205" s="84">
        <v>1451.7857142857142</v>
      </c>
      <c r="G205" s="84">
        <v>110.11850501367365</v>
      </c>
      <c r="H205" s="84">
        <v>219.7</v>
      </c>
      <c r="I205" s="84">
        <v>1154.8223350253807</v>
      </c>
      <c r="J205" s="84">
        <v>989.57120169401787</v>
      </c>
      <c r="K205" s="84">
        <v>1515.4644832416354</v>
      </c>
      <c r="L205" s="85">
        <v>498.8538125303545</v>
      </c>
    </row>
    <row r="206" spans="2:12">
      <c r="B206" s="83">
        <v>37956</v>
      </c>
      <c r="C206" s="84">
        <v>457.48473748473748</v>
      </c>
      <c r="D206" s="84">
        <v>623.01985520751214</v>
      </c>
      <c r="E206" s="84">
        <v>866.97490092470287</v>
      </c>
      <c r="F206" s="84">
        <v>1613.5504201680671</v>
      </c>
      <c r="G206" s="84">
        <v>123.24521422060162</v>
      </c>
      <c r="H206" s="84">
        <v>226.6</v>
      </c>
      <c r="I206" s="84">
        <v>1149.3739424703892</v>
      </c>
      <c r="J206" s="84">
        <v>1001.4822657490735</v>
      </c>
      <c r="K206" s="84">
        <v>1398.9299484469091</v>
      </c>
      <c r="L206" s="85">
        <v>504.93767200906581</v>
      </c>
    </row>
    <row r="207" spans="2:12">
      <c r="B207" s="83">
        <v>37987</v>
      </c>
      <c r="C207" s="84">
        <v>431.08669108669108</v>
      </c>
      <c r="D207" s="84">
        <v>621.75112895132963</v>
      </c>
      <c r="E207" s="84">
        <v>865.87406428885959</v>
      </c>
      <c r="F207" s="84">
        <v>1518.172268907563</v>
      </c>
      <c r="G207" s="84">
        <v>125.61531449407475</v>
      </c>
      <c r="H207" s="84">
        <v>221.9</v>
      </c>
      <c r="I207" s="84">
        <v>1183.0118443316414</v>
      </c>
      <c r="J207" s="84">
        <v>1080.942297511911</v>
      </c>
      <c r="K207" s="84">
        <v>1364.0716833456081</v>
      </c>
      <c r="L207" s="85">
        <v>525.47838756677993</v>
      </c>
    </row>
    <row r="208" spans="2:12" ht="13.5" thickBot="1">
      <c r="B208" s="86">
        <v>38018</v>
      </c>
      <c r="C208" s="87">
        <v>451.23321123321119</v>
      </c>
      <c r="D208" s="87">
        <v>609.06386638950619</v>
      </c>
      <c r="E208" s="87">
        <v>842.93262879788642</v>
      </c>
      <c r="F208" s="87">
        <v>1525</v>
      </c>
      <c r="G208" s="87">
        <v>138.83318140382863</v>
      </c>
      <c r="H208" s="87">
        <v>217.7</v>
      </c>
      <c r="I208" s="87">
        <v>1209.8477157360405</v>
      </c>
      <c r="J208" s="87">
        <v>1056.6437268395975</v>
      </c>
      <c r="K208" s="87">
        <v>1406.241245360944</v>
      </c>
      <c r="L208" s="88">
        <v>537.08596406022332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A956-F9F8-49A2-9302-9FAED427FF1A}">
  <sheetPr codeName="Sheet23">
    <tabColor theme="0" tint="-0.34998626667073579"/>
  </sheetPr>
  <dimension ref="A3:D67"/>
  <sheetViews>
    <sheetView showGridLines="0" topLeftCell="A13" workbookViewId="0">
      <selection activeCell="K24" sqref="K24"/>
    </sheetView>
  </sheetViews>
  <sheetFormatPr defaultColWidth="9.140625" defaultRowHeight="15"/>
  <cols>
    <col min="1" max="1" width="16.140625" style="363" customWidth="1"/>
    <col min="2" max="2" width="16.7109375" style="363" customWidth="1"/>
    <col min="3" max="3" width="16.5703125" style="363" customWidth="1"/>
    <col min="4" max="4" width="17.85546875" style="363" customWidth="1"/>
    <col min="5" max="16384" width="9.140625" style="363"/>
  </cols>
  <sheetData>
    <row r="3" spans="1:3">
      <c r="A3" s="361" t="s">
        <v>3755</v>
      </c>
      <c r="B3" s="362" t="s">
        <v>3756</v>
      </c>
    </row>
    <row r="4" spans="1:3">
      <c r="A4" s="361" t="s">
        <v>3757</v>
      </c>
      <c r="B4" s="364">
        <v>10000</v>
      </c>
    </row>
    <row r="5" spans="1:3">
      <c r="A5" s="361" t="s">
        <v>3758</v>
      </c>
      <c r="B5" s="365">
        <v>10</v>
      </c>
      <c r="C5" s="366"/>
    </row>
    <row r="6" spans="1:3">
      <c r="A6" s="361" t="s">
        <v>3759</v>
      </c>
      <c r="B6" s="364">
        <v>1000</v>
      </c>
    </row>
    <row r="8" spans="1:3" ht="15.75">
      <c r="A8" s="367" t="s">
        <v>3760</v>
      </c>
    </row>
    <row r="9" spans="1:3">
      <c r="A9" s="368" t="s">
        <v>381</v>
      </c>
      <c r="B9" s="368" t="s">
        <v>3761</v>
      </c>
      <c r="C9" s="368" t="s">
        <v>3752</v>
      </c>
    </row>
    <row r="10" spans="1:3">
      <c r="A10" s="365">
        <v>1</v>
      </c>
      <c r="B10" s="369">
        <f>B4-B24</f>
        <v>10000</v>
      </c>
      <c r="C10" s="369"/>
    </row>
    <row r="11" spans="1:3">
      <c r="A11" s="365">
        <f t="shared" ref="A11:A19" si="0">A10+1</f>
        <v>2</v>
      </c>
      <c r="B11" s="369"/>
      <c r="C11" s="369"/>
    </row>
    <row r="12" spans="1:3">
      <c r="A12" s="365">
        <f t="shared" si="0"/>
        <v>3</v>
      </c>
      <c r="B12" s="369"/>
      <c r="C12" s="369"/>
    </row>
    <row r="13" spans="1:3">
      <c r="A13" s="365">
        <f t="shared" si="0"/>
        <v>4</v>
      </c>
      <c r="B13" s="369"/>
      <c r="C13" s="369"/>
    </row>
    <row r="14" spans="1:3">
      <c r="A14" s="365">
        <f t="shared" si="0"/>
        <v>5</v>
      </c>
      <c r="B14" s="369"/>
      <c r="C14" s="369"/>
    </row>
    <row r="15" spans="1:3">
      <c r="A15" s="365">
        <f t="shared" si="0"/>
        <v>6</v>
      </c>
      <c r="B15" s="369"/>
      <c r="C15" s="369"/>
    </row>
    <row r="16" spans="1:3">
      <c r="A16" s="365">
        <f t="shared" si="0"/>
        <v>7</v>
      </c>
      <c r="B16" s="369"/>
      <c r="C16" s="369"/>
    </row>
    <row r="17" spans="1:3">
      <c r="A17" s="365">
        <f t="shared" si="0"/>
        <v>8</v>
      </c>
      <c r="B17" s="369"/>
      <c r="C17" s="369"/>
    </row>
    <row r="18" spans="1:3">
      <c r="A18" s="365">
        <f t="shared" si="0"/>
        <v>9</v>
      </c>
      <c r="B18" s="369"/>
      <c r="C18" s="369"/>
    </row>
    <row r="19" spans="1:3">
      <c r="A19" s="365">
        <f t="shared" si="0"/>
        <v>10</v>
      </c>
      <c r="B19" s="369"/>
      <c r="C19" s="369"/>
    </row>
    <row r="20" spans="1:3">
      <c r="B20" s="366"/>
      <c r="C20" s="366"/>
    </row>
    <row r="21" spans="1:3">
      <c r="C21" s="366"/>
    </row>
    <row r="22" spans="1:3" ht="15.75">
      <c r="A22" s="367" t="s">
        <v>3762</v>
      </c>
      <c r="C22" s="366"/>
    </row>
    <row r="23" spans="1:3">
      <c r="A23" s="368" t="s">
        <v>381</v>
      </c>
      <c r="B23" s="368" t="s">
        <v>3761</v>
      </c>
      <c r="C23" s="368" t="s">
        <v>3752</v>
      </c>
    </row>
    <row r="24" spans="1:3">
      <c r="A24" s="365">
        <v>0</v>
      </c>
      <c r="B24" s="369"/>
      <c r="C24" s="369"/>
    </row>
    <row r="25" spans="1:3">
      <c r="A25" s="365">
        <f t="shared" ref="A25:A34" si="1">A10</f>
        <v>1</v>
      </c>
      <c r="B25" s="369"/>
      <c r="C25" s="369"/>
    </row>
    <row r="26" spans="1:3">
      <c r="A26" s="365">
        <f t="shared" si="1"/>
        <v>2</v>
      </c>
      <c r="B26" s="369"/>
      <c r="C26" s="369"/>
    </row>
    <row r="27" spans="1:3">
      <c r="A27" s="365">
        <f t="shared" si="1"/>
        <v>3</v>
      </c>
      <c r="B27" s="369"/>
      <c r="C27" s="369"/>
    </row>
    <row r="28" spans="1:3">
      <c r="A28" s="365">
        <f t="shared" si="1"/>
        <v>4</v>
      </c>
      <c r="B28" s="369"/>
      <c r="C28" s="369"/>
    </row>
    <row r="29" spans="1:3">
      <c r="A29" s="365">
        <f t="shared" si="1"/>
        <v>5</v>
      </c>
      <c r="B29" s="369"/>
      <c r="C29" s="369"/>
    </row>
    <row r="30" spans="1:3">
      <c r="A30" s="365">
        <f t="shared" si="1"/>
        <v>6</v>
      </c>
      <c r="B30" s="369"/>
      <c r="C30" s="369"/>
    </row>
    <row r="31" spans="1:3">
      <c r="A31" s="365">
        <f t="shared" si="1"/>
        <v>7</v>
      </c>
      <c r="B31" s="369"/>
      <c r="C31" s="369"/>
    </row>
    <row r="32" spans="1:3">
      <c r="A32" s="365">
        <f t="shared" si="1"/>
        <v>8</v>
      </c>
      <c r="B32" s="369"/>
      <c r="C32" s="369"/>
    </row>
    <row r="33" spans="1:4">
      <c r="A33" s="365">
        <f t="shared" si="1"/>
        <v>9</v>
      </c>
      <c r="B33" s="369"/>
      <c r="C33" s="369"/>
    </row>
    <row r="34" spans="1:4">
      <c r="A34" s="365">
        <f t="shared" si="1"/>
        <v>10</v>
      </c>
      <c r="B34" s="369"/>
      <c r="C34" s="369"/>
    </row>
    <row r="35" spans="1:4">
      <c r="B35" s="488"/>
      <c r="C35" s="202"/>
      <c r="D35" s="488"/>
    </row>
    <row r="37" spans="1:4">
      <c r="C37" s="202"/>
      <c r="D37" s="489"/>
    </row>
    <row r="38" spans="1:4">
      <c r="C38" s="489"/>
      <c r="D38" s="489"/>
    </row>
    <row r="39" spans="1:4">
      <c r="C39" s="489"/>
      <c r="D39" s="489"/>
    </row>
    <row r="40" spans="1:4">
      <c r="C40" s="489"/>
      <c r="D40" s="489"/>
    </row>
    <row r="41" spans="1:4">
      <c r="C41" s="489"/>
      <c r="D41" s="489"/>
    </row>
    <row r="42" spans="1:4">
      <c r="C42" s="489"/>
      <c r="D42" s="489"/>
    </row>
    <row r="43" spans="1:4">
      <c r="C43" s="489"/>
      <c r="D43" s="489"/>
    </row>
    <row r="44" spans="1:4">
      <c r="D44" s="489"/>
    </row>
    <row r="45" spans="1:4">
      <c r="D45" s="489"/>
    </row>
    <row r="46" spans="1:4">
      <c r="D46" s="489"/>
    </row>
    <row r="47" spans="1:4">
      <c r="D47" s="489"/>
    </row>
    <row r="48" spans="1:4">
      <c r="D48" s="489"/>
    </row>
    <row r="49" spans="4:4">
      <c r="D49" s="489"/>
    </row>
    <row r="50" spans="4:4">
      <c r="D50" s="489"/>
    </row>
    <row r="51" spans="4:4">
      <c r="D51" s="489"/>
    </row>
    <row r="52" spans="4:4">
      <c r="D52" s="489"/>
    </row>
    <row r="53" spans="4:4">
      <c r="D53" s="489"/>
    </row>
    <row r="54" spans="4:4">
      <c r="D54" s="489"/>
    </row>
    <row r="55" spans="4:4">
      <c r="D55" s="489"/>
    </row>
    <row r="56" spans="4:4">
      <c r="D56" s="489"/>
    </row>
    <row r="57" spans="4:4">
      <c r="D57" s="489"/>
    </row>
    <row r="58" spans="4:4">
      <c r="D58" s="489"/>
    </row>
    <row r="59" spans="4:4">
      <c r="D59" s="489"/>
    </row>
    <row r="60" spans="4:4">
      <c r="D60" s="489"/>
    </row>
    <row r="61" spans="4:4">
      <c r="D61" s="489"/>
    </row>
    <row r="62" spans="4:4">
      <c r="D62" s="489"/>
    </row>
    <row r="63" spans="4:4">
      <c r="D63" s="489"/>
    </row>
    <row r="64" spans="4:4">
      <c r="D64" s="489"/>
    </row>
    <row r="65" spans="4:4">
      <c r="D65" s="489"/>
    </row>
    <row r="66" spans="4:4">
      <c r="D66" s="489"/>
    </row>
    <row r="67" spans="4:4">
      <c r="D67" s="489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9">
    <tabColor theme="0" tint="-0.34998626667073579"/>
  </sheetPr>
  <dimension ref="B1:H108"/>
  <sheetViews>
    <sheetView showGridLines="0" zoomScale="130" zoomScaleNormal="130" workbookViewId="0">
      <selection activeCell="C7" sqref="C7"/>
    </sheetView>
  </sheetViews>
  <sheetFormatPr defaultRowHeight="12.75"/>
  <cols>
    <col min="1" max="1" width="9.140625" style="179"/>
    <col min="2" max="2" width="36" style="179" bestFit="1" customWidth="1"/>
    <col min="3" max="4" width="13.5703125" style="179" customWidth="1"/>
    <col min="5" max="5" width="49.140625" style="179" bestFit="1" customWidth="1"/>
    <col min="6" max="6" width="13.5703125" style="179" customWidth="1"/>
    <col min="7" max="7" width="11.28515625" style="179" customWidth="1"/>
    <col min="8" max="8" width="36.5703125" style="179" bestFit="1" customWidth="1"/>
    <col min="9" max="9" width="14" style="179" customWidth="1"/>
    <col min="10" max="234" width="9.140625" style="179"/>
    <col min="235" max="235" width="35.28515625" style="179" customWidth="1"/>
    <col min="236" max="239" width="13.5703125" style="179" customWidth="1"/>
    <col min="240" max="240" width="11.28515625" style="179" customWidth="1"/>
    <col min="241" max="241" width="36.5703125" style="179" bestFit="1" customWidth="1"/>
    <col min="242" max="245" width="14" style="179" customWidth="1"/>
    <col min="246" max="490" width="9.140625" style="179"/>
    <col min="491" max="491" width="35.28515625" style="179" customWidth="1"/>
    <col min="492" max="495" width="13.5703125" style="179" customWidth="1"/>
    <col min="496" max="496" width="11.28515625" style="179" customWidth="1"/>
    <col min="497" max="497" width="36.5703125" style="179" bestFit="1" customWidth="1"/>
    <col min="498" max="501" width="14" style="179" customWidth="1"/>
    <col min="502" max="746" width="9.140625" style="179"/>
    <col min="747" max="747" width="35.28515625" style="179" customWidth="1"/>
    <col min="748" max="751" width="13.5703125" style="179" customWidth="1"/>
    <col min="752" max="752" width="11.28515625" style="179" customWidth="1"/>
    <col min="753" max="753" width="36.5703125" style="179" bestFit="1" customWidth="1"/>
    <col min="754" max="757" width="14" style="179" customWidth="1"/>
    <col min="758" max="1002" width="9.140625" style="179"/>
    <col min="1003" max="1003" width="35.28515625" style="179" customWidth="1"/>
    <col min="1004" max="1007" width="13.5703125" style="179" customWidth="1"/>
    <col min="1008" max="1008" width="11.28515625" style="179" customWidth="1"/>
    <col min="1009" max="1009" width="36.5703125" style="179" bestFit="1" customWidth="1"/>
    <col min="1010" max="1013" width="14" style="179" customWidth="1"/>
    <col min="1014" max="1258" width="9.140625" style="179"/>
    <col min="1259" max="1259" width="35.28515625" style="179" customWidth="1"/>
    <col min="1260" max="1263" width="13.5703125" style="179" customWidth="1"/>
    <col min="1264" max="1264" width="11.28515625" style="179" customWidth="1"/>
    <col min="1265" max="1265" width="36.5703125" style="179" bestFit="1" customWidth="1"/>
    <col min="1266" max="1269" width="14" style="179" customWidth="1"/>
    <col min="1270" max="1514" width="9.140625" style="179"/>
    <col min="1515" max="1515" width="35.28515625" style="179" customWidth="1"/>
    <col min="1516" max="1519" width="13.5703125" style="179" customWidth="1"/>
    <col min="1520" max="1520" width="11.28515625" style="179" customWidth="1"/>
    <col min="1521" max="1521" width="36.5703125" style="179" bestFit="1" customWidth="1"/>
    <col min="1522" max="1525" width="14" style="179" customWidth="1"/>
    <col min="1526" max="1770" width="9.140625" style="179"/>
    <col min="1771" max="1771" width="35.28515625" style="179" customWidth="1"/>
    <col min="1772" max="1775" width="13.5703125" style="179" customWidth="1"/>
    <col min="1776" max="1776" width="11.28515625" style="179" customWidth="1"/>
    <col min="1777" max="1777" width="36.5703125" style="179" bestFit="1" customWidth="1"/>
    <col min="1778" max="1781" width="14" style="179" customWidth="1"/>
    <col min="1782" max="2026" width="9.140625" style="179"/>
    <col min="2027" max="2027" width="35.28515625" style="179" customWidth="1"/>
    <col min="2028" max="2031" width="13.5703125" style="179" customWidth="1"/>
    <col min="2032" max="2032" width="11.28515625" style="179" customWidth="1"/>
    <col min="2033" max="2033" width="36.5703125" style="179" bestFit="1" customWidth="1"/>
    <col min="2034" max="2037" width="14" style="179" customWidth="1"/>
    <col min="2038" max="2282" width="9.140625" style="179"/>
    <col min="2283" max="2283" width="35.28515625" style="179" customWidth="1"/>
    <col min="2284" max="2287" width="13.5703125" style="179" customWidth="1"/>
    <col min="2288" max="2288" width="11.28515625" style="179" customWidth="1"/>
    <col min="2289" max="2289" width="36.5703125" style="179" bestFit="1" customWidth="1"/>
    <col min="2290" max="2293" width="14" style="179" customWidth="1"/>
    <col min="2294" max="2538" width="9.140625" style="179"/>
    <col min="2539" max="2539" width="35.28515625" style="179" customWidth="1"/>
    <col min="2540" max="2543" width="13.5703125" style="179" customWidth="1"/>
    <col min="2544" max="2544" width="11.28515625" style="179" customWidth="1"/>
    <col min="2545" max="2545" width="36.5703125" style="179" bestFit="1" customWidth="1"/>
    <col min="2546" max="2549" width="14" style="179" customWidth="1"/>
    <col min="2550" max="2794" width="9.140625" style="179"/>
    <col min="2795" max="2795" width="35.28515625" style="179" customWidth="1"/>
    <col min="2796" max="2799" width="13.5703125" style="179" customWidth="1"/>
    <col min="2800" max="2800" width="11.28515625" style="179" customWidth="1"/>
    <col min="2801" max="2801" width="36.5703125" style="179" bestFit="1" customWidth="1"/>
    <col min="2802" max="2805" width="14" style="179" customWidth="1"/>
    <col min="2806" max="3050" width="9.140625" style="179"/>
    <col min="3051" max="3051" width="35.28515625" style="179" customWidth="1"/>
    <col min="3052" max="3055" width="13.5703125" style="179" customWidth="1"/>
    <col min="3056" max="3056" width="11.28515625" style="179" customWidth="1"/>
    <col min="3057" max="3057" width="36.5703125" style="179" bestFit="1" customWidth="1"/>
    <col min="3058" max="3061" width="14" style="179" customWidth="1"/>
    <col min="3062" max="3306" width="9.140625" style="179"/>
    <col min="3307" max="3307" width="35.28515625" style="179" customWidth="1"/>
    <col min="3308" max="3311" width="13.5703125" style="179" customWidth="1"/>
    <col min="3312" max="3312" width="11.28515625" style="179" customWidth="1"/>
    <col min="3313" max="3313" width="36.5703125" style="179" bestFit="1" customWidth="1"/>
    <col min="3314" max="3317" width="14" style="179" customWidth="1"/>
    <col min="3318" max="3562" width="9.140625" style="179"/>
    <col min="3563" max="3563" width="35.28515625" style="179" customWidth="1"/>
    <col min="3564" max="3567" width="13.5703125" style="179" customWidth="1"/>
    <col min="3568" max="3568" width="11.28515625" style="179" customWidth="1"/>
    <col min="3569" max="3569" width="36.5703125" style="179" bestFit="1" customWidth="1"/>
    <col min="3570" max="3573" width="14" style="179" customWidth="1"/>
    <col min="3574" max="3818" width="9.140625" style="179"/>
    <col min="3819" max="3819" width="35.28515625" style="179" customWidth="1"/>
    <col min="3820" max="3823" width="13.5703125" style="179" customWidth="1"/>
    <col min="3824" max="3824" width="11.28515625" style="179" customWidth="1"/>
    <col min="3825" max="3825" width="36.5703125" style="179" bestFit="1" customWidth="1"/>
    <col min="3826" max="3829" width="14" style="179" customWidth="1"/>
    <col min="3830" max="4074" width="9.140625" style="179"/>
    <col min="4075" max="4075" width="35.28515625" style="179" customWidth="1"/>
    <col min="4076" max="4079" width="13.5703125" style="179" customWidth="1"/>
    <col min="4080" max="4080" width="11.28515625" style="179" customWidth="1"/>
    <col min="4081" max="4081" width="36.5703125" style="179" bestFit="1" customWidth="1"/>
    <col min="4082" max="4085" width="14" style="179" customWidth="1"/>
    <col min="4086" max="4330" width="9.140625" style="179"/>
    <col min="4331" max="4331" width="35.28515625" style="179" customWidth="1"/>
    <col min="4332" max="4335" width="13.5703125" style="179" customWidth="1"/>
    <col min="4336" max="4336" width="11.28515625" style="179" customWidth="1"/>
    <col min="4337" max="4337" width="36.5703125" style="179" bestFit="1" customWidth="1"/>
    <col min="4338" max="4341" width="14" style="179" customWidth="1"/>
    <col min="4342" max="4586" width="9.140625" style="179"/>
    <col min="4587" max="4587" width="35.28515625" style="179" customWidth="1"/>
    <col min="4588" max="4591" width="13.5703125" style="179" customWidth="1"/>
    <col min="4592" max="4592" width="11.28515625" style="179" customWidth="1"/>
    <col min="4593" max="4593" width="36.5703125" style="179" bestFit="1" customWidth="1"/>
    <col min="4594" max="4597" width="14" style="179" customWidth="1"/>
    <col min="4598" max="4842" width="9.140625" style="179"/>
    <col min="4843" max="4843" width="35.28515625" style="179" customWidth="1"/>
    <col min="4844" max="4847" width="13.5703125" style="179" customWidth="1"/>
    <col min="4848" max="4848" width="11.28515625" style="179" customWidth="1"/>
    <col min="4849" max="4849" width="36.5703125" style="179" bestFit="1" customWidth="1"/>
    <col min="4850" max="4853" width="14" style="179" customWidth="1"/>
    <col min="4854" max="5098" width="9.140625" style="179"/>
    <col min="5099" max="5099" width="35.28515625" style="179" customWidth="1"/>
    <col min="5100" max="5103" width="13.5703125" style="179" customWidth="1"/>
    <col min="5104" max="5104" width="11.28515625" style="179" customWidth="1"/>
    <col min="5105" max="5105" width="36.5703125" style="179" bestFit="1" customWidth="1"/>
    <col min="5106" max="5109" width="14" style="179" customWidth="1"/>
    <col min="5110" max="5354" width="9.140625" style="179"/>
    <col min="5355" max="5355" width="35.28515625" style="179" customWidth="1"/>
    <col min="5356" max="5359" width="13.5703125" style="179" customWidth="1"/>
    <col min="5360" max="5360" width="11.28515625" style="179" customWidth="1"/>
    <col min="5361" max="5361" width="36.5703125" style="179" bestFit="1" customWidth="1"/>
    <col min="5362" max="5365" width="14" style="179" customWidth="1"/>
    <col min="5366" max="5610" width="9.140625" style="179"/>
    <col min="5611" max="5611" width="35.28515625" style="179" customWidth="1"/>
    <col min="5612" max="5615" width="13.5703125" style="179" customWidth="1"/>
    <col min="5616" max="5616" width="11.28515625" style="179" customWidth="1"/>
    <col min="5617" max="5617" width="36.5703125" style="179" bestFit="1" customWidth="1"/>
    <col min="5618" max="5621" width="14" style="179" customWidth="1"/>
    <col min="5622" max="5866" width="9.140625" style="179"/>
    <col min="5867" max="5867" width="35.28515625" style="179" customWidth="1"/>
    <col min="5868" max="5871" width="13.5703125" style="179" customWidth="1"/>
    <col min="5872" max="5872" width="11.28515625" style="179" customWidth="1"/>
    <col min="5873" max="5873" width="36.5703125" style="179" bestFit="1" customWidth="1"/>
    <col min="5874" max="5877" width="14" style="179" customWidth="1"/>
    <col min="5878" max="6122" width="9.140625" style="179"/>
    <col min="6123" max="6123" width="35.28515625" style="179" customWidth="1"/>
    <col min="6124" max="6127" width="13.5703125" style="179" customWidth="1"/>
    <col min="6128" max="6128" width="11.28515625" style="179" customWidth="1"/>
    <col min="6129" max="6129" width="36.5703125" style="179" bestFit="1" customWidth="1"/>
    <col min="6130" max="6133" width="14" style="179" customWidth="1"/>
    <col min="6134" max="6378" width="9.140625" style="179"/>
    <col min="6379" max="6379" width="35.28515625" style="179" customWidth="1"/>
    <col min="6380" max="6383" width="13.5703125" style="179" customWidth="1"/>
    <col min="6384" max="6384" width="11.28515625" style="179" customWidth="1"/>
    <col min="6385" max="6385" width="36.5703125" style="179" bestFit="1" customWidth="1"/>
    <col min="6386" max="6389" width="14" style="179" customWidth="1"/>
    <col min="6390" max="6634" width="9.140625" style="179"/>
    <col min="6635" max="6635" width="35.28515625" style="179" customWidth="1"/>
    <col min="6636" max="6639" width="13.5703125" style="179" customWidth="1"/>
    <col min="6640" max="6640" width="11.28515625" style="179" customWidth="1"/>
    <col min="6641" max="6641" width="36.5703125" style="179" bestFit="1" customWidth="1"/>
    <col min="6642" max="6645" width="14" style="179" customWidth="1"/>
    <col min="6646" max="6890" width="9.140625" style="179"/>
    <col min="6891" max="6891" width="35.28515625" style="179" customWidth="1"/>
    <col min="6892" max="6895" width="13.5703125" style="179" customWidth="1"/>
    <col min="6896" max="6896" width="11.28515625" style="179" customWidth="1"/>
    <col min="6897" max="6897" width="36.5703125" style="179" bestFit="1" customWidth="1"/>
    <col min="6898" max="6901" width="14" style="179" customWidth="1"/>
    <col min="6902" max="7146" width="9.140625" style="179"/>
    <col min="7147" max="7147" width="35.28515625" style="179" customWidth="1"/>
    <col min="7148" max="7151" width="13.5703125" style="179" customWidth="1"/>
    <col min="7152" max="7152" width="11.28515625" style="179" customWidth="1"/>
    <col min="7153" max="7153" width="36.5703125" style="179" bestFit="1" customWidth="1"/>
    <col min="7154" max="7157" width="14" style="179" customWidth="1"/>
    <col min="7158" max="7402" width="9.140625" style="179"/>
    <col min="7403" max="7403" width="35.28515625" style="179" customWidth="1"/>
    <col min="7404" max="7407" width="13.5703125" style="179" customWidth="1"/>
    <col min="7408" max="7408" width="11.28515625" style="179" customWidth="1"/>
    <col min="7409" max="7409" width="36.5703125" style="179" bestFit="1" customWidth="1"/>
    <col min="7410" max="7413" width="14" style="179" customWidth="1"/>
    <col min="7414" max="7658" width="9.140625" style="179"/>
    <col min="7659" max="7659" width="35.28515625" style="179" customWidth="1"/>
    <col min="7660" max="7663" width="13.5703125" style="179" customWidth="1"/>
    <col min="7664" max="7664" width="11.28515625" style="179" customWidth="1"/>
    <col min="7665" max="7665" width="36.5703125" style="179" bestFit="1" customWidth="1"/>
    <col min="7666" max="7669" width="14" style="179" customWidth="1"/>
    <col min="7670" max="7914" width="9.140625" style="179"/>
    <col min="7915" max="7915" width="35.28515625" style="179" customWidth="1"/>
    <col min="7916" max="7919" width="13.5703125" style="179" customWidth="1"/>
    <col min="7920" max="7920" width="11.28515625" style="179" customWidth="1"/>
    <col min="7921" max="7921" width="36.5703125" style="179" bestFit="1" customWidth="1"/>
    <col min="7922" max="7925" width="14" style="179" customWidth="1"/>
    <col min="7926" max="8170" width="9.140625" style="179"/>
    <col min="8171" max="8171" width="35.28515625" style="179" customWidth="1"/>
    <col min="8172" max="8175" width="13.5703125" style="179" customWidth="1"/>
    <col min="8176" max="8176" width="11.28515625" style="179" customWidth="1"/>
    <col min="8177" max="8177" width="36.5703125" style="179" bestFit="1" customWidth="1"/>
    <col min="8178" max="8181" width="14" style="179" customWidth="1"/>
    <col min="8182" max="8426" width="9.140625" style="179"/>
    <col min="8427" max="8427" width="35.28515625" style="179" customWidth="1"/>
    <col min="8428" max="8431" width="13.5703125" style="179" customWidth="1"/>
    <col min="8432" max="8432" width="11.28515625" style="179" customWidth="1"/>
    <col min="8433" max="8433" width="36.5703125" style="179" bestFit="1" customWidth="1"/>
    <col min="8434" max="8437" width="14" style="179" customWidth="1"/>
    <col min="8438" max="8682" width="9.140625" style="179"/>
    <col min="8683" max="8683" width="35.28515625" style="179" customWidth="1"/>
    <col min="8684" max="8687" width="13.5703125" style="179" customWidth="1"/>
    <col min="8688" max="8688" width="11.28515625" style="179" customWidth="1"/>
    <col min="8689" max="8689" width="36.5703125" style="179" bestFit="1" customWidth="1"/>
    <col min="8690" max="8693" width="14" style="179" customWidth="1"/>
    <col min="8694" max="8938" width="9.140625" style="179"/>
    <col min="8939" max="8939" width="35.28515625" style="179" customWidth="1"/>
    <col min="8940" max="8943" width="13.5703125" style="179" customWidth="1"/>
    <col min="8944" max="8944" width="11.28515625" style="179" customWidth="1"/>
    <col min="8945" max="8945" width="36.5703125" style="179" bestFit="1" customWidth="1"/>
    <col min="8946" max="8949" width="14" style="179" customWidth="1"/>
    <col min="8950" max="9194" width="9.140625" style="179"/>
    <col min="9195" max="9195" width="35.28515625" style="179" customWidth="1"/>
    <col min="9196" max="9199" width="13.5703125" style="179" customWidth="1"/>
    <col min="9200" max="9200" width="11.28515625" style="179" customWidth="1"/>
    <col min="9201" max="9201" width="36.5703125" style="179" bestFit="1" customWidth="1"/>
    <col min="9202" max="9205" width="14" style="179" customWidth="1"/>
    <col min="9206" max="9450" width="9.140625" style="179"/>
    <col min="9451" max="9451" width="35.28515625" style="179" customWidth="1"/>
    <col min="9452" max="9455" width="13.5703125" style="179" customWidth="1"/>
    <col min="9456" max="9456" width="11.28515625" style="179" customWidth="1"/>
    <col min="9457" max="9457" width="36.5703125" style="179" bestFit="1" customWidth="1"/>
    <col min="9458" max="9461" width="14" style="179" customWidth="1"/>
    <col min="9462" max="9706" width="9.140625" style="179"/>
    <col min="9707" max="9707" width="35.28515625" style="179" customWidth="1"/>
    <col min="9708" max="9711" width="13.5703125" style="179" customWidth="1"/>
    <col min="9712" max="9712" width="11.28515625" style="179" customWidth="1"/>
    <col min="9713" max="9713" width="36.5703125" style="179" bestFit="1" customWidth="1"/>
    <col min="9714" max="9717" width="14" style="179" customWidth="1"/>
    <col min="9718" max="9962" width="9.140625" style="179"/>
    <col min="9963" max="9963" width="35.28515625" style="179" customWidth="1"/>
    <col min="9964" max="9967" width="13.5703125" style="179" customWidth="1"/>
    <col min="9968" max="9968" width="11.28515625" style="179" customWidth="1"/>
    <col min="9969" max="9969" width="36.5703125" style="179" bestFit="1" customWidth="1"/>
    <col min="9970" max="9973" width="14" style="179" customWidth="1"/>
    <col min="9974" max="10218" width="9.140625" style="179"/>
    <col min="10219" max="10219" width="35.28515625" style="179" customWidth="1"/>
    <col min="10220" max="10223" width="13.5703125" style="179" customWidth="1"/>
    <col min="10224" max="10224" width="11.28515625" style="179" customWidth="1"/>
    <col min="10225" max="10225" width="36.5703125" style="179" bestFit="1" customWidth="1"/>
    <col min="10226" max="10229" width="14" style="179" customWidth="1"/>
    <col min="10230" max="10474" width="9.140625" style="179"/>
    <col min="10475" max="10475" width="35.28515625" style="179" customWidth="1"/>
    <col min="10476" max="10479" width="13.5703125" style="179" customWidth="1"/>
    <col min="10480" max="10480" width="11.28515625" style="179" customWidth="1"/>
    <col min="10481" max="10481" width="36.5703125" style="179" bestFit="1" customWidth="1"/>
    <col min="10482" max="10485" width="14" style="179" customWidth="1"/>
    <col min="10486" max="10730" width="9.140625" style="179"/>
    <col min="10731" max="10731" width="35.28515625" style="179" customWidth="1"/>
    <col min="10732" max="10735" width="13.5703125" style="179" customWidth="1"/>
    <col min="10736" max="10736" width="11.28515625" style="179" customWidth="1"/>
    <col min="10737" max="10737" width="36.5703125" style="179" bestFit="1" customWidth="1"/>
    <col min="10738" max="10741" width="14" style="179" customWidth="1"/>
    <col min="10742" max="10986" width="9.140625" style="179"/>
    <col min="10987" max="10987" width="35.28515625" style="179" customWidth="1"/>
    <col min="10988" max="10991" width="13.5703125" style="179" customWidth="1"/>
    <col min="10992" max="10992" width="11.28515625" style="179" customWidth="1"/>
    <col min="10993" max="10993" width="36.5703125" style="179" bestFit="1" customWidth="1"/>
    <col min="10994" max="10997" width="14" style="179" customWidth="1"/>
    <col min="10998" max="11242" width="9.140625" style="179"/>
    <col min="11243" max="11243" width="35.28515625" style="179" customWidth="1"/>
    <col min="11244" max="11247" width="13.5703125" style="179" customWidth="1"/>
    <col min="11248" max="11248" width="11.28515625" style="179" customWidth="1"/>
    <col min="11249" max="11249" width="36.5703125" style="179" bestFit="1" customWidth="1"/>
    <col min="11250" max="11253" width="14" style="179" customWidth="1"/>
    <col min="11254" max="11498" width="9.140625" style="179"/>
    <col min="11499" max="11499" width="35.28515625" style="179" customWidth="1"/>
    <col min="11500" max="11503" width="13.5703125" style="179" customWidth="1"/>
    <col min="11504" max="11504" width="11.28515625" style="179" customWidth="1"/>
    <col min="11505" max="11505" width="36.5703125" style="179" bestFit="1" customWidth="1"/>
    <col min="11506" max="11509" width="14" style="179" customWidth="1"/>
    <col min="11510" max="11754" width="9.140625" style="179"/>
    <col min="11755" max="11755" width="35.28515625" style="179" customWidth="1"/>
    <col min="11756" max="11759" width="13.5703125" style="179" customWidth="1"/>
    <col min="11760" max="11760" width="11.28515625" style="179" customWidth="1"/>
    <col min="11761" max="11761" width="36.5703125" style="179" bestFit="1" customWidth="1"/>
    <col min="11762" max="11765" width="14" style="179" customWidth="1"/>
    <col min="11766" max="12010" width="9.140625" style="179"/>
    <col min="12011" max="12011" width="35.28515625" style="179" customWidth="1"/>
    <col min="12012" max="12015" width="13.5703125" style="179" customWidth="1"/>
    <col min="12016" max="12016" width="11.28515625" style="179" customWidth="1"/>
    <col min="12017" max="12017" width="36.5703125" style="179" bestFit="1" customWidth="1"/>
    <col min="12018" max="12021" width="14" style="179" customWidth="1"/>
    <col min="12022" max="12266" width="9.140625" style="179"/>
    <col min="12267" max="12267" width="35.28515625" style="179" customWidth="1"/>
    <col min="12268" max="12271" width="13.5703125" style="179" customWidth="1"/>
    <col min="12272" max="12272" width="11.28515625" style="179" customWidth="1"/>
    <col min="12273" max="12273" width="36.5703125" style="179" bestFit="1" customWidth="1"/>
    <col min="12274" max="12277" width="14" style="179" customWidth="1"/>
    <col min="12278" max="12522" width="9.140625" style="179"/>
    <col min="12523" max="12523" width="35.28515625" style="179" customWidth="1"/>
    <col min="12524" max="12527" width="13.5703125" style="179" customWidth="1"/>
    <col min="12528" max="12528" width="11.28515625" style="179" customWidth="1"/>
    <col min="12529" max="12529" width="36.5703125" style="179" bestFit="1" customWidth="1"/>
    <col min="12530" max="12533" width="14" style="179" customWidth="1"/>
    <col min="12534" max="12778" width="9.140625" style="179"/>
    <col min="12779" max="12779" width="35.28515625" style="179" customWidth="1"/>
    <col min="12780" max="12783" width="13.5703125" style="179" customWidth="1"/>
    <col min="12784" max="12784" width="11.28515625" style="179" customWidth="1"/>
    <col min="12785" max="12785" width="36.5703125" style="179" bestFit="1" customWidth="1"/>
    <col min="12786" max="12789" width="14" style="179" customWidth="1"/>
    <col min="12790" max="13034" width="9.140625" style="179"/>
    <col min="13035" max="13035" width="35.28515625" style="179" customWidth="1"/>
    <col min="13036" max="13039" width="13.5703125" style="179" customWidth="1"/>
    <col min="13040" max="13040" width="11.28515625" style="179" customWidth="1"/>
    <col min="13041" max="13041" width="36.5703125" style="179" bestFit="1" customWidth="1"/>
    <col min="13042" max="13045" width="14" style="179" customWidth="1"/>
    <col min="13046" max="13290" width="9.140625" style="179"/>
    <col min="13291" max="13291" width="35.28515625" style="179" customWidth="1"/>
    <col min="13292" max="13295" width="13.5703125" style="179" customWidth="1"/>
    <col min="13296" max="13296" width="11.28515625" style="179" customWidth="1"/>
    <col min="13297" max="13297" width="36.5703125" style="179" bestFit="1" customWidth="1"/>
    <col min="13298" max="13301" width="14" style="179" customWidth="1"/>
    <col min="13302" max="13546" width="9.140625" style="179"/>
    <col min="13547" max="13547" width="35.28515625" style="179" customWidth="1"/>
    <col min="13548" max="13551" width="13.5703125" style="179" customWidth="1"/>
    <col min="13552" max="13552" width="11.28515625" style="179" customWidth="1"/>
    <col min="13553" max="13553" width="36.5703125" style="179" bestFit="1" customWidth="1"/>
    <col min="13554" max="13557" width="14" style="179" customWidth="1"/>
    <col min="13558" max="13802" width="9.140625" style="179"/>
    <col min="13803" max="13803" width="35.28515625" style="179" customWidth="1"/>
    <col min="13804" max="13807" width="13.5703125" style="179" customWidth="1"/>
    <col min="13808" max="13808" width="11.28515625" style="179" customWidth="1"/>
    <col min="13809" max="13809" width="36.5703125" style="179" bestFit="1" customWidth="1"/>
    <col min="13810" max="13813" width="14" style="179" customWidth="1"/>
    <col min="13814" max="14058" width="9.140625" style="179"/>
    <col min="14059" max="14059" width="35.28515625" style="179" customWidth="1"/>
    <col min="14060" max="14063" width="13.5703125" style="179" customWidth="1"/>
    <col min="14064" max="14064" width="11.28515625" style="179" customWidth="1"/>
    <col min="14065" max="14065" width="36.5703125" style="179" bestFit="1" customWidth="1"/>
    <col min="14066" max="14069" width="14" style="179" customWidth="1"/>
    <col min="14070" max="14314" width="9.140625" style="179"/>
    <col min="14315" max="14315" width="35.28515625" style="179" customWidth="1"/>
    <col min="14316" max="14319" width="13.5703125" style="179" customWidth="1"/>
    <col min="14320" max="14320" width="11.28515625" style="179" customWidth="1"/>
    <col min="14321" max="14321" width="36.5703125" style="179" bestFit="1" customWidth="1"/>
    <col min="14322" max="14325" width="14" style="179" customWidth="1"/>
    <col min="14326" max="14570" width="9.140625" style="179"/>
    <col min="14571" max="14571" width="35.28515625" style="179" customWidth="1"/>
    <col min="14572" max="14575" width="13.5703125" style="179" customWidth="1"/>
    <col min="14576" max="14576" width="11.28515625" style="179" customWidth="1"/>
    <col min="14577" max="14577" width="36.5703125" style="179" bestFit="1" customWidth="1"/>
    <col min="14578" max="14581" width="14" style="179" customWidth="1"/>
    <col min="14582" max="14826" width="9.140625" style="179"/>
    <col min="14827" max="14827" width="35.28515625" style="179" customWidth="1"/>
    <col min="14828" max="14831" width="13.5703125" style="179" customWidth="1"/>
    <col min="14832" max="14832" width="11.28515625" style="179" customWidth="1"/>
    <col min="14833" max="14833" width="36.5703125" style="179" bestFit="1" customWidth="1"/>
    <col min="14834" max="14837" width="14" style="179" customWidth="1"/>
    <col min="14838" max="15082" width="9.140625" style="179"/>
    <col min="15083" max="15083" width="35.28515625" style="179" customWidth="1"/>
    <col min="15084" max="15087" width="13.5703125" style="179" customWidth="1"/>
    <col min="15088" max="15088" width="11.28515625" style="179" customWidth="1"/>
    <col min="15089" max="15089" width="36.5703125" style="179" bestFit="1" customWidth="1"/>
    <col min="15090" max="15093" width="14" style="179" customWidth="1"/>
    <col min="15094" max="15338" width="9.140625" style="179"/>
    <col min="15339" max="15339" width="35.28515625" style="179" customWidth="1"/>
    <col min="15340" max="15343" width="13.5703125" style="179" customWidth="1"/>
    <col min="15344" max="15344" width="11.28515625" style="179" customWidth="1"/>
    <col min="15345" max="15345" width="36.5703125" style="179" bestFit="1" customWidth="1"/>
    <col min="15346" max="15349" width="14" style="179" customWidth="1"/>
    <col min="15350" max="15594" width="9.140625" style="179"/>
    <col min="15595" max="15595" width="35.28515625" style="179" customWidth="1"/>
    <col min="15596" max="15599" width="13.5703125" style="179" customWidth="1"/>
    <col min="15600" max="15600" width="11.28515625" style="179" customWidth="1"/>
    <col min="15601" max="15601" width="36.5703125" style="179" bestFit="1" customWidth="1"/>
    <col min="15602" max="15605" width="14" style="179" customWidth="1"/>
    <col min="15606" max="15850" width="9.140625" style="179"/>
    <col min="15851" max="15851" width="35.28515625" style="179" customWidth="1"/>
    <col min="15852" max="15855" width="13.5703125" style="179" customWidth="1"/>
    <col min="15856" max="15856" width="11.28515625" style="179" customWidth="1"/>
    <col min="15857" max="15857" width="36.5703125" style="179" bestFit="1" customWidth="1"/>
    <col min="15858" max="15861" width="14" style="179" customWidth="1"/>
    <col min="15862" max="16106" width="9.140625" style="179"/>
    <col min="16107" max="16107" width="35.28515625" style="179" customWidth="1"/>
    <col min="16108" max="16111" width="13.5703125" style="179" customWidth="1"/>
    <col min="16112" max="16112" width="11.28515625" style="179" customWidth="1"/>
    <col min="16113" max="16113" width="36.5703125" style="179" bestFit="1" customWidth="1"/>
    <col min="16114" max="16117" width="14" style="179" customWidth="1"/>
    <col min="16118" max="16384" width="9.140625" style="179"/>
  </cols>
  <sheetData>
    <row r="1" spans="2:6">
      <c r="B1" s="179" t="s">
        <v>363</v>
      </c>
    </row>
    <row r="2" spans="2:6">
      <c r="B2" s="614" t="s">
        <v>364</v>
      </c>
      <c r="C2" s="614" t="s">
        <v>365</v>
      </c>
      <c r="D2" s="614" t="s">
        <v>365</v>
      </c>
      <c r="E2" s="614" t="s">
        <v>366</v>
      </c>
      <c r="F2" s="614" t="s">
        <v>366</v>
      </c>
    </row>
    <row r="3" spans="2:6">
      <c r="B3" s="614" t="s">
        <v>367</v>
      </c>
      <c r="C3" s="614" t="s">
        <v>368</v>
      </c>
      <c r="D3" s="614" t="s">
        <v>369</v>
      </c>
      <c r="E3" s="614" t="s">
        <v>368</v>
      </c>
      <c r="F3" s="614" t="s">
        <v>369</v>
      </c>
    </row>
    <row r="4" spans="2:6">
      <c r="B4" s="615" t="s">
        <v>370</v>
      </c>
      <c r="C4" s="616">
        <f>SUMIFS($F$39:$F$87,$B$39:$B$87,$B4,$D$39:$D$87,C$3,$C$39:$C$87,C$2)</f>
        <v>119111.49</v>
      </c>
      <c r="D4" s="616">
        <f t="shared" ref="D4:F10" si="0">SUMIFS($F$39:$F$87,$B$39:$B$87,$B4,$D$39:$D$87,D$3,$C$39:$C$87,D$2)</f>
        <v>168.95000000000002</v>
      </c>
      <c r="E4" s="616">
        <f t="shared" si="0"/>
        <v>0</v>
      </c>
      <c r="F4" s="616">
        <f t="shared" si="0"/>
        <v>0</v>
      </c>
    </row>
    <row r="5" spans="2:6">
      <c r="B5" s="615" t="s">
        <v>371</v>
      </c>
      <c r="C5" s="616">
        <f t="shared" ref="C5:C10" si="1">SUMIFS($F$39:$F$87,$B$39:$B$87,$B5,$D$39:$D$87,C$3,$C$39:$C$87,C$2)</f>
        <v>45855.740000000005</v>
      </c>
      <c r="D5" s="616">
        <f t="shared" si="0"/>
        <v>30229.32</v>
      </c>
      <c r="E5" s="616">
        <f t="shared" si="0"/>
        <v>113602.35</v>
      </c>
      <c r="F5" s="616">
        <f t="shared" si="0"/>
        <v>7283.19</v>
      </c>
    </row>
    <row r="6" spans="2:6">
      <c r="B6" s="615" t="s">
        <v>372</v>
      </c>
      <c r="C6" s="616">
        <f t="shared" si="1"/>
        <v>6697</v>
      </c>
      <c r="D6" s="616">
        <f t="shared" si="0"/>
        <v>1329.7</v>
      </c>
      <c r="E6" s="616">
        <f t="shared" si="0"/>
        <v>0</v>
      </c>
      <c r="F6" s="616">
        <f t="shared" si="0"/>
        <v>0</v>
      </c>
    </row>
    <row r="7" spans="2:6">
      <c r="B7" s="615" t="s">
        <v>373</v>
      </c>
      <c r="C7" s="616">
        <f t="shared" si="1"/>
        <v>68039.95</v>
      </c>
      <c r="D7" s="616">
        <f t="shared" si="0"/>
        <v>1330</v>
      </c>
      <c r="E7" s="616">
        <f>SUMIFS($F$39:$F$87,$B$39:$B$87,$B7,$D$39:$D$87,E$3,$C$39:$C$87,E$2)</f>
        <v>3524.55</v>
      </c>
      <c r="F7" s="616">
        <f t="shared" si="0"/>
        <v>0</v>
      </c>
    </row>
    <row r="8" spans="2:6">
      <c r="B8" s="615" t="s">
        <v>374</v>
      </c>
      <c r="C8" s="616">
        <f t="shared" si="1"/>
        <v>0</v>
      </c>
      <c r="D8" s="616">
        <f t="shared" si="0"/>
        <v>1224</v>
      </c>
      <c r="E8" s="616">
        <f t="shared" si="0"/>
        <v>0</v>
      </c>
      <c r="F8" s="616">
        <f t="shared" si="0"/>
        <v>0</v>
      </c>
    </row>
    <row r="9" spans="2:6">
      <c r="B9" s="615" t="s">
        <v>375</v>
      </c>
      <c r="C9" s="616">
        <f t="shared" si="1"/>
        <v>4381.6100000000006</v>
      </c>
      <c r="D9" s="616">
        <f t="shared" si="0"/>
        <v>0</v>
      </c>
      <c r="E9" s="616">
        <f t="shared" si="0"/>
        <v>0</v>
      </c>
      <c r="F9" s="616">
        <f t="shared" si="0"/>
        <v>0</v>
      </c>
    </row>
    <row r="10" spans="2:6">
      <c r="B10" s="615" t="s">
        <v>376</v>
      </c>
      <c r="C10" s="616">
        <f t="shared" si="1"/>
        <v>0</v>
      </c>
      <c r="D10" s="616">
        <f t="shared" si="0"/>
        <v>146</v>
      </c>
      <c r="E10" s="616">
        <f t="shared" si="0"/>
        <v>0</v>
      </c>
      <c r="F10" s="616">
        <f t="shared" si="0"/>
        <v>0</v>
      </c>
    </row>
    <row r="13" spans="2:6">
      <c r="B13" s="617" t="s">
        <v>364</v>
      </c>
      <c r="C13" s="618" t="s">
        <v>365</v>
      </c>
      <c r="D13" s="618" t="s">
        <v>365</v>
      </c>
      <c r="E13" s="618" t="s">
        <v>366</v>
      </c>
      <c r="F13" s="619" t="s">
        <v>366</v>
      </c>
    </row>
    <row r="14" spans="2:6">
      <c r="B14" s="620" t="s">
        <v>367</v>
      </c>
      <c r="C14" s="621" t="s">
        <v>368</v>
      </c>
      <c r="D14" s="621" t="s">
        <v>369</v>
      </c>
      <c r="E14" s="621" t="s">
        <v>368</v>
      </c>
      <c r="F14" s="622" t="s">
        <v>369</v>
      </c>
    </row>
    <row r="15" spans="2:6">
      <c r="B15" s="623" t="s">
        <v>370</v>
      </c>
      <c r="C15" s="616">
        <f>SUMIFS($F$39:$F$87,$B$39:$B$87,$B15,$C$39:$C$87,C$13,$D$39:$D$87,C$14)</f>
        <v>119111.49</v>
      </c>
      <c r="D15" s="616">
        <f t="shared" ref="D15:F21" si="2">SUMIFS($F$39:$F$87,$B$39:$B$87,$B15,$C$39:$C$87,D$13,$D$39:$D$87,D$14)</f>
        <v>168.95000000000002</v>
      </c>
      <c r="E15" s="616">
        <f t="shared" si="2"/>
        <v>0</v>
      </c>
      <c r="F15" s="624">
        <f t="shared" si="2"/>
        <v>0</v>
      </c>
    </row>
    <row r="16" spans="2:6">
      <c r="B16" s="623" t="s">
        <v>371</v>
      </c>
      <c r="C16" s="616">
        <f t="shared" ref="C16:D21" si="3">SUMIFS($F$39:$F$87,$B$39:$B$87,$B16,$C$39:$C$87,C$13,$D$39:$D$87,C$14)</f>
        <v>45855.740000000005</v>
      </c>
      <c r="D16" s="616">
        <f>SUMIFS($F$39:$F$87,$B$39:$B$87,$B16,$C$39:$C$87,D$13,$D$39:$D$87,D$14)</f>
        <v>30229.32</v>
      </c>
      <c r="E16" s="616">
        <f t="shared" si="2"/>
        <v>113602.35</v>
      </c>
      <c r="F16" s="624">
        <f t="shared" si="2"/>
        <v>7283.19</v>
      </c>
    </row>
    <row r="17" spans="2:6">
      <c r="B17" s="623" t="s">
        <v>372</v>
      </c>
      <c r="C17" s="616">
        <f t="shared" si="3"/>
        <v>6697</v>
      </c>
      <c r="D17" s="616">
        <f t="shared" si="2"/>
        <v>1329.7</v>
      </c>
      <c r="E17" s="616">
        <f t="shared" si="2"/>
        <v>0</v>
      </c>
      <c r="F17" s="624">
        <f t="shared" si="2"/>
        <v>0</v>
      </c>
    </row>
    <row r="18" spans="2:6">
      <c r="B18" s="623" t="s">
        <v>373</v>
      </c>
      <c r="C18" s="616">
        <f t="shared" si="3"/>
        <v>68039.95</v>
      </c>
      <c r="D18" s="616">
        <f>SUMIFS($F$39:$F$87,$B$39:$B$87,$B18,$C$39:$C$87,D$13,$D$39:$D$87,D$14)</f>
        <v>1330</v>
      </c>
      <c r="E18" s="616">
        <f t="shared" si="2"/>
        <v>3524.55</v>
      </c>
      <c r="F18" s="624">
        <f t="shared" si="2"/>
        <v>0</v>
      </c>
    </row>
    <row r="19" spans="2:6">
      <c r="B19" s="623" t="s">
        <v>374</v>
      </c>
      <c r="C19" s="616">
        <f t="shared" si="3"/>
        <v>0</v>
      </c>
      <c r="D19" s="616">
        <f t="shared" si="3"/>
        <v>1224</v>
      </c>
      <c r="E19" s="616">
        <f t="shared" si="2"/>
        <v>0</v>
      </c>
      <c r="F19" s="624">
        <f t="shared" si="2"/>
        <v>0</v>
      </c>
    </row>
    <row r="20" spans="2:6">
      <c r="B20" s="623" t="s">
        <v>375</v>
      </c>
      <c r="C20" s="616">
        <f t="shared" si="3"/>
        <v>4381.6100000000006</v>
      </c>
      <c r="D20" s="616">
        <f t="shared" si="3"/>
        <v>0</v>
      </c>
      <c r="E20" s="616">
        <f t="shared" si="2"/>
        <v>0</v>
      </c>
      <c r="F20" s="624">
        <f t="shared" si="2"/>
        <v>0</v>
      </c>
    </row>
    <row r="21" spans="2:6">
      <c r="B21" s="625" t="s">
        <v>376</v>
      </c>
      <c r="C21" s="626">
        <f t="shared" si="3"/>
        <v>0</v>
      </c>
      <c r="D21" s="626">
        <f t="shared" si="3"/>
        <v>146</v>
      </c>
      <c r="E21" s="626">
        <f t="shared" si="2"/>
        <v>0</v>
      </c>
      <c r="F21" s="627">
        <f t="shared" si="2"/>
        <v>0</v>
      </c>
    </row>
    <row r="24" spans="2:6">
      <c r="B24" s="180">
        <v>0</v>
      </c>
      <c r="C24" s="181" t="s">
        <v>365</v>
      </c>
      <c r="D24" s="181" t="s">
        <v>365</v>
      </c>
      <c r="E24" s="181" t="s">
        <v>366</v>
      </c>
      <c r="F24" s="181" t="s">
        <v>366</v>
      </c>
    </row>
    <row r="25" spans="2:6">
      <c r="B25" s="180" t="s">
        <v>367</v>
      </c>
      <c r="C25" s="181" t="s">
        <v>368</v>
      </c>
      <c r="D25" s="181" t="s">
        <v>369</v>
      </c>
      <c r="E25" s="181" t="s">
        <v>368</v>
      </c>
      <c r="F25" s="181" t="s">
        <v>369</v>
      </c>
    </row>
    <row r="26" spans="2:6">
      <c r="B26" s="182" t="s">
        <v>370</v>
      </c>
      <c r="C26" s="558">
        <f>SUMIFS($G$38:$G$87,$B$38:$B$87,$B26,$C$38:$C$87,C$24,$D$38:$D$87,C$25)</f>
        <v>54849.94</v>
      </c>
      <c r="D26" s="558"/>
      <c r="E26" s="558"/>
      <c r="F26" s="558"/>
    </row>
    <row r="27" spans="2:6">
      <c r="B27" s="182" t="s">
        <v>371</v>
      </c>
      <c r="C27" s="558"/>
      <c r="D27" s="558"/>
      <c r="E27" s="558">
        <f>SUMIFS($F$39:$F$87,$B$39:$B$87,$B27,$C$39:$C$87,E$24,D$39:D$87,E$25)</f>
        <v>113602.35</v>
      </c>
      <c r="F27" s="558"/>
    </row>
    <row r="28" spans="2:6">
      <c r="B28" s="182" t="s">
        <v>372</v>
      </c>
      <c r="C28" s="558"/>
      <c r="D28" s="558">
        <f>SUMIFS($F$38:$F$87,$B$38:$B$87,$B28,$C$38:$C$87,D$24,$D$38:$D$87,D$25)</f>
        <v>1329.7</v>
      </c>
      <c r="E28" s="558">
        <f>SUMIFS($F$39:$F$87,$B$39:$B$87,$B28,$C$39:$C$87,E$24,$D$39:$D$87,E$25)</f>
        <v>0</v>
      </c>
      <c r="F28" s="558"/>
    </row>
    <row r="29" spans="2:6">
      <c r="B29" s="182" t="s">
        <v>373</v>
      </c>
      <c r="C29" s="558"/>
      <c r="D29" s="558"/>
      <c r="E29" s="558">
        <f>SUMIFS($F$39:$F$87,$B$39:$B$87,$B29,$C$39:$C$87,E$24,$D$39:$D$87,E$25)</f>
        <v>3524.55</v>
      </c>
      <c r="F29" s="558"/>
    </row>
    <row r="30" spans="2:6">
      <c r="B30" s="182" t="s">
        <v>374</v>
      </c>
      <c r="C30" s="558"/>
      <c r="D30" s="558"/>
      <c r="E30" s="558"/>
      <c r="F30" s="558"/>
    </row>
    <row r="31" spans="2:6">
      <c r="B31" s="182" t="s">
        <v>375</v>
      </c>
      <c r="C31" s="558">
        <f t="shared" ref="C31:E32" si="4">SUMIFS($F$39:$F$87,$B$39:$B$87,$B31,$D$39:$D$87,C$25,$C$39:$C$87,C$24)</f>
        <v>4381.6100000000006</v>
      </c>
      <c r="D31" s="558">
        <f t="shared" si="4"/>
        <v>0</v>
      </c>
      <c r="E31" s="558">
        <f t="shared" si="4"/>
        <v>0</v>
      </c>
      <c r="F31" s="558"/>
    </row>
    <row r="32" spans="2:6">
      <c r="B32" s="182" t="s">
        <v>376</v>
      </c>
      <c r="C32" s="558">
        <f t="shared" si="4"/>
        <v>0</v>
      </c>
      <c r="D32" s="558">
        <f t="shared" si="4"/>
        <v>146</v>
      </c>
      <c r="E32" s="558">
        <f>SUMIFS($F$39:$F$87,$B$39:$B$87,$B32,$D$39:$D$87,E$25,$C$39:$C$87,E$24)</f>
        <v>0</v>
      </c>
      <c r="F32" s="558">
        <f t="shared" ref="F32" si="5">SUMIFS($F$39:$F$87,$B$39:$B$87,$B32,$D$39:$D$87,F$25,$C$39:$C$87,F$24)</f>
        <v>0</v>
      </c>
    </row>
    <row r="38" spans="2:8" ht="25.5">
      <c r="B38" s="183" t="s">
        <v>377</v>
      </c>
      <c r="C38" s="183" t="s">
        <v>364</v>
      </c>
      <c r="D38" s="183" t="s">
        <v>367</v>
      </c>
      <c r="E38" s="183" t="s">
        <v>378</v>
      </c>
      <c r="F38" s="183" t="s">
        <v>379</v>
      </c>
      <c r="G38" s="183" t="s">
        <v>380</v>
      </c>
      <c r="H38" s="183" t="s">
        <v>381</v>
      </c>
    </row>
    <row r="39" spans="2:8" ht="13.5" customHeight="1">
      <c r="B39" s="184" t="s">
        <v>370</v>
      </c>
      <c r="C39" s="184" t="s">
        <v>365</v>
      </c>
      <c r="D39" s="184" t="s">
        <v>368</v>
      </c>
      <c r="E39" s="184" t="s">
        <v>382</v>
      </c>
      <c r="F39" s="185">
        <v>18981.39</v>
      </c>
      <c r="G39" s="185">
        <v>12224.5</v>
      </c>
      <c r="H39" s="184">
        <v>1999</v>
      </c>
    </row>
    <row r="40" spans="2:8" ht="13.5" customHeight="1">
      <c r="B40" s="184" t="s">
        <v>370</v>
      </c>
      <c r="C40" s="184" t="s">
        <v>365</v>
      </c>
      <c r="D40" s="184" t="s">
        <v>368</v>
      </c>
      <c r="E40" s="184" t="s">
        <v>383</v>
      </c>
      <c r="F40" s="185">
        <v>70547</v>
      </c>
      <c r="G40" s="185">
        <v>25170.27</v>
      </c>
      <c r="H40" s="184">
        <v>2000</v>
      </c>
    </row>
    <row r="41" spans="2:8" ht="13.5" customHeight="1">
      <c r="B41" s="184" t="s">
        <v>371</v>
      </c>
      <c r="C41" s="184" t="s">
        <v>366</v>
      </c>
      <c r="D41" s="184" t="s">
        <v>368</v>
      </c>
      <c r="E41" s="184" t="s">
        <v>383</v>
      </c>
      <c r="F41" s="185">
        <v>40122.160000000003</v>
      </c>
      <c r="G41" s="185">
        <v>8024.43</v>
      </c>
      <c r="H41" s="184">
        <v>1998</v>
      </c>
    </row>
    <row r="42" spans="2:8" ht="13.5" customHeight="1">
      <c r="B42" s="184" t="s">
        <v>371</v>
      </c>
      <c r="C42" s="184" t="s">
        <v>365</v>
      </c>
      <c r="D42" s="184" t="s">
        <v>368</v>
      </c>
      <c r="E42" s="184" t="s">
        <v>384</v>
      </c>
      <c r="F42" s="185">
        <v>622</v>
      </c>
      <c r="G42" s="185">
        <v>237.1</v>
      </c>
      <c r="H42" s="184">
        <v>1997</v>
      </c>
    </row>
    <row r="43" spans="2:8" ht="13.5" customHeight="1">
      <c r="B43" s="184" t="s">
        <v>370</v>
      </c>
      <c r="C43" s="184" t="s">
        <v>365</v>
      </c>
      <c r="D43" s="184" t="s">
        <v>369</v>
      </c>
      <c r="E43" s="184" t="s">
        <v>382</v>
      </c>
      <c r="F43" s="185">
        <v>36.369999999999997</v>
      </c>
      <c r="G43" s="185">
        <v>0</v>
      </c>
      <c r="H43" s="184">
        <v>1999</v>
      </c>
    </row>
    <row r="44" spans="2:8" ht="13.5" customHeight="1">
      <c r="B44" s="184" t="s">
        <v>371</v>
      </c>
      <c r="C44" s="184" t="s">
        <v>365</v>
      </c>
      <c r="D44" s="184" t="s">
        <v>369</v>
      </c>
      <c r="E44" s="184" t="s">
        <v>385</v>
      </c>
      <c r="F44" s="185">
        <v>3891</v>
      </c>
      <c r="G44" s="185">
        <v>0</v>
      </c>
      <c r="H44" s="184">
        <v>2003</v>
      </c>
    </row>
    <row r="45" spans="2:8" ht="13.5" customHeight="1">
      <c r="B45" s="184" t="s">
        <v>372</v>
      </c>
      <c r="C45" s="184" t="s">
        <v>365</v>
      </c>
      <c r="D45" s="184" t="s">
        <v>368</v>
      </c>
      <c r="E45" s="184" t="s">
        <v>382</v>
      </c>
      <c r="F45" s="185">
        <v>3713</v>
      </c>
      <c r="G45" s="185">
        <v>2375.59</v>
      </c>
      <c r="H45" s="184">
        <v>2004</v>
      </c>
    </row>
    <row r="46" spans="2:8" ht="13.5" customHeight="1">
      <c r="B46" s="184" t="s">
        <v>370</v>
      </c>
      <c r="C46" s="184" t="s">
        <v>365</v>
      </c>
      <c r="D46" s="184" t="s">
        <v>368</v>
      </c>
      <c r="E46" s="184" t="s">
        <v>382</v>
      </c>
      <c r="F46" s="185">
        <v>705.5</v>
      </c>
      <c r="G46" s="185">
        <v>488.84</v>
      </c>
      <c r="H46" s="184">
        <v>2003</v>
      </c>
    </row>
    <row r="47" spans="2:8" ht="13.5" customHeight="1">
      <c r="B47" s="184" t="s">
        <v>371</v>
      </c>
      <c r="C47" s="184" t="s">
        <v>366</v>
      </c>
      <c r="D47" s="184" t="s">
        <v>368</v>
      </c>
      <c r="E47" s="184" t="s">
        <v>383</v>
      </c>
      <c r="F47" s="185">
        <v>73480.19</v>
      </c>
      <c r="G47" s="185">
        <v>18608.13</v>
      </c>
      <c r="H47" s="184">
        <v>2005</v>
      </c>
    </row>
    <row r="48" spans="2:8" ht="13.5" customHeight="1">
      <c r="B48" s="184" t="s">
        <v>370</v>
      </c>
      <c r="C48" s="184" t="s">
        <v>365</v>
      </c>
      <c r="D48" s="184" t="s">
        <v>368</v>
      </c>
      <c r="E48" s="184" t="s">
        <v>382</v>
      </c>
      <c r="F48" s="185">
        <v>28029.9</v>
      </c>
      <c r="G48" s="185">
        <v>16391.3</v>
      </c>
      <c r="H48" s="184">
        <v>2004</v>
      </c>
    </row>
    <row r="49" spans="2:8" ht="13.5" customHeight="1">
      <c r="B49" s="184" t="s">
        <v>371</v>
      </c>
      <c r="C49" s="184" t="s">
        <v>365</v>
      </c>
      <c r="D49" s="184" t="s">
        <v>368</v>
      </c>
      <c r="E49" s="184" t="s">
        <v>385</v>
      </c>
      <c r="F49" s="185">
        <v>1702.5</v>
      </c>
      <c r="G49" s="185">
        <v>217.6</v>
      </c>
      <c r="H49" s="184">
        <v>1999</v>
      </c>
    </row>
    <row r="50" spans="2:8" ht="13.5" customHeight="1">
      <c r="B50" s="184" t="s">
        <v>370</v>
      </c>
      <c r="C50" s="184" t="s">
        <v>365</v>
      </c>
      <c r="D50" s="184" t="s">
        <v>368</v>
      </c>
      <c r="E50" s="184" t="s">
        <v>382</v>
      </c>
      <c r="F50" s="185">
        <v>244.7</v>
      </c>
      <c r="G50" s="185">
        <v>125.95</v>
      </c>
      <c r="H50" s="184">
        <v>2000</v>
      </c>
    </row>
    <row r="51" spans="2:8" ht="13.5" customHeight="1">
      <c r="B51" s="184" t="s">
        <v>371</v>
      </c>
      <c r="C51" s="184" t="s">
        <v>365</v>
      </c>
      <c r="D51" s="184" t="s">
        <v>368</v>
      </c>
      <c r="E51" s="184" t="s">
        <v>382</v>
      </c>
      <c r="F51" s="185">
        <v>7285.84</v>
      </c>
      <c r="G51" s="185">
        <v>4887.08</v>
      </c>
      <c r="H51" s="184">
        <v>1998</v>
      </c>
    </row>
    <row r="52" spans="2:8" ht="13.5" customHeight="1">
      <c r="B52" s="184" t="s">
        <v>371</v>
      </c>
      <c r="C52" s="184" t="s">
        <v>365</v>
      </c>
      <c r="D52" s="184" t="s">
        <v>369</v>
      </c>
      <c r="E52" s="184" t="s">
        <v>386</v>
      </c>
      <c r="F52" s="185">
        <v>596</v>
      </c>
      <c r="G52" s="185">
        <v>0</v>
      </c>
      <c r="H52" s="184">
        <v>1997</v>
      </c>
    </row>
    <row r="53" spans="2:8" ht="13.5" customHeight="1">
      <c r="B53" s="184" t="s">
        <v>371</v>
      </c>
      <c r="C53" s="184" t="s">
        <v>365</v>
      </c>
      <c r="D53" s="184" t="s">
        <v>368</v>
      </c>
      <c r="E53" s="184" t="s">
        <v>387</v>
      </c>
      <c r="F53" s="185">
        <v>1315</v>
      </c>
      <c r="G53" s="185">
        <v>578</v>
      </c>
      <c r="H53" s="184">
        <v>1999</v>
      </c>
    </row>
    <row r="54" spans="2:8" ht="13.5" customHeight="1">
      <c r="B54" s="184" t="s">
        <v>371</v>
      </c>
      <c r="C54" s="184" t="s">
        <v>365</v>
      </c>
      <c r="D54" s="184" t="s">
        <v>369</v>
      </c>
      <c r="E54" s="184" t="s">
        <v>385</v>
      </c>
      <c r="F54" s="185">
        <v>24</v>
      </c>
      <c r="G54" s="185">
        <v>0</v>
      </c>
      <c r="H54" s="184">
        <v>2003</v>
      </c>
    </row>
    <row r="55" spans="2:8" ht="13.5" customHeight="1">
      <c r="B55" s="184" t="s">
        <v>373</v>
      </c>
      <c r="C55" s="184" t="s">
        <v>365</v>
      </c>
      <c r="D55" s="184" t="s">
        <v>369</v>
      </c>
      <c r="E55" s="184" t="s">
        <v>388</v>
      </c>
      <c r="F55" s="185">
        <v>522</v>
      </c>
      <c r="G55" s="185">
        <v>0</v>
      </c>
      <c r="H55" s="184">
        <v>2004</v>
      </c>
    </row>
    <row r="56" spans="2:8" ht="13.5" customHeight="1">
      <c r="B56" s="184" t="s">
        <v>374</v>
      </c>
      <c r="C56" s="184" t="s">
        <v>365</v>
      </c>
      <c r="D56" s="184" t="s">
        <v>369</v>
      </c>
      <c r="E56" s="184" t="s">
        <v>382</v>
      </c>
      <c r="F56" s="185">
        <v>1224</v>
      </c>
      <c r="G56" s="185">
        <v>0</v>
      </c>
      <c r="H56" s="184">
        <v>2003</v>
      </c>
    </row>
    <row r="57" spans="2:8" ht="13.5" customHeight="1">
      <c r="B57" s="184" t="s">
        <v>370</v>
      </c>
      <c r="C57" s="184" t="s">
        <v>365</v>
      </c>
      <c r="D57" s="184" t="s">
        <v>369</v>
      </c>
      <c r="E57" s="184" t="s">
        <v>382</v>
      </c>
      <c r="F57" s="185">
        <v>109.12</v>
      </c>
      <c r="G57" s="185">
        <v>0</v>
      </c>
      <c r="H57" s="184">
        <v>2005</v>
      </c>
    </row>
    <row r="58" spans="2:8" ht="13.5" customHeight="1">
      <c r="B58" s="184" t="s">
        <v>371</v>
      </c>
      <c r="C58" s="184" t="s">
        <v>365</v>
      </c>
      <c r="D58" s="184" t="s">
        <v>369</v>
      </c>
      <c r="E58" s="184" t="s">
        <v>383</v>
      </c>
      <c r="F58" s="185">
        <v>871</v>
      </c>
      <c r="G58" s="185">
        <v>0</v>
      </c>
      <c r="H58" s="184">
        <v>2004</v>
      </c>
    </row>
    <row r="59" spans="2:8" ht="13.5" customHeight="1">
      <c r="B59" s="184" t="s">
        <v>371</v>
      </c>
      <c r="C59" s="184" t="s">
        <v>365</v>
      </c>
      <c r="D59" s="184" t="s">
        <v>369</v>
      </c>
      <c r="E59" s="184" t="s">
        <v>383</v>
      </c>
      <c r="F59" s="185">
        <v>1045</v>
      </c>
      <c r="G59" s="185">
        <v>0</v>
      </c>
      <c r="H59" s="184">
        <v>1999</v>
      </c>
    </row>
    <row r="60" spans="2:8" ht="13.5" customHeight="1">
      <c r="B60" s="184" t="s">
        <v>373</v>
      </c>
      <c r="C60" s="184" t="s">
        <v>365</v>
      </c>
      <c r="D60" s="184" t="s">
        <v>368</v>
      </c>
      <c r="E60" s="184" t="s">
        <v>388</v>
      </c>
      <c r="F60" s="185">
        <v>480</v>
      </c>
      <c r="G60" s="185">
        <v>104</v>
      </c>
      <c r="H60" s="184">
        <v>2000</v>
      </c>
    </row>
    <row r="61" spans="2:8" ht="13.5" customHeight="1">
      <c r="B61" s="184" t="s">
        <v>371</v>
      </c>
      <c r="C61" s="184" t="s">
        <v>365</v>
      </c>
      <c r="D61" s="184" t="s">
        <v>369</v>
      </c>
      <c r="E61" s="184" t="s">
        <v>389</v>
      </c>
      <c r="F61" s="185">
        <v>135</v>
      </c>
      <c r="G61" s="185">
        <v>0</v>
      </c>
      <c r="H61" s="184">
        <v>1998</v>
      </c>
    </row>
    <row r="62" spans="2:8" ht="13.5" customHeight="1">
      <c r="B62" s="184" t="s">
        <v>372</v>
      </c>
      <c r="C62" s="184" t="s">
        <v>365</v>
      </c>
      <c r="D62" s="184" t="s">
        <v>369</v>
      </c>
      <c r="E62" s="184" t="s">
        <v>382</v>
      </c>
      <c r="F62" s="185">
        <v>844.26</v>
      </c>
      <c r="G62" s="185">
        <v>0</v>
      </c>
      <c r="H62" s="184">
        <v>1997</v>
      </c>
    </row>
    <row r="63" spans="2:8" ht="13.5" customHeight="1">
      <c r="B63" s="184" t="s">
        <v>371</v>
      </c>
      <c r="C63" s="184" t="s">
        <v>365</v>
      </c>
      <c r="D63" s="184" t="s">
        <v>369</v>
      </c>
      <c r="E63" s="184" t="s">
        <v>388</v>
      </c>
      <c r="F63" s="185">
        <v>2579</v>
      </c>
      <c r="G63" s="185">
        <v>0</v>
      </c>
      <c r="H63" s="184">
        <v>1999</v>
      </c>
    </row>
    <row r="64" spans="2:8" ht="13.5" customHeight="1">
      <c r="B64" s="184" t="s">
        <v>371</v>
      </c>
      <c r="C64" s="184" t="s">
        <v>366</v>
      </c>
      <c r="D64" s="184" t="s">
        <v>369</v>
      </c>
      <c r="E64" s="184" t="s">
        <v>389</v>
      </c>
      <c r="F64" s="185">
        <v>7283.19</v>
      </c>
      <c r="G64" s="185">
        <v>0</v>
      </c>
      <c r="H64" s="184">
        <v>2003</v>
      </c>
    </row>
    <row r="65" spans="2:8" ht="13.5" customHeight="1">
      <c r="B65" s="184" t="s">
        <v>371</v>
      </c>
      <c r="C65" s="184" t="s">
        <v>365</v>
      </c>
      <c r="D65" s="184" t="s">
        <v>368</v>
      </c>
      <c r="E65" s="184" t="s">
        <v>382</v>
      </c>
      <c r="F65" s="185">
        <v>1262</v>
      </c>
      <c r="G65" s="185">
        <v>676.7</v>
      </c>
      <c r="H65" s="184">
        <v>2004</v>
      </c>
    </row>
    <row r="66" spans="2:8" ht="13.5" customHeight="1">
      <c r="B66" s="184" t="s">
        <v>372</v>
      </c>
      <c r="C66" s="184" t="s">
        <v>365</v>
      </c>
      <c r="D66" s="184" t="s">
        <v>368</v>
      </c>
      <c r="E66" s="184" t="s">
        <v>382</v>
      </c>
      <c r="F66" s="185">
        <v>2984</v>
      </c>
      <c r="G66" s="185">
        <v>1993.22</v>
      </c>
      <c r="H66" s="184">
        <v>2003</v>
      </c>
    </row>
    <row r="67" spans="2:8" ht="13.5" customHeight="1">
      <c r="B67" s="184" t="s">
        <v>371</v>
      </c>
      <c r="C67" s="184" t="s">
        <v>365</v>
      </c>
      <c r="D67" s="184" t="s">
        <v>368</v>
      </c>
      <c r="E67" s="184" t="s">
        <v>389</v>
      </c>
      <c r="F67" s="185">
        <v>368</v>
      </c>
      <c r="G67" s="185">
        <v>72.25</v>
      </c>
      <c r="H67" s="184">
        <v>2005</v>
      </c>
    </row>
    <row r="68" spans="2:8" ht="13.5" customHeight="1">
      <c r="B68" s="184" t="s">
        <v>371</v>
      </c>
      <c r="C68" s="184" t="s">
        <v>365</v>
      </c>
      <c r="D68" s="184" t="s">
        <v>368</v>
      </c>
      <c r="E68" s="184" t="s">
        <v>382</v>
      </c>
      <c r="F68" s="185">
        <v>1122.5</v>
      </c>
      <c r="G68" s="185">
        <v>646.25</v>
      </c>
      <c r="H68" s="184">
        <v>2004</v>
      </c>
    </row>
    <row r="69" spans="2:8" ht="13.5" customHeight="1">
      <c r="B69" s="184" t="s">
        <v>370</v>
      </c>
      <c r="C69" s="184" t="s">
        <v>365</v>
      </c>
      <c r="D69" s="184" t="s">
        <v>368</v>
      </c>
      <c r="E69" s="184" t="s">
        <v>382</v>
      </c>
      <c r="F69" s="185">
        <v>603</v>
      </c>
      <c r="G69" s="185">
        <v>449.08</v>
      </c>
      <c r="H69" s="184">
        <v>1999</v>
      </c>
    </row>
    <row r="70" spans="2:8" ht="13.5" customHeight="1">
      <c r="B70" s="184" t="s">
        <v>373</v>
      </c>
      <c r="C70" s="184" t="s">
        <v>366</v>
      </c>
      <c r="D70" s="184" t="s">
        <v>368</v>
      </c>
      <c r="E70" s="184" t="s">
        <v>390</v>
      </c>
      <c r="F70" s="185">
        <v>3524.55</v>
      </c>
      <c r="G70" s="185">
        <v>176.22</v>
      </c>
      <c r="H70" s="184">
        <v>2000</v>
      </c>
    </row>
    <row r="71" spans="2:8" ht="13.5" customHeight="1">
      <c r="B71" s="184" t="s">
        <v>371</v>
      </c>
      <c r="C71" s="184" t="s">
        <v>365</v>
      </c>
      <c r="D71" s="184" t="s">
        <v>368</v>
      </c>
      <c r="E71" s="184" t="s">
        <v>391</v>
      </c>
      <c r="F71" s="185">
        <v>4386.8599999999997</v>
      </c>
      <c r="G71" s="185">
        <v>1652.86</v>
      </c>
      <c r="H71" s="184">
        <v>1998</v>
      </c>
    </row>
    <row r="72" spans="2:8" ht="13.5" customHeight="1">
      <c r="B72" s="184" t="s">
        <v>371</v>
      </c>
      <c r="C72" s="184" t="s">
        <v>365</v>
      </c>
      <c r="D72" s="184" t="s">
        <v>369</v>
      </c>
      <c r="E72" s="184" t="s">
        <v>386</v>
      </c>
      <c r="F72" s="185">
        <v>9953.42</v>
      </c>
      <c r="G72" s="185">
        <v>0</v>
      </c>
      <c r="H72" s="184">
        <v>1997</v>
      </c>
    </row>
    <row r="73" spans="2:8" ht="13.5" customHeight="1">
      <c r="B73" s="184" t="s">
        <v>373</v>
      </c>
      <c r="C73" s="184" t="s">
        <v>365</v>
      </c>
      <c r="D73" s="184" t="s">
        <v>368</v>
      </c>
      <c r="E73" s="184" t="s">
        <v>383</v>
      </c>
      <c r="F73" s="185">
        <v>67559.95</v>
      </c>
      <c r="G73" s="185">
        <v>19590.11</v>
      </c>
      <c r="H73" s="184">
        <v>1999</v>
      </c>
    </row>
    <row r="74" spans="2:8" ht="13.5" customHeight="1">
      <c r="B74" s="184" t="s">
        <v>375</v>
      </c>
      <c r="C74" s="184" t="s">
        <v>365</v>
      </c>
      <c r="D74" s="184" t="s">
        <v>368</v>
      </c>
      <c r="E74" s="184" t="s">
        <v>382</v>
      </c>
      <c r="F74" s="185">
        <v>324.5</v>
      </c>
      <c r="G74" s="185">
        <v>129.80000000000001</v>
      </c>
      <c r="H74" s="184">
        <v>2003</v>
      </c>
    </row>
    <row r="75" spans="2:8" ht="13.5" customHeight="1">
      <c r="B75" s="184" t="s">
        <v>371</v>
      </c>
      <c r="C75" s="184" t="s">
        <v>365</v>
      </c>
      <c r="D75" s="184" t="s">
        <v>368</v>
      </c>
      <c r="E75" s="184" t="s">
        <v>383</v>
      </c>
      <c r="F75" s="185">
        <v>12593.52</v>
      </c>
      <c r="G75" s="185">
        <v>1441.22</v>
      </c>
      <c r="H75" s="184">
        <v>2004</v>
      </c>
    </row>
    <row r="76" spans="2:8" ht="13.5" customHeight="1">
      <c r="B76" s="184" t="s">
        <v>371</v>
      </c>
      <c r="C76" s="184" t="s">
        <v>365</v>
      </c>
      <c r="D76" s="184" t="s">
        <v>368</v>
      </c>
      <c r="E76" s="184" t="s">
        <v>383</v>
      </c>
      <c r="F76" s="185">
        <v>10120.52</v>
      </c>
      <c r="G76" s="185">
        <v>2542.86</v>
      </c>
      <c r="H76" s="184">
        <v>2003</v>
      </c>
    </row>
    <row r="77" spans="2:8" ht="13.5" customHeight="1">
      <c r="B77" s="184" t="s">
        <v>376</v>
      </c>
      <c r="C77" s="184" t="s">
        <v>365</v>
      </c>
      <c r="D77" s="184" t="s">
        <v>369</v>
      </c>
      <c r="E77" s="184" t="s">
        <v>382</v>
      </c>
      <c r="F77" s="185">
        <v>146</v>
      </c>
      <c r="G77" s="185">
        <v>0</v>
      </c>
      <c r="H77" s="184">
        <v>2005</v>
      </c>
    </row>
    <row r="78" spans="2:8" ht="13.5" customHeight="1">
      <c r="B78" s="184" t="s">
        <v>371</v>
      </c>
      <c r="C78" s="184" t="s">
        <v>365</v>
      </c>
      <c r="D78" s="184" t="s">
        <v>368</v>
      </c>
      <c r="E78" s="184" t="s">
        <v>383</v>
      </c>
      <c r="F78" s="185">
        <v>156</v>
      </c>
      <c r="G78" s="185">
        <v>80</v>
      </c>
      <c r="H78" s="184">
        <v>2004</v>
      </c>
    </row>
    <row r="79" spans="2:8" ht="13.5" customHeight="1">
      <c r="B79" s="184" t="s">
        <v>371</v>
      </c>
      <c r="C79" s="184" t="s">
        <v>365</v>
      </c>
      <c r="D79" s="184" t="s">
        <v>369</v>
      </c>
      <c r="E79" s="184" t="s">
        <v>389</v>
      </c>
      <c r="F79" s="185">
        <v>1573</v>
      </c>
      <c r="G79" s="185">
        <v>0</v>
      </c>
      <c r="H79" s="184">
        <v>1999</v>
      </c>
    </row>
    <row r="80" spans="2:8" ht="13.5" customHeight="1">
      <c r="B80" s="184" t="s">
        <v>375</v>
      </c>
      <c r="C80" s="184" t="s">
        <v>365</v>
      </c>
      <c r="D80" s="184" t="s">
        <v>368</v>
      </c>
      <c r="E80" s="184" t="s">
        <v>382</v>
      </c>
      <c r="F80" s="185">
        <v>4057.11</v>
      </c>
      <c r="G80" s="185">
        <v>1622.86</v>
      </c>
      <c r="H80" s="184">
        <v>2000</v>
      </c>
    </row>
    <row r="81" spans="2:8" ht="13.5" customHeight="1">
      <c r="B81" s="184" t="s">
        <v>371</v>
      </c>
      <c r="C81" s="184" t="s">
        <v>365</v>
      </c>
      <c r="D81" s="184" t="s">
        <v>369</v>
      </c>
      <c r="E81" s="184" t="s">
        <v>382</v>
      </c>
      <c r="F81" s="185">
        <v>477</v>
      </c>
      <c r="G81" s="185">
        <v>0</v>
      </c>
      <c r="H81" s="184">
        <v>1998</v>
      </c>
    </row>
    <row r="82" spans="2:8" ht="13.5" customHeight="1">
      <c r="B82" s="184" t="s">
        <v>371</v>
      </c>
      <c r="C82" s="184" t="s">
        <v>365</v>
      </c>
      <c r="D82" s="184" t="s">
        <v>369</v>
      </c>
      <c r="E82" s="184" t="s">
        <v>385</v>
      </c>
      <c r="F82" s="185">
        <v>558.65</v>
      </c>
      <c r="G82" s="185">
        <v>0</v>
      </c>
      <c r="H82" s="184">
        <v>1997</v>
      </c>
    </row>
    <row r="83" spans="2:8" ht="13.5" customHeight="1">
      <c r="B83" s="184" t="s">
        <v>370</v>
      </c>
      <c r="C83" s="184" t="s">
        <v>365</v>
      </c>
      <c r="D83" s="184" t="s">
        <v>369</v>
      </c>
      <c r="E83" s="184" t="s">
        <v>382</v>
      </c>
      <c r="F83" s="185">
        <v>23.46</v>
      </c>
      <c r="G83" s="185">
        <v>0</v>
      </c>
      <c r="H83" s="184">
        <v>1999</v>
      </c>
    </row>
    <row r="84" spans="2:8" ht="13.5" customHeight="1">
      <c r="B84" s="184" t="s">
        <v>373</v>
      </c>
      <c r="C84" s="184" t="s">
        <v>365</v>
      </c>
      <c r="D84" s="184" t="s">
        <v>369</v>
      </c>
      <c r="E84" s="184" t="s">
        <v>383</v>
      </c>
      <c r="F84" s="185">
        <v>808</v>
      </c>
      <c r="G84" s="185">
        <v>0</v>
      </c>
      <c r="H84" s="184">
        <v>2003</v>
      </c>
    </row>
    <row r="85" spans="2:8" ht="13.5" customHeight="1">
      <c r="B85" s="184" t="s">
        <v>371</v>
      </c>
      <c r="C85" s="184" t="s">
        <v>365</v>
      </c>
      <c r="D85" s="184" t="s">
        <v>368</v>
      </c>
      <c r="E85" s="184" t="s">
        <v>392</v>
      </c>
      <c r="F85" s="185">
        <v>4921</v>
      </c>
      <c r="G85" s="185">
        <v>2153</v>
      </c>
      <c r="H85" s="184">
        <v>2004</v>
      </c>
    </row>
    <row r="86" spans="2:8" ht="13.5" customHeight="1">
      <c r="B86" s="184" t="s">
        <v>372</v>
      </c>
      <c r="C86" s="184" t="s">
        <v>365</v>
      </c>
      <c r="D86" s="184" t="s">
        <v>369</v>
      </c>
      <c r="E86" s="184" t="s">
        <v>382</v>
      </c>
      <c r="F86" s="185">
        <v>485.44</v>
      </c>
      <c r="G86" s="185">
        <v>0</v>
      </c>
      <c r="H86" s="184">
        <v>2003</v>
      </c>
    </row>
    <row r="87" spans="2:8" ht="13.5" customHeight="1">
      <c r="B87" s="184" t="s">
        <v>371</v>
      </c>
      <c r="C87" s="184" t="s">
        <v>365</v>
      </c>
      <c r="D87" s="184" t="s">
        <v>369</v>
      </c>
      <c r="E87" s="184" t="s">
        <v>389</v>
      </c>
      <c r="F87" s="185">
        <v>8526.25</v>
      </c>
      <c r="G87" s="185">
        <v>0</v>
      </c>
      <c r="H87" s="184">
        <v>2005</v>
      </c>
    </row>
    <row r="93" spans="2:8" ht="13.5" thickBot="1"/>
    <row r="94" spans="2:8">
      <c r="B94" s="433" t="s">
        <v>3870</v>
      </c>
      <c r="C94" s="434"/>
      <c r="D94" s="435" t="s">
        <v>3871</v>
      </c>
      <c r="E94" s="179" t="s">
        <v>3871</v>
      </c>
      <c r="G94" s="179" t="s">
        <v>3880</v>
      </c>
    </row>
    <row r="95" spans="2:8">
      <c r="B95" s="184">
        <v>100</v>
      </c>
      <c r="C95" s="184"/>
      <c r="D95" s="184">
        <v>1</v>
      </c>
      <c r="E95" s="179">
        <f>RANK(B95,$B$95:$B$99,1)</f>
        <v>1</v>
      </c>
      <c r="G95" s="179">
        <f>COUNTIF($B$95:$B$99,"&lt;="&amp;B95)</f>
        <v>1</v>
      </c>
    </row>
    <row r="96" spans="2:8">
      <c r="B96" s="184">
        <v>150</v>
      </c>
      <c r="C96" s="184"/>
      <c r="D96" s="184">
        <v>3</v>
      </c>
      <c r="E96" s="179">
        <f t="shared" ref="E96:E99" si="6">RANK(B96,$B$95:$B$99,1)</f>
        <v>3</v>
      </c>
      <c r="G96" s="179">
        <f>COUNTIF($B$95:$B$99,"&lt;="&amp;B96)</f>
        <v>3</v>
      </c>
    </row>
    <row r="97" spans="2:7">
      <c r="B97" s="184">
        <v>200</v>
      </c>
      <c r="C97" s="184"/>
      <c r="D97" s="184">
        <v>5</v>
      </c>
      <c r="E97" s="179">
        <f t="shared" si="6"/>
        <v>5</v>
      </c>
      <c r="G97" s="179">
        <f t="shared" ref="G97:G98" si="7">COUNTIF($B$95:$B$99,"&lt;="&amp;B97)</f>
        <v>5</v>
      </c>
    </row>
    <row r="98" spans="2:7">
      <c r="B98" s="184">
        <v>175</v>
      </c>
      <c r="C98" s="184"/>
      <c r="D98" s="184">
        <v>4</v>
      </c>
      <c r="E98" s="179">
        <f t="shared" si="6"/>
        <v>4</v>
      </c>
      <c r="G98" s="179">
        <f t="shared" si="7"/>
        <v>4</v>
      </c>
    </row>
    <row r="99" spans="2:7">
      <c r="B99" s="184">
        <v>125</v>
      </c>
      <c r="C99" s="184"/>
      <c r="D99" s="184">
        <v>2</v>
      </c>
      <c r="E99" s="179">
        <f t="shared" si="6"/>
        <v>2</v>
      </c>
      <c r="G99" s="179">
        <f>COUNTIF($B$95:$B$99,"&lt;="&amp;B99)</f>
        <v>2</v>
      </c>
    </row>
    <row r="101" spans="2:7">
      <c r="B101" s="437" t="s">
        <v>3872</v>
      </c>
      <c r="C101" s="179" t="s">
        <v>3871</v>
      </c>
      <c r="E101" s="179" t="s">
        <v>3881</v>
      </c>
    </row>
    <row r="102" spans="2:7">
      <c r="B102" s="436" t="s">
        <v>3873</v>
      </c>
      <c r="C102" s="179">
        <v>4</v>
      </c>
      <c r="E102" s="179">
        <f>COUNTIF($B$102:$B$108,"&lt;="&amp;B102)</f>
        <v>4</v>
      </c>
    </row>
    <row r="103" spans="2:7">
      <c r="B103" s="436" t="s">
        <v>3874</v>
      </c>
      <c r="C103" s="179">
        <v>2</v>
      </c>
      <c r="E103" s="179">
        <f>COUNTIF($B$102:$B$108,"&lt;="&amp;B103)</f>
        <v>2</v>
      </c>
    </row>
    <row r="104" spans="2:7">
      <c r="B104" s="436" t="s">
        <v>3875</v>
      </c>
      <c r="C104" s="179">
        <v>5</v>
      </c>
      <c r="E104" s="179">
        <f t="shared" ref="E104:E108" si="8">COUNTIF($B$102:$B$108,"&lt;="&amp;B104)</f>
        <v>5</v>
      </c>
    </row>
    <row r="105" spans="2:7">
      <c r="B105" s="436" t="s">
        <v>3876</v>
      </c>
      <c r="C105" s="179">
        <v>7</v>
      </c>
      <c r="E105" s="179">
        <f t="shared" si="8"/>
        <v>7</v>
      </c>
    </row>
    <row r="106" spans="2:7">
      <c r="B106" s="436" t="s">
        <v>3877</v>
      </c>
      <c r="C106" s="179">
        <v>3</v>
      </c>
      <c r="E106" s="179">
        <f t="shared" si="8"/>
        <v>3</v>
      </c>
    </row>
    <row r="107" spans="2:7">
      <c r="B107" s="436" t="s">
        <v>3878</v>
      </c>
      <c r="C107" s="179">
        <v>1</v>
      </c>
      <c r="E107" s="179">
        <f t="shared" si="8"/>
        <v>1</v>
      </c>
    </row>
    <row r="108" spans="2:7">
      <c r="B108" s="436" t="s">
        <v>3879</v>
      </c>
      <c r="C108" s="179">
        <v>6</v>
      </c>
      <c r="E108" s="179">
        <f t="shared" si="8"/>
        <v>6</v>
      </c>
    </row>
  </sheetData>
  <pageMargins left="0.75" right="0.75" top="1" bottom="1" header="0.5" footer="0.5"/>
  <headerFooter alignWithMargins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31">
    <tabColor theme="0" tint="-0.34998626667073579"/>
  </sheetPr>
  <dimension ref="B2:R116"/>
  <sheetViews>
    <sheetView showGridLines="0" zoomScale="142" zoomScaleNormal="142" workbookViewId="0">
      <selection activeCell="H6" sqref="H6"/>
    </sheetView>
  </sheetViews>
  <sheetFormatPr defaultColWidth="9.140625" defaultRowHeight="12.75"/>
  <cols>
    <col min="1" max="1" width="3.28515625" style="1" customWidth="1"/>
    <col min="2" max="2" width="12" style="1" customWidth="1"/>
    <col min="3" max="3" width="14.5703125" style="1" customWidth="1"/>
    <col min="4" max="4" width="12.42578125" style="1" customWidth="1"/>
    <col min="5" max="5" width="8.42578125" style="1" customWidth="1"/>
    <col min="6" max="6" width="8.85546875" style="1" customWidth="1"/>
    <col min="7" max="7" width="11" style="1" customWidth="1"/>
    <col min="8" max="8" width="11.28515625" style="1" customWidth="1"/>
    <col min="9" max="9" width="10.85546875" style="1" customWidth="1"/>
    <col min="10" max="10" width="9.140625" style="1"/>
    <col min="11" max="11" width="9.42578125" style="1" bestFit="1" customWidth="1"/>
    <col min="12" max="17" width="9.140625" style="1"/>
    <col min="18" max="18" width="13.140625" style="1" customWidth="1"/>
    <col min="19" max="16384" width="9.140625" style="1"/>
  </cols>
  <sheetData>
    <row r="2" spans="2:18">
      <c r="B2" s="39" t="s">
        <v>393</v>
      </c>
      <c r="C2" s="39"/>
    </row>
    <row r="5" spans="2:18" ht="13.5" thickBot="1"/>
    <row r="6" spans="2:18" ht="15" thickBot="1">
      <c r="B6" s="19" t="s">
        <v>83</v>
      </c>
      <c r="C6" s="20" t="s">
        <v>84</v>
      </c>
      <c r="D6" s="20" t="s">
        <v>85</v>
      </c>
      <c r="E6" s="20" t="s">
        <v>86</v>
      </c>
      <c r="F6" s="20" t="s">
        <v>87</v>
      </c>
      <c r="G6" s="20" t="s">
        <v>88</v>
      </c>
      <c r="H6" s="20" t="s">
        <v>89</v>
      </c>
      <c r="I6" s="20" t="s">
        <v>90</v>
      </c>
      <c r="J6" s="21" t="s">
        <v>394</v>
      </c>
    </row>
    <row r="7" spans="2:18">
      <c r="B7" s="22">
        <v>48</v>
      </c>
      <c r="C7" s="4" t="s">
        <v>195</v>
      </c>
      <c r="D7" s="4" t="s">
        <v>196</v>
      </c>
      <c r="E7" s="4" t="s">
        <v>125</v>
      </c>
      <c r="F7" s="4" t="s">
        <v>94</v>
      </c>
      <c r="G7" s="5">
        <v>30</v>
      </c>
      <c r="H7" s="6">
        <v>32755</v>
      </c>
      <c r="I7" s="7">
        <v>7100</v>
      </c>
      <c r="J7" s="23">
        <v>4100</v>
      </c>
      <c r="K7" s="2"/>
    </row>
    <row r="8" spans="2:18">
      <c r="B8" s="22">
        <v>22</v>
      </c>
      <c r="C8" s="4" t="s">
        <v>232</v>
      </c>
      <c r="D8" s="4" t="s">
        <v>233</v>
      </c>
      <c r="E8" s="4" t="s">
        <v>93</v>
      </c>
      <c r="F8" s="4" t="s">
        <v>120</v>
      </c>
      <c r="G8" s="5">
        <v>70</v>
      </c>
      <c r="H8" s="6">
        <v>35189</v>
      </c>
      <c r="I8" s="7">
        <v>5500</v>
      </c>
      <c r="J8" s="23">
        <v>3710</v>
      </c>
    </row>
    <row r="9" spans="2:18">
      <c r="B9" s="22">
        <v>5</v>
      </c>
      <c r="C9" s="4" t="s">
        <v>220</v>
      </c>
      <c r="D9" s="4" t="s">
        <v>221</v>
      </c>
      <c r="E9" s="4" t="s">
        <v>100</v>
      </c>
      <c r="F9" s="4" t="s">
        <v>94</v>
      </c>
      <c r="G9" s="5">
        <v>50</v>
      </c>
      <c r="H9" s="6">
        <v>30225</v>
      </c>
      <c r="I9" s="7">
        <v>9000</v>
      </c>
      <c r="J9" s="23">
        <v>4595</v>
      </c>
    </row>
    <row r="10" spans="2:18">
      <c r="B10" s="22">
        <v>7</v>
      </c>
      <c r="C10" s="4" t="s">
        <v>222</v>
      </c>
      <c r="D10" s="4" t="s">
        <v>221</v>
      </c>
      <c r="E10" s="4" t="s">
        <v>97</v>
      </c>
      <c r="F10" s="4" t="s">
        <v>94</v>
      </c>
      <c r="G10" s="5">
        <v>20</v>
      </c>
      <c r="H10" s="6">
        <v>33729</v>
      </c>
      <c r="I10" s="7">
        <v>5300</v>
      </c>
      <c r="J10" s="23">
        <v>3975</v>
      </c>
    </row>
    <row r="11" spans="2:18">
      <c r="B11" s="22">
        <v>19</v>
      </c>
      <c r="C11" s="4" t="s">
        <v>155</v>
      </c>
      <c r="D11" s="4" t="s">
        <v>156</v>
      </c>
      <c r="E11" s="4" t="s">
        <v>97</v>
      </c>
      <c r="F11" s="4" t="s">
        <v>94</v>
      </c>
      <c r="G11" s="5">
        <v>20</v>
      </c>
      <c r="H11" s="6">
        <v>36316</v>
      </c>
      <c r="I11" s="7">
        <v>3400</v>
      </c>
      <c r="J11" s="23">
        <v>4100</v>
      </c>
    </row>
    <row r="12" spans="2:18">
      <c r="B12" s="22">
        <v>34</v>
      </c>
      <c r="C12" s="4" t="s">
        <v>112</v>
      </c>
      <c r="D12" s="4" t="s">
        <v>113</v>
      </c>
      <c r="E12" s="4" t="s">
        <v>76</v>
      </c>
      <c r="F12" s="4" t="s">
        <v>98</v>
      </c>
      <c r="G12" s="5">
        <v>10</v>
      </c>
      <c r="H12" s="6">
        <v>34098</v>
      </c>
      <c r="I12" s="7">
        <v>8500</v>
      </c>
      <c r="J12" s="23">
        <v>4390</v>
      </c>
    </row>
    <row r="13" spans="2:18" ht="15">
      <c r="B13" s="22">
        <v>35</v>
      </c>
      <c r="C13" s="4" t="s">
        <v>197</v>
      </c>
      <c r="D13" s="4" t="s">
        <v>198</v>
      </c>
      <c r="E13" s="4" t="s">
        <v>125</v>
      </c>
      <c r="F13" s="4" t="s">
        <v>94</v>
      </c>
      <c r="G13" s="5">
        <v>30</v>
      </c>
      <c r="H13" s="6">
        <v>35618</v>
      </c>
      <c r="I13" s="7">
        <v>6500</v>
      </c>
      <c r="J13" s="23">
        <v>4735</v>
      </c>
      <c r="K13" s="3"/>
      <c r="L13" s="3"/>
      <c r="M13" s="3"/>
      <c r="N13" s="3"/>
      <c r="O13" s="3"/>
      <c r="P13" s="3"/>
      <c r="Q13" s="3"/>
      <c r="R13" s="3"/>
    </row>
    <row r="14" spans="2:18">
      <c r="B14" s="22">
        <v>37</v>
      </c>
      <c r="C14" s="4" t="s">
        <v>139</v>
      </c>
      <c r="D14" s="4" t="s">
        <v>138</v>
      </c>
      <c r="E14" s="4" t="s">
        <v>93</v>
      </c>
      <c r="F14" s="4" t="s">
        <v>94</v>
      </c>
      <c r="G14" s="5">
        <v>70</v>
      </c>
      <c r="H14" s="6">
        <v>36220</v>
      </c>
      <c r="I14" s="7">
        <v>4000</v>
      </c>
      <c r="J14" s="23">
        <v>2465</v>
      </c>
      <c r="L14" s="2"/>
      <c r="M14" s="8"/>
      <c r="N14" s="9"/>
      <c r="O14" s="9"/>
      <c r="P14" s="9"/>
      <c r="R14" s="10"/>
    </row>
    <row r="15" spans="2:18">
      <c r="B15" s="22">
        <v>38</v>
      </c>
      <c r="C15" s="4" t="s">
        <v>144</v>
      </c>
      <c r="D15" s="4" t="s">
        <v>141</v>
      </c>
      <c r="E15" s="4" t="s">
        <v>100</v>
      </c>
      <c r="F15" s="4" t="s">
        <v>94</v>
      </c>
      <c r="G15" s="5">
        <v>50</v>
      </c>
      <c r="H15" s="6">
        <v>36221</v>
      </c>
      <c r="I15" s="7">
        <v>4000</v>
      </c>
      <c r="J15" s="23">
        <v>2960</v>
      </c>
      <c r="L15" s="2"/>
      <c r="M15" s="8"/>
      <c r="N15" s="9"/>
      <c r="O15" s="9"/>
      <c r="P15" s="9"/>
      <c r="R15" s="10"/>
    </row>
    <row r="16" spans="2:18">
      <c r="B16" s="22">
        <v>56</v>
      </c>
      <c r="C16" s="4" t="s">
        <v>157</v>
      </c>
      <c r="D16" s="4" t="s">
        <v>158</v>
      </c>
      <c r="E16" s="4" t="s">
        <v>125</v>
      </c>
      <c r="F16" s="4" t="s">
        <v>103</v>
      </c>
      <c r="G16" s="5">
        <v>30</v>
      </c>
      <c r="H16" s="6">
        <v>36222</v>
      </c>
      <c r="I16" s="7">
        <v>4000</v>
      </c>
      <c r="J16" s="23">
        <v>4725</v>
      </c>
      <c r="L16" s="2"/>
      <c r="M16" s="8"/>
      <c r="N16" s="9"/>
      <c r="O16" s="9"/>
      <c r="P16" s="9"/>
      <c r="R16" s="10"/>
    </row>
    <row r="17" spans="2:18">
      <c r="B17" s="22">
        <v>61</v>
      </c>
      <c r="C17" s="4" t="s">
        <v>224</v>
      </c>
      <c r="D17" s="4" t="s">
        <v>221</v>
      </c>
      <c r="E17" s="4" t="s">
        <v>115</v>
      </c>
      <c r="F17" s="4" t="s">
        <v>94</v>
      </c>
      <c r="G17" s="5">
        <v>60</v>
      </c>
      <c r="H17" s="6">
        <v>34761</v>
      </c>
      <c r="I17" s="7">
        <v>8000</v>
      </c>
      <c r="J17" s="23">
        <v>4365</v>
      </c>
      <c r="L17" s="2"/>
      <c r="M17" s="8"/>
      <c r="N17" s="11"/>
      <c r="O17" s="11"/>
      <c r="P17" s="11"/>
      <c r="R17" s="10"/>
    </row>
    <row r="18" spans="2:18">
      <c r="B18" s="22">
        <v>69</v>
      </c>
      <c r="C18" s="4" t="s">
        <v>167</v>
      </c>
      <c r="D18" s="4" t="s">
        <v>168</v>
      </c>
      <c r="E18" s="4" t="s">
        <v>76</v>
      </c>
      <c r="F18" s="4" t="s">
        <v>94</v>
      </c>
      <c r="G18" s="5">
        <v>10</v>
      </c>
      <c r="H18" s="6">
        <v>33510</v>
      </c>
      <c r="I18" s="7">
        <v>6000</v>
      </c>
      <c r="J18" s="23">
        <v>4500</v>
      </c>
      <c r="L18" s="2"/>
      <c r="M18" s="12"/>
      <c r="N18" s="9"/>
      <c r="O18" s="9"/>
      <c r="P18" s="9"/>
      <c r="R18" s="10"/>
    </row>
    <row r="19" spans="2:18">
      <c r="B19" s="22">
        <v>75</v>
      </c>
      <c r="C19" s="4" t="s">
        <v>148</v>
      </c>
      <c r="D19" s="4" t="s">
        <v>149</v>
      </c>
      <c r="E19" s="4" t="s">
        <v>97</v>
      </c>
      <c r="F19" s="4" t="s">
        <v>94</v>
      </c>
      <c r="G19" s="5">
        <v>20</v>
      </c>
      <c r="H19" s="6">
        <v>36317</v>
      </c>
      <c r="I19" s="7">
        <v>4500</v>
      </c>
      <c r="J19" s="23">
        <v>4555</v>
      </c>
      <c r="L19" s="2"/>
      <c r="M19" s="8"/>
      <c r="N19" s="9"/>
      <c r="O19" s="9"/>
      <c r="P19" s="9"/>
      <c r="R19" s="10"/>
    </row>
    <row r="20" spans="2:18">
      <c r="B20" s="22">
        <v>84</v>
      </c>
      <c r="C20" s="4" t="s">
        <v>187</v>
      </c>
      <c r="D20" s="4" t="s">
        <v>186</v>
      </c>
      <c r="E20" s="4" t="s">
        <v>97</v>
      </c>
      <c r="F20" s="4" t="s">
        <v>103</v>
      </c>
      <c r="G20" s="5">
        <v>20</v>
      </c>
      <c r="H20" s="6">
        <v>36318</v>
      </c>
      <c r="I20" s="7">
        <v>4500</v>
      </c>
      <c r="J20" s="23">
        <v>4580</v>
      </c>
      <c r="L20" s="2"/>
      <c r="M20" s="8"/>
      <c r="N20" s="11"/>
      <c r="O20" s="11"/>
      <c r="P20" s="11"/>
      <c r="R20" s="10"/>
    </row>
    <row r="21" spans="2:18">
      <c r="B21" s="22">
        <v>100</v>
      </c>
      <c r="C21" s="4" t="s">
        <v>99</v>
      </c>
      <c r="D21" s="4" t="s">
        <v>96</v>
      </c>
      <c r="E21" s="4" t="s">
        <v>100</v>
      </c>
      <c r="F21" s="4" t="s">
        <v>94</v>
      </c>
      <c r="G21" s="5">
        <v>50</v>
      </c>
      <c r="H21" s="6">
        <v>33510</v>
      </c>
      <c r="I21" s="7">
        <v>5000</v>
      </c>
      <c r="J21" s="23">
        <v>4155</v>
      </c>
      <c r="L21" s="2"/>
      <c r="M21" s="8"/>
      <c r="N21" s="9"/>
      <c r="O21" s="9"/>
      <c r="P21" s="9"/>
      <c r="R21" s="10"/>
    </row>
    <row r="22" spans="2:18">
      <c r="B22" s="22">
        <v>10</v>
      </c>
      <c r="C22" s="4" t="s">
        <v>137</v>
      </c>
      <c r="D22" s="4" t="s">
        <v>138</v>
      </c>
      <c r="E22" s="4" t="s">
        <v>125</v>
      </c>
      <c r="F22" s="4" t="s">
        <v>120</v>
      </c>
      <c r="G22" s="5">
        <v>30</v>
      </c>
      <c r="H22" s="6">
        <v>32607</v>
      </c>
      <c r="I22" s="7">
        <v>9900</v>
      </c>
      <c r="J22" s="23">
        <v>500</v>
      </c>
      <c r="L22" s="2"/>
      <c r="M22" s="8"/>
      <c r="N22" s="9"/>
      <c r="O22" s="9"/>
      <c r="P22" s="9"/>
      <c r="R22" s="10"/>
    </row>
    <row r="23" spans="2:18">
      <c r="B23" s="22">
        <v>15</v>
      </c>
      <c r="C23" s="4" t="s">
        <v>266</v>
      </c>
      <c r="D23" s="4" t="s">
        <v>267</v>
      </c>
      <c r="E23" s="4" t="s">
        <v>76</v>
      </c>
      <c r="F23" s="4" t="s">
        <v>120</v>
      </c>
      <c r="G23" s="5">
        <v>10</v>
      </c>
      <c r="H23" s="6">
        <v>32444</v>
      </c>
      <c r="I23" s="7">
        <v>10000</v>
      </c>
      <c r="J23" s="23">
        <v>1070</v>
      </c>
      <c r="L23" s="2"/>
      <c r="M23" s="8"/>
      <c r="N23" s="9"/>
      <c r="O23" s="9"/>
      <c r="P23" s="9"/>
      <c r="R23" s="10"/>
    </row>
    <row r="24" spans="2:18">
      <c r="B24" s="22">
        <v>29</v>
      </c>
      <c r="C24" s="4" t="s">
        <v>250</v>
      </c>
      <c r="D24" s="4" t="s">
        <v>251</v>
      </c>
      <c r="E24" s="4" t="s">
        <v>125</v>
      </c>
      <c r="F24" s="4" t="s">
        <v>120</v>
      </c>
      <c r="G24" s="5">
        <v>30</v>
      </c>
      <c r="H24" s="6">
        <v>32390</v>
      </c>
      <c r="I24" s="7">
        <v>7100</v>
      </c>
      <c r="J24" s="23">
        <v>2820</v>
      </c>
      <c r="L24" s="2"/>
      <c r="M24" s="8"/>
      <c r="N24" s="11"/>
      <c r="P24" s="11"/>
      <c r="R24" s="10"/>
    </row>
    <row r="25" spans="2:18">
      <c r="B25" s="22">
        <v>47</v>
      </c>
      <c r="C25" s="4" t="s">
        <v>217</v>
      </c>
      <c r="D25" s="4" t="s">
        <v>218</v>
      </c>
      <c r="E25" s="4" t="s">
        <v>100</v>
      </c>
      <c r="F25" s="4" t="s">
        <v>120</v>
      </c>
      <c r="G25" s="5">
        <v>50</v>
      </c>
      <c r="H25" s="6">
        <v>32442</v>
      </c>
      <c r="I25" s="7">
        <v>10000</v>
      </c>
      <c r="J25" s="23">
        <v>2350</v>
      </c>
      <c r="L25" s="2"/>
      <c r="M25" s="8"/>
      <c r="N25" s="11"/>
      <c r="O25" s="11"/>
      <c r="P25" s="11"/>
      <c r="R25" s="10"/>
    </row>
    <row r="26" spans="2:18">
      <c r="B26" s="22">
        <v>49</v>
      </c>
      <c r="C26" s="4" t="s">
        <v>223</v>
      </c>
      <c r="D26" s="4" t="s">
        <v>221</v>
      </c>
      <c r="E26" s="4" t="s">
        <v>100</v>
      </c>
      <c r="F26" s="4" t="s">
        <v>120</v>
      </c>
      <c r="G26" s="5">
        <v>50</v>
      </c>
      <c r="H26" s="6">
        <v>32435</v>
      </c>
      <c r="I26" s="7">
        <v>9000</v>
      </c>
      <c r="J26" s="23">
        <v>755</v>
      </c>
      <c r="L26" s="2"/>
      <c r="M26" s="8"/>
      <c r="N26" s="9"/>
      <c r="O26" s="9"/>
      <c r="P26" s="9"/>
      <c r="R26" s="10"/>
    </row>
    <row r="27" spans="2:18">
      <c r="B27" s="22">
        <v>54</v>
      </c>
      <c r="C27" s="4" t="s">
        <v>215</v>
      </c>
      <c r="D27" s="4" t="s">
        <v>216</v>
      </c>
      <c r="E27" s="4" t="s">
        <v>97</v>
      </c>
      <c r="F27" s="4" t="s">
        <v>120</v>
      </c>
      <c r="G27" s="5">
        <v>20</v>
      </c>
      <c r="H27" s="6">
        <v>31637</v>
      </c>
      <c r="I27" s="7">
        <v>6000</v>
      </c>
      <c r="J27" s="23">
        <v>1125</v>
      </c>
      <c r="L27" s="2"/>
      <c r="M27" s="8"/>
      <c r="N27" s="11"/>
      <c r="O27" s="11"/>
      <c r="P27" s="11"/>
      <c r="R27" s="10"/>
    </row>
    <row r="28" spans="2:18">
      <c r="B28" s="22">
        <v>65</v>
      </c>
      <c r="C28" s="4" t="s">
        <v>210</v>
      </c>
      <c r="D28" s="4" t="s">
        <v>211</v>
      </c>
      <c r="E28" s="4" t="s">
        <v>97</v>
      </c>
      <c r="F28" s="4" t="s">
        <v>120</v>
      </c>
      <c r="G28" s="5">
        <v>20</v>
      </c>
      <c r="H28" s="6">
        <v>32605</v>
      </c>
      <c r="I28" s="7">
        <v>9900</v>
      </c>
      <c r="J28" s="23">
        <v>4890</v>
      </c>
      <c r="L28" s="2"/>
      <c r="M28" s="8"/>
      <c r="N28" s="9"/>
      <c r="O28" s="9"/>
      <c r="P28" s="9"/>
      <c r="R28" s="10"/>
    </row>
    <row r="29" spans="2:18">
      <c r="B29" s="22">
        <v>72</v>
      </c>
      <c r="C29" s="4" t="s">
        <v>274</v>
      </c>
      <c r="D29" s="4" t="s">
        <v>273</v>
      </c>
      <c r="E29" s="4" t="s">
        <v>115</v>
      </c>
      <c r="F29" s="4" t="s">
        <v>120</v>
      </c>
      <c r="G29" s="5">
        <v>60</v>
      </c>
      <c r="H29" s="6">
        <v>32435</v>
      </c>
      <c r="I29" s="7">
        <v>9000</v>
      </c>
      <c r="J29" s="23">
        <v>1990</v>
      </c>
      <c r="L29" s="2"/>
      <c r="M29" s="8"/>
      <c r="N29" s="9"/>
      <c r="O29" s="9"/>
      <c r="P29" s="9"/>
      <c r="R29" s="10"/>
    </row>
    <row r="30" spans="2:18">
      <c r="B30" s="22">
        <v>2</v>
      </c>
      <c r="C30" s="4" t="s">
        <v>169</v>
      </c>
      <c r="D30" s="4" t="s">
        <v>170</v>
      </c>
      <c r="E30" s="4" t="s">
        <v>115</v>
      </c>
      <c r="F30" s="4" t="s">
        <v>94</v>
      </c>
      <c r="G30" s="5">
        <v>60</v>
      </c>
      <c r="H30" s="6">
        <v>32435</v>
      </c>
      <c r="I30" s="7">
        <v>8100</v>
      </c>
      <c r="J30" s="23">
        <v>1985</v>
      </c>
      <c r="L30" s="2"/>
      <c r="M30" s="8"/>
      <c r="N30" s="9"/>
      <c r="O30" s="9"/>
      <c r="P30" s="9"/>
      <c r="R30" s="10"/>
    </row>
    <row r="31" spans="2:18">
      <c r="B31" s="22">
        <v>6</v>
      </c>
      <c r="C31" s="4" t="s">
        <v>91</v>
      </c>
      <c r="D31" s="4" t="s">
        <v>92</v>
      </c>
      <c r="E31" s="4" t="s">
        <v>93</v>
      </c>
      <c r="F31" s="4" t="s">
        <v>94</v>
      </c>
      <c r="G31" s="5">
        <v>70</v>
      </c>
      <c r="H31" s="6">
        <v>32106</v>
      </c>
      <c r="I31" s="7">
        <v>11000</v>
      </c>
      <c r="J31" s="23">
        <v>3910</v>
      </c>
      <c r="L31" s="2"/>
      <c r="M31" s="8"/>
      <c r="N31" s="9"/>
      <c r="O31" s="9"/>
      <c r="P31" s="9"/>
      <c r="R31" s="10"/>
    </row>
    <row r="32" spans="2:18">
      <c r="B32" s="22">
        <v>8</v>
      </c>
      <c r="C32" s="4" t="s">
        <v>106</v>
      </c>
      <c r="D32" s="4" t="s">
        <v>105</v>
      </c>
      <c r="E32" s="4" t="s">
        <v>76</v>
      </c>
      <c r="F32" s="4" t="s">
        <v>94</v>
      </c>
      <c r="G32" s="5">
        <v>10</v>
      </c>
      <c r="H32" s="6">
        <v>32107</v>
      </c>
      <c r="I32" s="7">
        <v>11000</v>
      </c>
      <c r="J32" s="23">
        <v>895</v>
      </c>
      <c r="L32" s="2"/>
      <c r="M32" s="8"/>
      <c r="N32" s="9"/>
      <c r="O32" s="9"/>
      <c r="P32" s="9"/>
      <c r="R32" s="10"/>
    </row>
    <row r="33" spans="2:18">
      <c r="B33" s="22">
        <v>12</v>
      </c>
      <c r="C33" s="4" t="s">
        <v>264</v>
      </c>
      <c r="D33" s="4" t="s">
        <v>265</v>
      </c>
      <c r="E33" s="4" t="s">
        <v>100</v>
      </c>
      <c r="F33" s="4" t="s">
        <v>94</v>
      </c>
      <c r="G33" s="5">
        <v>50</v>
      </c>
      <c r="H33" s="6">
        <v>32609</v>
      </c>
      <c r="I33" s="7">
        <v>9900</v>
      </c>
      <c r="J33" s="23">
        <v>1125</v>
      </c>
      <c r="L33" s="2"/>
      <c r="M33" s="8"/>
      <c r="N33" s="9"/>
      <c r="O33" s="9"/>
      <c r="P33" s="9"/>
      <c r="R33" s="10"/>
    </row>
    <row r="34" spans="2:18">
      <c r="B34" s="22">
        <v>14</v>
      </c>
      <c r="C34" s="4" t="s">
        <v>244</v>
      </c>
      <c r="D34" s="4" t="s">
        <v>245</v>
      </c>
      <c r="E34" s="4" t="s">
        <v>97</v>
      </c>
      <c r="F34" s="4" t="s">
        <v>94</v>
      </c>
      <c r="G34" s="5">
        <v>20</v>
      </c>
      <c r="H34" s="6">
        <v>32446</v>
      </c>
      <c r="I34" s="7">
        <v>10000</v>
      </c>
      <c r="J34" s="23">
        <v>1290</v>
      </c>
      <c r="L34" s="2"/>
      <c r="M34" s="8"/>
      <c r="N34" s="9"/>
      <c r="O34" s="9"/>
      <c r="P34" s="9"/>
      <c r="R34" s="10"/>
    </row>
    <row r="35" spans="2:18">
      <c r="B35" s="22">
        <v>17</v>
      </c>
      <c r="C35" s="4" t="s">
        <v>179</v>
      </c>
      <c r="D35" s="4" t="s">
        <v>180</v>
      </c>
      <c r="E35" s="4" t="s">
        <v>93</v>
      </c>
      <c r="F35" s="4" t="s">
        <v>98</v>
      </c>
      <c r="G35" s="5">
        <v>70</v>
      </c>
      <c r="H35" s="6">
        <v>31791</v>
      </c>
      <c r="I35" s="7">
        <v>11000</v>
      </c>
      <c r="J35" s="23">
        <v>3735</v>
      </c>
      <c r="L35" s="2"/>
      <c r="M35" s="8"/>
      <c r="N35" s="9"/>
      <c r="O35" s="9"/>
      <c r="P35" s="9"/>
      <c r="R35" s="10"/>
    </row>
    <row r="36" spans="2:18">
      <c r="B36" s="22">
        <v>18</v>
      </c>
      <c r="C36" s="4" t="s">
        <v>140</v>
      </c>
      <c r="D36" s="4" t="s">
        <v>141</v>
      </c>
      <c r="E36" s="4" t="s">
        <v>125</v>
      </c>
      <c r="F36" s="4" t="s">
        <v>94</v>
      </c>
      <c r="G36" s="5">
        <v>30</v>
      </c>
      <c r="H36" s="6">
        <v>32443</v>
      </c>
      <c r="I36" s="7">
        <v>10000</v>
      </c>
      <c r="J36" s="23">
        <v>2390</v>
      </c>
      <c r="L36" s="2"/>
      <c r="M36" s="8"/>
      <c r="N36" s="9"/>
      <c r="O36" s="9"/>
      <c r="P36" s="9"/>
      <c r="R36" s="10"/>
    </row>
    <row r="37" spans="2:18">
      <c r="B37" s="22">
        <v>20</v>
      </c>
      <c r="C37" s="4" t="s">
        <v>262</v>
      </c>
      <c r="D37" s="4" t="s">
        <v>263</v>
      </c>
      <c r="E37" s="4" t="s">
        <v>97</v>
      </c>
      <c r="F37" s="4" t="s">
        <v>98</v>
      </c>
      <c r="G37" s="5">
        <v>20</v>
      </c>
      <c r="H37" s="6">
        <v>32105</v>
      </c>
      <c r="I37" s="7">
        <v>11000</v>
      </c>
      <c r="J37" s="23">
        <v>385</v>
      </c>
      <c r="L37" s="2"/>
      <c r="M37" s="8"/>
      <c r="N37" s="9"/>
      <c r="O37" s="9"/>
      <c r="P37" s="9"/>
      <c r="R37" s="10"/>
    </row>
    <row r="38" spans="2:18">
      <c r="B38" s="22">
        <v>23</v>
      </c>
      <c r="C38" s="4" t="s">
        <v>107</v>
      </c>
      <c r="D38" s="4" t="s">
        <v>105</v>
      </c>
      <c r="E38" s="4" t="s">
        <v>76</v>
      </c>
      <c r="F38" s="4" t="s">
        <v>98</v>
      </c>
      <c r="G38" s="5">
        <v>10</v>
      </c>
      <c r="H38" s="6">
        <v>32604</v>
      </c>
      <c r="I38" s="7">
        <v>9900</v>
      </c>
      <c r="J38" s="23">
        <v>1100</v>
      </c>
      <c r="L38" s="2"/>
      <c r="M38" s="8"/>
      <c r="N38" s="9"/>
      <c r="O38" s="9"/>
      <c r="P38" s="9"/>
      <c r="R38" s="10"/>
    </row>
    <row r="39" spans="2:18">
      <c r="B39" s="22">
        <v>24</v>
      </c>
      <c r="C39" s="4" t="s">
        <v>240</v>
      </c>
      <c r="D39" s="4" t="s">
        <v>241</v>
      </c>
      <c r="E39" s="4" t="s">
        <v>100</v>
      </c>
      <c r="F39" s="4" t="s">
        <v>94</v>
      </c>
      <c r="G39" s="5">
        <v>50</v>
      </c>
      <c r="H39" s="6">
        <v>32437</v>
      </c>
      <c r="I39" s="7">
        <v>11000</v>
      </c>
      <c r="J39" s="23">
        <v>4135</v>
      </c>
      <c r="L39" s="2"/>
      <c r="M39" s="8"/>
      <c r="N39" s="9"/>
      <c r="O39" s="9"/>
      <c r="P39" s="9"/>
      <c r="R39" s="10"/>
    </row>
    <row r="40" spans="2:18">
      <c r="B40" s="22">
        <v>31</v>
      </c>
      <c r="C40" s="4" t="s">
        <v>95</v>
      </c>
      <c r="D40" s="4" t="s">
        <v>96</v>
      </c>
      <c r="E40" s="4" t="s">
        <v>97</v>
      </c>
      <c r="F40" s="4" t="s">
        <v>98</v>
      </c>
      <c r="G40" s="5">
        <v>20</v>
      </c>
      <c r="H40" s="6">
        <v>32606</v>
      </c>
      <c r="I40" s="7">
        <v>9900</v>
      </c>
      <c r="J40" s="23">
        <v>3825</v>
      </c>
      <c r="L40" s="2"/>
      <c r="M40" s="8"/>
      <c r="N40" s="9"/>
      <c r="O40" s="9"/>
      <c r="P40" s="9"/>
      <c r="R40" s="10"/>
    </row>
    <row r="41" spans="2:18">
      <c r="B41" s="22">
        <v>33</v>
      </c>
      <c r="C41" s="4" t="s">
        <v>123</v>
      </c>
      <c r="D41" s="4" t="s">
        <v>124</v>
      </c>
      <c r="E41" s="4" t="s">
        <v>125</v>
      </c>
      <c r="F41" s="4" t="s">
        <v>103</v>
      </c>
      <c r="G41" s="5">
        <v>30</v>
      </c>
      <c r="H41" s="6">
        <v>32448</v>
      </c>
      <c r="I41" s="7">
        <v>10000</v>
      </c>
      <c r="J41" s="23">
        <v>2835</v>
      </c>
      <c r="L41" s="2"/>
      <c r="M41" s="8"/>
      <c r="N41" s="9"/>
      <c r="O41" s="9"/>
      <c r="P41" s="9"/>
      <c r="R41" s="10"/>
    </row>
    <row r="42" spans="2:18">
      <c r="B42" s="22">
        <v>39</v>
      </c>
      <c r="C42" s="4" t="s">
        <v>163</v>
      </c>
      <c r="D42" s="4" t="s">
        <v>164</v>
      </c>
      <c r="E42" s="4" t="s">
        <v>100</v>
      </c>
      <c r="F42" s="4" t="s">
        <v>103</v>
      </c>
      <c r="G42" s="5">
        <v>50</v>
      </c>
      <c r="H42" s="6">
        <v>31717</v>
      </c>
      <c r="I42" s="7">
        <v>9000</v>
      </c>
      <c r="J42" s="23">
        <v>3780</v>
      </c>
      <c r="L42" s="2"/>
      <c r="M42" s="8"/>
      <c r="N42" s="9"/>
      <c r="O42" s="9"/>
      <c r="P42" s="9"/>
      <c r="R42" s="10"/>
    </row>
    <row r="43" spans="2:18">
      <c r="B43" s="22">
        <v>40</v>
      </c>
      <c r="C43" s="4" t="s">
        <v>132</v>
      </c>
      <c r="D43" s="4" t="s">
        <v>133</v>
      </c>
      <c r="E43" s="4" t="s">
        <v>100</v>
      </c>
      <c r="F43" s="4" t="s">
        <v>94</v>
      </c>
      <c r="G43" s="5">
        <v>50</v>
      </c>
      <c r="H43" s="6">
        <v>32439</v>
      </c>
      <c r="I43" s="7">
        <v>10000</v>
      </c>
      <c r="J43" s="23">
        <v>4375</v>
      </c>
      <c r="L43" s="2"/>
      <c r="M43" s="8"/>
      <c r="N43" s="9"/>
      <c r="O43" s="9"/>
      <c r="P43" s="9"/>
      <c r="R43" s="10"/>
    </row>
    <row r="44" spans="2:18">
      <c r="B44" s="22">
        <v>43</v>
      </c>
      <c r="C44" s="4" t="s">
        <v>248</v>
      </c>
      <c r="D44" s="4" t="s">
        <v>249</v>
      </c>
      <c r="E44" s="4" t="s">
        <v>76</v>
      </c>
      <c r="F44" s="4" t="s">
        <v>94</v>
      </c>
      <c r="G44" s="5">
        <v>10</v>
      </c>
      <c r="H44" s="6">
        <v>32436</v>
      </c>
      <c r="I44" s="7">
        <v>9000</v>
      </c>
      <c r="J44" s="23">
        <v>1525</v>
      </c>
      <c r="L44" s="2"/>
      <c r="M44" s="8"/>
      <c r="N44" s="11"/>
      <c r="O44" s="11"/>
      <c r="P44" s="11"/>
      <c r="R44" s="10"/>
    </row>
    <row r="45" spans="2:18">
      <c r="B45" s="22">
        <v>51</v>
      </c>
      <c r="C45" s="4" t="s">
        <v>183</v>
      </c>
      <c r="D45" s="4" t="s">
        <v>184</v>
      </c>
      <c r="E45" s="4" t="s">
        <v>76</v>
      </c>
      <c r="F45" s="4" t="s">
        <v>103</v>
      </c>
      <c r="G45" s="5">
        <v>10</v>
      </c>
      <c r="H45" s="6">
        <v>32440</v>
      </c>
      <c r="I45" s="7">
        <v>10000</v>
      </c>
      <c r="J45" s="23">
        <v>1015</v>
      </c>
      <c r="L45" s="2"/>
      <c r="M45" s="8"/>
      <c r="N45" s="9"/>
      <c r="P45" s="9"/>
      <c r="R45" s="10"/>
    </row>
    <row r="46" spans="2:18">
      <c r="B46" s="22">
        <v>53</v>
      </c>
      <c r="C46" s="4" t="s">
        <v>145</v>
      </c>
      <c r="D46" s="4" t="s">
        <v>141</v>
      </c>
      <c r="E46" s="4" t="s">
        <v>115</v>
      </c>
      <c r="F46" s="4" t="s">
        <v>94</v>
      </c>
      <c r="G46" s="5">
        <v>60</v>
      </c>
      <c r="H46" s="6">
        <v>32443</v>
      </c>
      <c r="I46" s="7">
        <v>10000</v>
      </c>
      <c r="J46" s="23">
        <v>3620</v>
      </c>
      <c r="L46" s="2"/>
      <c r="M46" s="8"/>
      <c r="N46" s="9"/>
      <c r="O46" s="9"/>
      <c r="P46" s="9"/>
      <c r="R46" s="10"/>
    </row>
    <row r="47" spans="2:18">
      <c r="B47" s="22">
        <v>55</v>
      </c>
      <c r="C47" s="4" t="s">
        <v>116</v>
      </c>
      <c r="D47" s="4" t="s">
        <v>117</v>
      </c>
      <c r="E47" s="4" t="s">
        <v>97</v>
      </c>
      <c r="F47" s="4" t="s">
        <v>103</v>
      </c>
      <c r="G47" s="5">
        <v>20</v>
      </c>
      <c r="H47" s="6">
        <v>32603</v>
      </c>
      <c r="I47" s="7">
        <v>9900</v>
      </c>
      <c r="J47" s="23">
        <v>235</v>
      </c>
      <c r="L47" s="2"/>
      <c r="M47" s="8"/>
      <c r="N47" s="9"/>
      <c r="O47" s="9"/>
      <c r="P47" s="9"/>
      <c r="R47" s="10"/>
    </row>
    <row r="48" spans="2:18">
      <c r="B48" s="22">
        <v>57</v>
      </c>
      <c r="C48" s="4" t="s">
        <v>114</v>
      </c>
      <c r="D48" s="4" t="s">
        <v>113</v>
      </c>
      <c r="E48" s="4" t="s">
        <v>115</v>
      </c>
      <c r="F48" s="4" t="s">
        <v>103</v>
      </c>
      <c r="G48" s="5">
        <v>60</v>
      </c>
      <c r="H48" s="6">
        <v>32435</v>
      </c>
      <c r="I48" s="7">
        <v>9000</v>
      </c>
      <c r="J48" s="23">
        <v>4265</v>
      </c>
      <c r="L48" s="2"/>
      <c r="M48" s="8"/>
      <c r="N48" s="9"/>
      <c r="O48" s="9"/>
      <c r="P48" s="9"/>
      <c r="R48" s="10"/>
    </row>
    <row r="49" spans="2:18">
      <c r="B49" s="22">
        <v>64</v>
      </c>
      <c r="C49" s="4" t="s">
        <v>161</v>
      </c>
      <c r="D49" s="4" t="s">
        <v>162</v>
      </c>
      <c r="E49" s="4" t="s">
        <v>125</v>
      </c>
      <c r="F49" s="4" t="s">
        <v>98</v>
      </c>
      <c r="G49" s="5">
        <v>30</v>
      </c>
      <c r="H49" s="6">
        <v>32608</v>
      </c>
      <c r="I49" s="7">
        <v>9900</v>
      </c>
      <c r="J49" s="23">
        <v>4910</v>
      </c>
      <c r="L49" s="2"/>
      <c r="M49" s="8"/>
      <c r="N49" s="9"/>
      <c r="O49" s="9"/>
      <c r="P49" s="9"/>
      <c r="R49" s="10"/>
    </row>
    <row r="50" spans="2:18">
      <c r="B50" s="22">
        <v>67</v>
      </c>
      <c r="C50" s="4" t="s">
        <v>208</v>
      </c>
      <c r="D50" s="4" t="s">
        <v>209</v>
      </c>
      <c r="E50" s="4" t="s">
        <v>100</v>
      </c>
      <c r="F50" s="4" t="s">
        <v>98</v>
      </c>
      <c r="G50" s="5">
        <v>50</v>
      </c>
      <c r="H50" s="6">
        <v>32435</v>
      </c>
      <c r="I50" s="7">
        <v>9000</v>
      </c>
      <c r="J50" s="23">
        <v>605</v>
      </c>
      <c r="L50" s="2"/>
      <c r="M50" s="8"/>
      <c r="N50" s="9"/>
      <c r="O50" s="9"/>
      <c r="P50" s="9"/>
      <c r="R50" s="10"/>
    </row>
    <row r="51" spans="2:18">
      <c r="B51" s="22">
        <v>74</v>
      </c>
      <c r="C51" s="4" t="s">
        <v>268</v>
      </c>
      <c r="D51" s="4" t="s">
        <v>269</v>
      </c>
      <c r="E51" s="4" t="s">
        <v>97</v>
      </c>
      <c r="F51" s="4" t="s">
        <v>94</v>
      </c>
      <c r="G51" s="5">
        <v>20</v>
      </c>
      <c r="H51" s="6">
        <v>32445</v>
      </c>
      <c r="I51" s="7">
        <v>10000</v>
      </c>
      <c r="J51" s="23">
        <v>3405</v>
      </c>
      <c r="L51" s="2"/>
      <c r="M51" s="8"/>
      <c r="N51" s="9"/>
      <c r="O51" s="9"/>
      <c r="P51" s="9"/>
      <c r="R51" s="10"/>
    </row>
    <row r="52" spans="2:18">
      <c r="B52" s="22">
        <v>76</v>
      </c>
      <c r="C52" s="4" t="s">
        <v>165</v>
      </c>
      <c r="D52" s="4" t="s">
        <v>166</v>
      </c>
      <c r="E52" s="4" t="s">
        <v>125</v>
      </c>
      <c r="F52" s="4" t="s">
        <v>94</v>
      </c>
      <c r="G52" s="5">
        <v>30</v>
      </c>
      <c r="H52" s="6">
        <v>32755</v>
      </c>
      <c r="I52" s="7">
        <v>12000</v>
      </c>
      <c r="J52" s="23">
        <v>2020</v>
      </c>
      <c r="L52" s="2"/>
      <c r="M52" s="8"/>
      <c r="N52" s="9"/>
      <c r="O52" s="9"/>
      <c r="P52" s="9"/>
      <c r="R52" s="10"/>
    </row>
    <row r="53" spans="2:18">
      <c r="B53" s="22">
        <v>85</v>
      </c>
      <c r="C53" s="4" t="s">
        <v>203</v>
      </c>
      <c r="D53" s="4" t="s">
        <v>204</v>
      </c>
      <c r="E53" s="4" t="s">
        <v>143</v>
      </c>
      <c r="F53" s="4" t="s">
        <v>103</v>
      </c>
      <c r="G53" s="5">
        <v>40</v>
      </c>
      <c r="H53" s="6">
        <v>31402</v>
      </c>
      <c r="I53" s="7">
        <v>8500</v>
      </c>
      <c r="J53" s="23">
        <v>755</v>
      </c>
      <c r="L53" s="2"/>
      <c r="M53" s="8"/>
      <c r="N53" s="9"/>
      <c r="O53" s="9"/>
      <c r="P53" s="9"/>
      <c r="R53" s="10"/>
    </row>
    <row r="54" spans="2:18">
      <c r="B54" s="22">
        <v>87</v>
      </c>
      <c r="C54" s="4" t="s">
        <v>153</v>
      </c>
      <c r="D54" s="4" t="s">
        <v>154</v>
      </c>
      <c r="E54" s="4" t="s">
        <v>93</v>
      </c>
      <c r="F54" s="4" t="s">
        <v>103</v>
      </c>
      <c r="G54" s="5">
        <v>70</v>
      </c>
      <c r="H54" s="6">
        <v>32441</v>
      </c>
      <c r="I54" s="7">
        <v>10000</v>
      </c>
      <c r="J54" s="23">
        <v>2655</v>
      </c>
      <c r="L54" s="2"/>
      <c r="M54" s="8"/>
      <c r="N54" s="9"/>
      <c r="O54" s="9"/>
      <c r="P54" s="9"/>
      <c r="R54" s="10"/>
    </row>
    <row r="55" spans="2:18">
      <c r="B55" s="22">
        <v>90</v>
      </c>
      <c r="C55" s="4" t="s">
        <v>171</v>
      </c>
      <c r="D55" s="4" t="s">
        <v>172</v>
      </c>
      <c r="E55" s="4" t="s">
        <v>100</v>
      </c>
      <c r="F55" s="4" t="s">
        <v>98</v>
      </c>
      <c r="G55" s="5">
        <v>50</v>
      </c>
      <c r="H55" s="6">
        <v>32447</v>
      </c>
      <c r="I55" s="7">
        <v>10000</v>
      </c>
      <c r="J55" s="23">
        <v>3235</v>
      </c>
      <c r="L55" s="2"/>
      <c r="M55" s="8"/>
      <c r="N55" s="9"/>
      <c r="O55" s="9"/>
      <c r="P55" s="9"/>
      <c r="R55" s="10"/>
    </row>
    <row r="56" spans="2:18">
      <c r="B56" s="22">
        <v>92</v>
      </c>
      <c r="C56" s="4" t="s">
        <v>261</v>
      </c>
      <c r="D56" s="4" t="s">
        <v>259</v>
      </c>
      <c r="E56" s="4" t="s">
        <v>100</v>
      </c>
      <c r="F56" s="4" t="s">
        <v>103</v>
      </c>
      <c r="G56" s="5">
        <v>50</v>
      </c>
      <c r="H56" s="6">
        <v>32442</v>
      </c>
      <c r="I56" s="7">
        <v>10000</v>
      </c>
      <c r="J56" s="23">
        <v>1390</v>
      </c>
      <c r="L56" s="2"/>
      <c r="M56" s="8"/>
      <c r="N56" s="9"/>
      <c r="O56" s="9"/>
      <c r="P56" s="9"/>
      <c r="R56" s="10"/>
    </row>
    <row r="57" spans="2:18">
      <c r="B57" s="22">
        <v>93</v>
      </c>
      <c r="C57" s="4" t="s">
        <v>194</v>
      </c>
      <c r="D57" s="4" t="s">
        <v>193</v>
      </c>
      <c r="E57" s="4" t="s">
        <v>115</v>
      </c>
      <c r="F57" s="4" t="s">
        <v>94</v>
      </c>
      <c r="G57" s="5">
        <v>60</v>
      </c>
      <c r="H57" s="6">
        <v>32444</v>
      </c>
      <c r="I57" s="7">
        <v>11500</v>
      </c>
      <c r="J57" s="23">
        <v>4700</v>
      </c>
      <c r="L57" s="2"/>
      <c r="M57" s="8"/>
      <c r="N57" s="9"/>
      <c r="O57" s="9"/>
      <c r="P57" s="9"/>
      <c r="R57" s="10"/>
    </row>
    <row r="58" spans="2:18">
      <c r="B58" s="22">
        <v>94</v>
      </c>
      <c r="C58" s="4" t="s">
        <v>175</v>
      </c>
      <c r="D58" s="4" t="s">
        <v>176</v>
      </c>
      <c r="E58" s="4" t="s">
        <v>115</v>
      </c>
      <c r="F58" s="4" t="s">
        <v>98</v>
      </c>
      <c r="G58" s="5">
        <v>60</v>
      </c>
      <c r="H58" s="6">
        <v>32441</v>
      </c>
      <c r="I58" s="7">
        <v>10000</v>
      </c>
      <c r="J58" s="23">
        <v>925</v>
      </c>
      <c r="L58" s="2"/>
      <c r="M58" s="8"/>
      <c r="N58" s="9"/>
      <c r="O58" s="9"/>
      <c r="P58" s="9"/>
      <c r="R58" s="10"/>
    </row>
    <row r="59" spans="2:18">
      <c r="B59" s="22">
        <v>95</v>
      </c>
      <c r="C59" s="4" t="s">
        <v>225</v>
      </c>
      <c r="D59" s="4" t="s">
        <v>221</v>
      </c>
      <c r="E59" s="4" t="s">
        <v>93</v>
      </c>
      <c r="F59" s="4" t="s">
        <v>94</v>
      </c>
      <c r="G59" s="5">
        <v>70</v>
      </c>
      <c r="H59" s="6">
        <v>32180</v>
      </c>
      <c r="I59" s="7">
        <v>9000</v>
      </c>
      <c r="J59" s="23">
        <v>785</v>
      </c>
      <c r="L59" s="2"/>
      <c r="M59" s="8"/>
      <c r="N59" s="9"/>
      <c r="O59" s="9"/>
      <c r="P59" s="9"/>
      <c r="R59" s="10"/>
    </row>
    <row r="60" spans="2:18">
      <c r="B60" s="22">
        <v>98</v>
      </c>
      <c r="C60" s="4" t="s">
        <v>136</v>
      </c>
      <c r="D60" s="4" t="s">
        <v>135</v>
      </c>
      <c r="E60" s="4" t="s">
        <v>125</v>
      </c>
      <c r="F60" s="4" t="s">
        <v>94</v>
      </c>
      <c r="G60" s="5">
        <v>30</v>
      </c>
      <c r="H60" s="6">
        <v>32440</v>
      </c>
      <c r="I60" s="7">
        <v>10000</v>
      </c>
      <c r="J60" s="23">
        <v>2435</v>
      </c>
      <c r="L60" s="2"/>
      <c r="M60" s="8"/>
      <c r="N60" s="9"/>
      <c r="O60" s="9"/>
      <c r="P60" s="9"/>
      <c r="R60" s="10"/>
    </row>
    <row r="61" spans="2:18">
      <c r="B61" s="22">
        <v>99</v>
      </c>
      <c r="C61" s="4" t="s">
        <v>236</v>
      </c>
      <c r="D61" s="4" t="s">
        <v>235</v>
      </c>
      <c r="E61" s="4" t="s">
        <v>125</v>
      </c>
      <c r="F61" s="4" t="s">
        <v>98</v>
      </c>
      <c r="G61" s="5">
        <v>30</v>
      </c>
      <c r="H61" s="6">
        <v>32438</v>
      </c>
      <c r="I61" s="7">
        <v>10000</v>
      </c>
      <c r="J61" s="23">
        <v>2460</v>
      </c>
      <c r="L61" s="2"/>
      <c r="M61" s="8"/>
      <c r="N61" s="9"/>
      <c r="O61" s="9"/>
      <c r="P61" s="9"/>
      <c r="R61" s="10"/>
    </row>
    <row r="62" spans="2:18">
      <c r="B62" s="22">
        <v>77</v>
      </c>
      <c r="C62" s="4" t="s">
        <v>219</v>
      </c>
      <c r="D62" s="4" t="s">
        <v>218</v>
      </c>
      <c r="E62" s="4" t="s">
        <v>115</v>
      </c>
      <c r="F62" s="4" t="s">
        <v>120</v>
      </c>
      <c r="G62" s="5">
        <v>60</v>
      </c>
      <c r="H62" s="6">
        <v>33194</v>
      </c>
      <c r="I62" s="7">
        <v>7900</v>
      </c>
      <c r="J62" s="23">
        <v>505</v>
      </c>
      <c r="L62" s="2"/>
      <c r="M62" s="8"/>
      <c r="N62" s="9"/>
      <c r="O62" s="9"/>
      <c r="P62" s="9"/>
      <c r="R62" s="10"/>
    </row>
    <row r="63" spans="2:18">
      <c r="B63" s="22">
        <v>25</v>
      </c>
      <c r="C63" s="4" t="s">
        <v>142</v>
      </c>
      <c r="D63" s="4" t="s">
        <v>141</v>
      </c>
      <c r="E63" s="4" t="s">
        <v>143</v>
      </c>
      <c r="F63" s="4" t="s">
        <v>120</v>
      </c>
      <c r="G63" s="5">
        <v>40</v>
      </c>
      <c r="H63" s="6">
        <v>35794</v>
      </c>
      <c r="I63" s="7">
        <v>6000</v>
      </c>
      <c r="J63" s="23">
        <v>370</v>
      </c>
      <c r="L63" s="2"/>
      <c r="M63" s="8"/>
      <c r="N63" s="9"/>
      <c r="O63" s="9"/>
      <c r="P63" s="9"/>
      <c r="R63" s="10"/>
    </row>
    <row r="64" spans="2:18">
      <c r="B64" s="22">
        <v>26</v>
      </c>
      <c r="C64" s="4" t="s">
        <v>212</v>
      </c>
      <c r="D64" s="4" t="s">
        <v>213</v>
      </c>
      <c r="E64" s="4" t="s">
        <v>125</v>
      </c>
      <c r="F64" s="4" t="s">
        <v>120</v>
      </c>
      <c r="G64" s="5">
        <v>30</v>
      </c>
      <c r="H64" s="6">
        <v>36274</v>
      </c>
      <c r="I64" s="7">
        <v>4500</v>
      </c>
      <c r="J64" s="23">
        <v>380</v>
      </c>
      <c r="L64" s="2"/>
      <c r="M64" s="8"/>
      <c r="N64" s="9"/>
      <c r="O64" s="9"/>
      <c r="P64" s="9"/>
      <c r="R64" s="10"/>
    </row>
    <row r="65" spans="2:18">
      <c r="B65" s="22">
        <v>32</v>
      </c>
      <c r="C65" s="4" t="s">
        <v>228</v>
      </c>
      <c r="D65" s="4" t="s">
        <v>229</v>
      </c>
      <c r="E65" s="4" t="s">
        <v>76</v>
      </c>
      <c r="F65" s="4" t="s">
        <v>120</v>
      </c>
      <c r="G65" s="5">
        <v>10</v>
      </c>
      <c r="H65" s="6">
        <v>33878</v>
      </c>
      <c r="I65" s="7">
        <v>8500</v>
      </c>
      <c r="J65" s="23">
        <v>4055</v>
      </c>
      <c r="L65" s="2"/>
      <c r="M65" s="8"/>
      <c r="N65" s="9"/>
      <c r="O65" s="9"/>
      <c r="P65" s="9"/>
      <c r="R65" s="10"/>
    </row>
    <row r="66" spans="2:18">
      <c r="B66" s="22">
        <v>46</v>
      </c>
      <c r="C66" s="4" t="s">
        <v>130</v>
      </c>
      <c r="D66" s="4" t="s">
        <v>131</v>
      </c>
      <c r="E66" s="4" t="s">
        <v>100</v>
      </c>
      <c r="F66" s="4" t="s">
        <v>120</v>
      </c>
      <c r="G66" s="5">
        <v>50</v>
      </c>
      <c r="H66" s="6">
        <v>35034</v>
      </c>
      <c r="I66" s="7">
        <v>9000</v>
      </c>
      <c r="J66" s="23">
        <v>780</v>
      </c>
      <c r="L66" s="2"/>
      <c r="M66" s="8"/>
      <c r="N66" s="9"/>
      <c r="O66" s="9"/>
      <c r="P66" s="9"/>
      <c r="R66" s="10"/>
    </row>
    <row r="67" spans="2:18">
      <c r="B67" s="22">
        <v>60</v>
      </c>
      <c r="C67" s="4" t="s">
        <v>188</v>
      </c>
      <c r="D67" s="4" t="s">
        <v>189</v>
      </c>
      <c r="E67" s="4" t="s">
        <v>76</v>
      </c>
      <c r="F67" s="4" t="s">
        <v>120</v>
      </c>
      <c r="G67" s="5">
        <v>10</v>
      </c>
      <c r="H67" s="6">
        <v>29362</v>
      </c>
      <c r="I67" s="7">
        <v>8500</v>
      </c>
      <c r="J67" s="23">
        <v>2395</v>
      </c>
      <c r="L67" s="2"/>
      <c r="M67" s="8"/>
      <c r="N67" s="9"/>
      <c r="O67" s="9"/>
      <c r="P67" s="9"/>
      <c r="R67" s="10"/>
    </row>
    <row r="68" spans="2:18">
      <c r="B68" s="22">
        <v>78</v>
      </c>
      <c r="C68" s="4" t="s">
        <v>134</v>
      </c>
      <c r="D68" s="4" t="s">
        <v>135</v>
      </c>
      <c r="E68" s="4" t="s">
        <v>97</v>
      </c>
      <c r="F68" s="4" t="s">
        <v>120</v>
      </c>
      <c r="G68" s="5">
        <v>20</v>
      </c>
      <c r="H68" s="6">
        <v>36319</v>
      </c>
      <c r="I68" s="7">
        <v>4500</v>
      </c>
      <c r="J68" s="23">
        <v>375</v>
      </c>
      <c r="L68" s="2"/>
      <c r="M68" s="8"/>
      <c r="N68" s="9"/>
      <c r="O68" s="9"/>
      <c r="P68" s="9"/>
      <c r="R68" s="10"/>
    </row>
    <row r="69" spans="2:18">
      <c r="B69" s="22">
        <v>81</v>
      </c>
      <c r="C69" s="4" t="s">
        <v>181</v>
      </c>
      <c r="D69" s="4" t="s">
        <v>205</v>
      </c>
      <c r="E69" s="4" t="s">
        <v>93</v>
      </c>
      <c r="F69" s="4" t="s">
        <v>120</v>
      </c>
      <c r="G69" s="5">
        <v>70</v>
      </c>
      <c r="H69" s="6">
        <v>30376</v>
      </c>
      <c r="I69" s="13">
        <v>12000</v>
      </c>
      <c r="J69" s="24">
        <v>865</v>
      </c>
      <c r="L69" s="2"/>
      <c r="M69" s="8"/>
      <c r="N69" s="9"/>
      <c r="O69" s="9"/>
      <c r="P69" s="9"/>
      <c r="R69" s="10"/>
    </row>
    <row r="70" spans="2:18">
      <c r="B70" s="22">
        <v>82</v>
      </c>
      <c r="C70" s="4" t="s">
        <v>181</v>
      </c>
      <c r="D70" s="4" t="s">
        <v>182</v>
      </c>
      <c r="E70" s="4" t="s">
        <v>143</v>
      </c>
      <c r="F70" s="4" t="s">
        <v>120</v>
      </c>
      <c r="G70" s="5">
        <v>40</v>
      </c>
      <c r="H70" s="6">
        <v>30225</v>
      </c>
      <c r="I70" s="7">
        <v>14000</v>
      </c>
      <c r="J70" s="23">
        <v>4865</v>
      </c>
      <c r="L70" s="2"/>
      <c r="M70" s="8"/>
      <c r="N70" s="9"/>
      <c r="O70" s="9"/>
      <c r="P70" s="9"/>
      <c r="R70" s="10"/>
    </row>
    <row r="71" spans="2:18">
      <c r="B71" s="22">
        <v>88</v>
      </c>
      <c r="C71" s="4" t="s">
        <v>238</v>
      </c>
      <c r="D71" s="4" t="s">
        <v>239</v>
      </c>
      <c r="E71" s="4" t="s">
        <v>125</v>
      </c>
      <c r="F71" s="4" t="s">
        <v>120</v>
      </c>
      <c r="G71" s="5">
        <v>30</v>
      </c>
      <c r="H71" s="6">
        <v>34763</v>
      </c>
      <c r="I71" s="7">
        <v>8000</v>
      </c>
      <c r="J71" s="23">
        <v>1625</v>
      </c>
      <c r="L71" s="2"/>
      <c r="M71" s="8"/>
      <c r="N71" s="9"/>
      <c r="O71" s="9"/>
      <c r="P71" s="9"/>
      <c r="R71" s="10"/>
    </row>
    <row r="72" spans="2:18">
      <c r="B72" s="22">
        <v>96</v>
      </c>
      <c r="C72" s="4" t="s">
        <v>118</v>
      </c>
      <c r="D72" s="4" t="s">
        <v>119</v>
      </c>
      <c r="E72" s="4" t="s">
        <v>97</v>
      </c>
      <c r="F72" s="4" t="s">
        <v>120</v>
      </c>
      <c r="G72" s="5">
        <v>20</v>
      </c>
      <c r="H72" s="6">
        <v>35794</v>
      </c>
      <c r="I72" s="7">
        <v>4500</v>
      </c>
      <c r="J72" s="23">
        <v>1100</v>
      </c>
      <c r="L72" s="2"/>
      <c r="M72" s="8"/>
      <c r="N72" s="9"/>
      <c r="P72" s="9"/>
      <c r="R72" s="10"/>
    </row>
    <row r="73" spans="2:18">
      <c r="B73" s="22">
        <v>16</v>
      </c>
      <c r="C73" s="4" t="s">
        <v>230</v>
      </c>
      <c r="D73" s="4" t="s">
        <v>231</v>
      </c>
      <c r="E73" s="4" t="s">
        <v>115</v>
      </c>
      <c r="F73" s="4" t="s">
        <v>103</v>
      </c>
      <c r="G73" s="5">
        <v>60</v>
      </c>
      <c r="H73" s="6">
        <v>33102</v>
      </c>
      <c r="I73" s="7">
        <v>7900</v>
      </c>
      <c r="J73" s="23">
        <v>2340</v>
      </c>
      <c r="L73" s="2"/>
      <c r="M73" s="8"/>
      <c r="N73" s="9"/>
      <c r="O73" s="9"/>
      <c r="P73" s="9"/>
      <c r="R73" s="10"/>
    </row>
    <row r="74" spans="2:18">
      <c r="B74" s="22">
        <v>44</v>
      </c>
      <c r="C74" s="4" t="s">
        <v>185</v>
      </c>
      <c r="D74" s="4" t="s">
        <v>186</v>
      </c>
      <c r="E74" s="4" t="s">
        <v>97</v>
      </c>
      <c r="F74" s="4" t="s">
        <v>94</v>
      </c>
      <c r="G74" s="5">
        <v>20</v>
      </c>
      <c r="H74" s="6">
        <v>33182</v>
      </c>
      <c r="I74" s="7">
        <v>10000</v>
      </c>
      <c r="J74" s="23">
        <v>2120</v>
      </c>
      <c r="L74" s="2"/>
      <c r="M74" s="8"/>
      <c r="N74" s="11"/>
      <c r="O74" s="11"/>
      <c r="P74" s="11"/>
      <c r="R74" s="10"/>
    </row>
    <row r="75" spans="2:18">
      <c r="B75" s="22">
        <v>1</v>
      </c>
      <c r="C75" s="4" t="s">
        <v>254</v>
      </c>
      <c r="D75" s="4" t="s">
        <v>255</v>
      </c>
      <c r="E75" s="4" t="s">
        <v>93</v>
      </c>
      <c r="F75" s="4" t="s">
        <v>103</v>
      </c>
      <c r="G75" s="5">
        <v>70</v>
      </c>
      <c r="H75" s="6">
        <v>30376</v>
      </c>
      <c r="I75" s="7">
        <v>9000</v>
      </c>
      <c r="J75" s="23">
        <v>4140</v>
      </c>
      <c r="L75" s="2"/>
      <c r="M75" s="8"/>
      <c r="N75" s="9"/>
      <c r="P75" s="9"/>
      <c r="R75" s="10"/>
    </row>
    <row r="76" spans="2:18">
      <c r="B76" s="22">
        <v>3</v>
      </c>
      <c r="C76" s="4" t="s">
        <v>104</v>
      </c>
      <c r="D76" s="4" t="s">
        <v>105</v>
      </c>
      <c r="E76" s="4" t="s">
        <v>93</v>
      </c>
      <c r="F76" s="4" t="s">
        <v>94</v>
      </c>
      <c r="G76" s="5">
        <v>70</v>
      </c>
      <c r="H76" s="6">
        <v>30376</v>
      </c>
      <c r="I76" s="7">
        <v>9000</v>
      </c>
      <c r="J76" s="23">
        <v>2290</v>
      </c>
      <c r="L76" s="2"/>
      <c r="M76" s="8"/>
      <c r="N76" s="9"/>
      <c r="O76" s="9"/>
      <c r="P76" s="9"/>
      <c r="R76" s="10"/>
    </row>
    <row r="77" spans="2:18">
      <c r="B77" s="22">
        <v>4</v>
      </c>
      <c r="C77" s="4" t="s">
        <v>246</v>
      </c>
      <c r="D77" s="4" t="s">
        <v>247</v>
      </c>
      <c r="E77" s="4" t="s">
        <v>97</v>
      </c>
      <c r="F77" s="4" t="s">
        <v>94</v>
      </c>
      <c r="G77" s="5">
        <v>20</v>
      </c>
      <c r="H77" s="6">
        <v>28326</v>
      </c>
      <c r="I77" s="7">
        <v>9000</v>
      </c>
      <c r="J77" s="23">
        <v>3660</v>
      </c>
      <c r="L77" s="2"/>
      <c r="M77" s="8"/>
      <c r="N77" s="9"/>
      <c r="O77" s="9"/>
      <c r="P77" s="9"/>
      <c r="R77" s="10"/>
    </row>
    <row r="78" spans="2:18">
      <c r="B78" s="22">
        <v>9</v>
      </c>
      <c r="C78" s="4" t="s">
        <v>137</v>
      </c>
      <c r="D78" s="4" t="s">
        <v>200</v>
      </c>
      <c r="E78" s="4" t="s">
        <v>97</v>
      </c>
      <c r="F78" s="4" t="s">
        <v>103</v>
      </c>
      <c r="G78" s="5">
        <v>20</v>
      </c>
      <c r="H78" s="6">
        <v>29183</v>
      </c>
      <c r="I78" s="7">
        <v>7000</v>
      </c>
      <c r="J78" s="23">
        <v>605</v>
      </c>
      <c r="L78" s="2"/>
      <c r="M78" s="8"/>
      <c r="N78" s="9"/>
      <c r="O78" s="9"/>
      <c r="P78" s="9"/>
      <c r="R78" s="10"/>
    </row>
    <row r="79" spans="2:18">
      <c r="B79" s="22">
        <v>11</v>
      </c>
      <c r="C79" s="4" t="s">
        <v>128</v>
      </c>
      <c r="D79" s="4" t="s">
        <v>129</v>
      </c>
      <c r="E79" s="4" t="s">
        <v>76</v>
      </c>
      <c r="F79" s="4" t="s">
        <v>98</v>
      </c>
      <c r="G79" s="5">
        <v>10</v>
      </c>
      <c r="H79" s="6">
        <v>30225</v>
      </c>
      <c r="I79" s="7">
        <v>11000</v>
      </c>
      <c r="J79" s="23">
        <v>2430</v>
      </c>
      <c r="L79" s="2"/>
      <c r="M79" s="8"/>
      <c r="N79" s="9"/>
      <c r="O79" s="9"/>
      <c r="P79" s="9"/>
      <c r="R79" s="10"/>
    </row>
    <row r="80" spans="2:18">
      <c r="B80" s="22">
        <v>13</v>
      </c>
      <c r="C80" s="4" t="s">
        <v>173</v>
      </c>
      <c r="D80" s="4" t="s">
        <v>174</v>
      </c>
      <c r="E80" s="4" t="s">
        <v>143</v>
      </c>
      <c r="F80" s="4" t="s">
        <v>98</v>
      </c>
      <c r="G80" s="5">
        <v>40</v>
      </c>
      <c r="H80" s="6">
        <v>30225</v>
      </c>
      <c r="I80" s="7">
        <v>14000</v>
      </c>
      <c r="J80" s="23">
        <v>3080</v>
      </c>
      <c r="L80" s="2"/>
      <c r="M80" s="8"/>
      <c r="N80" s="9"/>
      <c r="O80" s="9"/>
      <c r="P80" s="9"/>
      <c r="R80" s="10"/>
    </row>
    <row r="81" spans="2:18">
      <c r="B81" s="22">
        <v>21</v>
      </c>
      <c r="C81" s="4" t="s">
        <v>234</v>
      </c>
      <c r="D81" s="4" t="s">
        <v>235</v>
      </c>
      <c r="E81" s="4" t="s">
        <v>125</v>
      </c>
      <c r="F81" s="4" t="s">
        <v>103</v>
      </c>
      <c r="G81" s="5">
        <v>30</v>
      </c>
      <c r="H81" s="6">
        <v>30225</v>
      </c>
      <c r="I81" s="7">
        <v>9000</v>
      </c>
      <c r="J81" s="23">
        <v>90</v>
      </c>
      <c r="L81" s="2"/>
      <c r="M81" s="8"/>
      <c r="N81" s="9"/>
      <c r="O81" s="9"/>
      <c r="P81" s="9"/>
      <c r="R81" s="10"/>
    </row>
    <row r="82" spans="2:18">
      <c r="B82" s="22">
        <v>27</v>
      </c>
      <c r="C82" s="4" t="s">
        <v>272</v>
      </c>
      <c r="D82" s="4" t="s">
        <v>273</v>
      </c>
      <c r="E82" s="4" t="s">
        <v>76</v>
      </c>
      <c r="F82" s="4" t="s">
        <v>94</v>
      </c>
      <c r="G82" s="5">
        <v>10</v>
      </c>
      <c r="H82" s="6">
        <v>33510</v>
      </c>
      <c r="I82" s="7">
        <v>9000</v>
      </c>
      <c r="J82" s="23">
        <v>1725</v>
      </c>
      <c r="L82" s="2"/>
      <c r="M82" s="8"/>
      <c r="N82" s="9"/>
      <c r="O82" s="9"/>
      <c r="P82" s="9"/>
      <c r="R82" s="10"/>
    </row>
    <row r="83" spans="2:18">
      <c r="B83" s="22">
        <v>28</v>
      </c>
      <c r="C83" s="4" t="s">
        <v>108</v>
      </c>
      <c r="D83" s="4" t="s">
        <v>109</v>
      </c>
      <c r="E83" s="4" t="s">
        <v>97</v>
      </c>
      <c r="F83" s="4" t="s">
        <v>98</v>
      </c>
      <c r="G83" s="5">
        <v>20</v>
      </c>
      <c r="H83" s="6">
        <v>35811</v>
      </c>
      <c r="I83" s="7">
        <v>10000</v>
      </c>
      <c r="J83" s="23">
        <v>4245</v>
      </c>
      <c r="L83" s="2"/>
      <c r="M83" s="8"/>
      <c r="N83" s="9"/>
      <c r="O83" s="9"/>
      <c r="P83" s="9"/>
      <c r="R83" s="10"/>
    </row>
    <row r="84" spans="2:18">
      <c r="B84" s="22">
        <v>30</v>
      </c>
      <c r="C84" s="4" t="s">
        <v>190</v>
      </c>
      <c r="D84" s="4" t="s">
        <v>191</v>
      </c>
      <c r="E84" s="4" t="s">
        <v>115</v>
      </c>
      <c r="F84" s="4" t="s">
        <v>98</v>
      </c>
      <c r="G84" s="5">
        <v>60</v>
      </c>
      <c r="H84" s="6">
        <v>31029</v>
      </c>
      <c r="I84" s="7">
        <v>8500</v>
      </c>
      <c r="J84" s="23">
        <v>2830</v>
      </c>
      <c r="L84" s="2"/>
      <c r="M84" s="8"/>
      <c r="N84" s="9"/>
      <c r="O84" s="9"/>
      <c r="P84" s="9"/>
      <c r="R84" s="10"/>
    </row>
    <row r="85" spans="2:18">
      <c r="B85" s="22">
        <v>36</v>
      </c>
      <c r="C85" s="4" t="s">
        <v>151</v>
      </c>
      <c r="D85" s="4" t="s">
        <v>152</v>
      </c>
      <c r="E85" s="4" t="s">
        <v>93</v>
      </c>
      <c r="F85" s="4" t="s">
        <v>98</v>
      </c>
      <c r="G85" s="5">
        <v>70</v>
      </c>
      <c r="H85" s="6">
        <v>35595</v>
      </c>
      <c r="I85" s="7">
        <v>4500</v>
      </c>
      <c r="J85" s="23">
        <v>295</v>
      </c>
      <c r="L85" s="2"/>
      <c r="M85" s="8"/>
      <c r="N85" s="9"/>
      <c r="O85" s="9"/>
      <c r="P85" s="9"/>
      <c r="R85" s="10"/>
    </row>
    <row r="86" spans="2:18">
      <c r="B86" s="22">
        <v>41</v>
      </c>
      <c r="C86" s="4" t="s">
        <v>270</v>
      </c>
      <c r="D86" s="4" t="s">
        <v>271</v>
      </c>
      <c r="E86" s="4" t="s">
        <v>125</v>
      </c>
      <c r="F86" s="4" t="s">
        <v>98</v>
      </c>
      <c r="G86" s="5">
        <v>30</v>
      </c>
      <c r="H86" s="6">
        <v>34777</v>
      </c>
      <c r="I86" s="7">
        <v>6000</v>
      </c>
      <c r="J86" s="23">
        <v>2305</v>
      </c>
      <c r="L86" s="2"/>
      <c r="M86" s="8"/>
      <c r="N86" s="9"/>
      <c r="O86" s="9"/>
      <c r="P86" s="9"/>
      <c r="R86" s="10"/>
    </row>
    <row r="87" spans="2:18">
      <c r="B87" s="22">
        <v>42</v>
      </c>
      <c r="C87" s="4" t="s">
        <v>258</v>
      </c>
      <c r="D87" s="4" t="s">
        <v>259</v>
      </c>
      <c r="E87" s="4" t="s">
        <v>76</v>
      </c>
      <c r="F87" s="4" t="s">
        <v>94</v>
      </c>
      <c r="G87" s="5">
        <v>10</v>
      </c>
      <c r="H87" s="6">
        <v>35034</v>
      </c>
      <c r="I87" s="7">
        <v>8000</v>
      </c>
      <c r="J87" s="23">
        <v>150</v>
      </c>
      <c r="L87" s="2"/>
      <c r="M87" s="8"/>
      <c r="N87" s="9"/>
      <c r="O87" s="9"/>
      <c r="P87" s="9"/>
      <c r="R87" s="10"/>
    </row>
    <row r="88" spans="2:18">
      <c r="B88" s="22">
        <v>45</v>
      </c>
      <c r="C88" s="4" t="s">
        <v>206</v>
      </c>
      <c r="D88" s="4" t="s">
        <v>207</v>
      </c>
      <c r="E88" s="4" t="s">
        <v>143</v>
      </c>
      <c r="F88" s="4" t="s">
        <v>94</v>
      </c>
      <c r="G88" s="5">
        <v>40</v>
      </c>
      <c r="H88" s="6">
        <v>31027</v>
      </c>
      <c r="I88" s="7">
        <v>11000</v>
      </c>
      <c r="J88" s="23">
        <v>1080</v>
      </c>
      <c r="L88" s="2"/>
      <c r="M88" s="8"/>
      <c r="N88" s="9"/>
      <c r="O88" s="9"/>
      <c r="P88" s="9"/>
      <c r="R88" s="10"/>
    </row>
    <row r="89" spans="2:18">
      <c r="B89" s="22">
        <v>50</v>
      </c>
      <c r="C89" s="4" t="s">
        <v>256</v>
      </c>
      <c r="D89" s="4" t="s">
        <v>257</v>
      </c>
      <c r="E89" s="4" t="s">
        <v>76</v>
      </c>
      <c r="F89" s="4" t="s">
        <v>103</v>
      </c>
      <c r="G89" s="5">
        <v>10</v>
      </c>
      <c r="H89" s="6">
        <v>29172</v>
      </c>
      <c r="I89" s="7">
        <v>13000</v>
      </c>
      <c r="J89" s="23">
        <v>2800</v>
      </c>
      <c r="L89" s="2"/>
      <c r="M89" s="8"/>
      <c r="N89" s="9"/>
      <c r="O89" s="9"/>
      <c r="P89" s="9"/>
      <c r="R89" s="10"/>
    </row>
    <row r="90" spans="2:18">
      <c r="B90" s="22">
        <v>52</v>
      </c>
      <c r="C90" s="4" t="s">
        <v>110</v>
      </c>
      <c r="D90" s="4" t="s">
        <v>111</v>
      </c>
      <c r="E90" s="4" t="s">
        <v>76</v>
      </c>
      <c r="F90" s="4" t="s">
        <v>94</v>
      </c>
      <c r="G90" s="5">
        <v>10</v>
      </c>
      <c r="H90" s="6">
        <v>36506</v>
      </c>
      <c r="I90" s="7">
        <v>8500</v>
      </c>
      <c r="J90" s="23">
        <v>4185</v>
      </c>
      <c r="L90" s="2"/>
      <c r="M90" s="8"/>
      <c r="N90" s="9"/>
      <c r="O90" s="9"/>
      <c r="P90" s="9"/>
      <c r="R90" s="10"/>
    </row>
    <row r="91" spans="2:18">
      <c r="B91" s="22">
        <v>58</v>
      </c>
      <c r="C91" s="4" t="s">
        <v>188</v>
      </c>
      <c r="D91" s="4" t="s">
        <v>237</v>
      </c>
      <c r="E91" s="4" t="s">
        <v>125</v>
      </c>
      <c r="F91" s="4" t="s">
        <v>103</v>
      </c>
      <c r="G91" s="5">
        <v>10</v>
      </c>
      <c r="H91" s="6">
        <v>33510</v>
      </c>
      <c r="I91" s="7">
        <v>7600</v>
      </c>
      <c r="J91" s="23">
        <v>3615</v>
      </c>
      <c r="L91" s="2"/>
      <c r="M91" s="8"/>
      <c r="N91" s="9"/>
      <c r="O91" s="9"/>
      <c r="P91" s="9"/>
      <c r="R91" s="10"/>
    </row>
    <row r="92" spans="2:18">
      <c r="B92" s="22">
        <v>59</v>
      </c>
      <c r="C92" s="4" t="s">
        <v>188</v>
      </c>
      <c r="D92" s="4" t="s">
        <v>214</v>
      </c>
      <c r="E92" s="4" t="s">
        <v>115</v>
      </c>
      <c r="F92" s="4" t="s">
        <v>98</v>
      </c>
      <c r="G92" s="5">
        <v>10</v>
      </c>
      <c r="H92" s="6">
        <v>34580</v>
      </c>
      <c r="I92" s="7">
        <v>6700</v>
      </c>
      <c r="J92" s="23">
        <v>3195</v>
      </c>
      <c r="L92" s="2"/>
      <c r="M92" s="8"/>
      <c r="N92" s="9"/>
      <c r="O92" s="9"/>
      <c r="P92" s="9"/>
      <c r="R92" s="10"/>
    </row>
    <row r="93" spans="2:18">
      <c r="B93" s="22">
        <v>62</v>
      </c>
      <c r="C93" s="4" t="s">
        <v>121</v>
      </c>
      <c r="D93" s="4" t="s">
        <v>122</v>
      </c>
      <c r="E93" s="4" t="s">
        <v>115</v>
      </c>
      <c r="F93" s="4" t="s">
        <v>94</v>
      </c>
      <c r="G93" s="5">
        <v>60</v>
      </c>
      <c r="H93" s="6">
        <v>31030</v>
      </c>
      <c r="I93" s="7">
        <v>8500</v>
      </c>
      <c r="J93" s="23">
        <v>795</v>
      </c>
      <c r="L93" s="2"/>
      <c r="M93" s="8"/>
      <c r="N93" s="9"/>
      <c r="O93" s="9"/>
      <c r="P93" s="9"/>
      <c r="R93" s="10"/>
    </row>
    <row r="94" spans="2:18">
      <c r="B94" s="22">
        <v>63</v>
      </c>
      <c r="C94" s="4" t="s">
        <v>199</v>
      </c>
      <c r="D94" s="4" t="s">
        <v>198</v>
      </c>
      <c r="E94" s="4" t="s">
        <v>125</v>
      </c>
      <c r="F94" s="4" t="s">
        <v>94</v>
      </c>
      <c r="G94" s="5">
        <v>30</v>
      </c>
      <c r="H94" s="6">
        <v>29226</v>
      </c>
      <c r="I94" s="7">
        <v>13000</v>
      </c>
      <c r="J94" s="23">
        <v>4605</v>
      </c>
      <c r="L94" s="2"/>
      <c r="M94" s="8"/>
      <c r="N94" s="9"/>
      <c r="O94" s="9"/>
      <c r="P94" s="9"/>
      <c r="R94" s="10"/>
    </row>
    <row r="95" spans="2:18">
      <c r="B95" s="22">
        <v>66</v>
      </c>
      <c r="C95" s="4" t="s">
        <v>159</v>
      </c>
      <c r="D95" s="4" t="s">
        <v>160</v>
      </c>
      <c r="E95" s="4" t="s">
        <v>76</v>
      </c>
      <c r="F95" s="4" t="s">
        <v>94</v>
      </c>
      <c r="G95" s="5">
        <v>10</v>
      </c>
      <c r="H95" s="6">
        <v>28126</v>
      </c>
      <c r="I95" s="7">
        <v>12500</v>
      </c>
      <c r="J95" s="23">
        <v>1750</v>
      </c>
      <c r="L95" s="2"/>
      <c r="M95" s="8"/>
      <c r="N95" s="9"/>
      <c r="O95" s="9"/>
      <c r="P95" s="9"/>
      <c r="R95" s="10"/>
    </row>
    <row r="96" spans="2:18">
      <c r="B96" s="22">
        <v>68</v>
      </c>
      <c r="C96" s="4" t="s">
        <v>192</v>
      </c>
      <c r="D96" s="4" t="s">
        <v>193</v>
      </c>
      <c r="E96" s="4" t="s">
        <v>97</v>
      </c>
      <c r="F96" s="4" t="s">
        <v>103</v>
      </c>
      <c r="G96" s="5">
        <v>20</v>
      </c>
      <c r="H96" s="6">
        <v>34762</v>
      </c>
      <c r="I96" s="7">
        <v>8000</v>
      </c>
      <c r="J96" s="23">
        <v>3225</v>
      </c>
      <c r="L96" s="2"/>
      <c r="M96" s="8"/>
      <c r="N96" s="9"/>
      <c r="O96" s="9"/>
      <c r="P96" s="9"/>
      <c r="R96" s="10"/>
    </row>
    <row r="97" spans="2:18">
      <c r="B97" s="22">
        <v>70</v>
      </c>
      <c r="C97" s="4" t="s">
        <v>201</v>
      </c>
      <c r="D97" s="4" t="s">
        <v>202</v>
      </c>
      <c r="E97" s="4" t="s">
        <v>76</v>
      </c>
      <c r="F97" s="4" t="s">
        <v>103</v>
      </c>
      <c r="G97" s="5">
        <v>10</v>
      </c>
      <c r="H97" s="6">
        <v>33787</v>
      </c>
      <c r="I97" s="7">
        <v>7500</v>
      </c>
      <c r="J97" s="23">
        <v>1585</v>
      </c>
      <c r="L97" s="2"/>
      <c r="M97" s="8"/>
      <c r="N97" s="9"/>
      <c r="O97" s="9"/>
      <c r="P97" s="9"/>
      <c r="R97" s="10"/>
    </row>
    <row r="98" spans="2:18">
      <c r="B98" s="22">
        <v>71</v>
      </c>
      <c r="C98" s="4" t="s">
        <v>226</v>
      </c>
      <c r="D98" s="4" t="s">
        <v>227</v>
      </c>
      <c r="E98" s="4" t="s">
        <v>125</v>
      </c>
      <c r="F98" s="4" t="s">
        <v>94</v>
      </c>
      <c r="G98" s="5">
        <v>30</v>
      </c>
      <c r="H98" s="6">
        <v>35809</v>
      </c>
      <c r="I98" s="7">
        <v>4000</v>
      </c>
      <c r="J98" s="23">
        <v>150</v>
      </c>
      <c r="L98" s="2"/>
      <c r="M98" s="8"/>
      <c r="N98" s="9"/>
      <c r="O98" s="9"/>
      <c r="P98" s="9"/>
      <c r="R98" s="10"/>
    </row>
    <row r="99" spans="2:18">
      <c r="B99" s="22">
        <v>73</v>
      </c>
      <c r="C99" s="4" t="s">
        <v>146</v>
      </c>
      <c r="D99" s="4" t="s">
        <v>147</v>
      </c>
      <c r="E99" s="4" t="s">
        <v>143</v>
      </c>
      <c r="F99" s="4" t="s">
        <v>98</v>
      </c>
      <c r="G99" s="5">
        <v>40</v>
      </c>
      <c r="H99" s="6">
        <v>36193</v>
      </c>
      <c r="I99" s="7">
        <v>4500</v>
      </c>
      <c r="J99" s="23">
        <v>1765</v>
      </c>
      <c r="L99" s="2"/>
      <c r="M99" s="8"/>
      <c r="N99" s="9"/>
      <c r="O99" s="9"/>
      <c r="P99" s="9"/>
      <c r="R99" s="10"/>
    </row>
    <row r="100" spans="2:18">
      <c r="B100" s="22">
        <v>79</v>
      </c>
      <c r="C100" s="4" t="s">
        <v>252</v>
      </c>
      <c r="D100" s="4" t="s">
        <v>259</v>
      </c>
      <c r="E100" s="4" t="s">
        <v>260</v>
      </c>
      <c r="F100" s="4" t="s">
        <v>103</v>
      </c>
      <c r="G100" s="5">
        <v>80</v>
      </c>
      <c r="H100" s="6">
        <v>31028</v>
      </c>
      <c r="I100" s="7">
        <v>15000</v>
      </c>
      <c r="J100" s="23">
        <v>3195</v>
      </c>
      <c r="L100" s="2"/>
      <c r="M100" s="8"/>
      <c r="N100" s="9"/>
      <c r="O100" s="9"/>
      <c r="P100" s="9"/>
      <c r="R100" s="10"/>
    </row>
    <row r="101" spans="2:18">
      <c r="B101" s="22">
        <v>80</v>
      </c>
      <c r="C101" s="4" t="s">
        <v>252</v>
      </c>
      <c r="D101" s="4" t="s">
        <v>253</v>
      </c>
      <c r="E101" s="4" t="s">
        <v>143</v>
      </c>
      <c r="F101" s="4" t="s">
        <v>94</v>
      </c>
      <c r="G101" s="5">
        <v>40</v>
      </c>
      <c r="H101" s="6">
        <v>30225</v>
      </c>
      <c r="I101" s="7">
        <v>14000</v>
      </c>
      <c r="J101" s="23">
        <v>2780</v>
      </c>
      <c r="L101" s="2"/>
      <c r="M101" s="8"/>
      <c r="N101" s="9"/>
      <c r="P101" s="9"/>
      <c r="R101" s="10"/>
    </row>
    <row r="102" spans="2:18">
      <c r="B102" s="22">
        <v>83</v>
      </c>
      <c r="C102" s="4" t="s">
        <v>150</v>
      </c>
      <c r="D102" s="4" t="s">
        <v>149</v>
      </c>
      <c r="E102" s="4" t="s">
        <v>100</v>
      </c>
      <c r="F102" s="4" t="s">
        <v>94</v>
      </c>
      <c r="G102" s="5">
        <v>50</v>
      </c>
      <c r="H102" s="6">
        <v>35810</v>
      </c>
      <c r="I102" s="7">
        <v>10000</v>
      </c>
      <c r="J102" s="23">
        <v>355</v>
      </c>
      <c r="L102" s="2"/>
      <c r="M102" s="8"/>
      <c r="N102" s="9"/>
      <c r="O102" s="9"/>
      <c r="P102" s="9"/>
      <c r="R102" s="10"/>
    </row>
    <row r="103" spans="2:18">
      <c r="B103" s="22">
        <v>86</v>
      </c>
      <c r="C103" s="4" t="s">
        <v>126</v>
      </c>
      <c r="D103" s="4" t="s">
        <v>127</v>
      </c>
      <c r="E103" s="4" t="s">
        <v>76</v>
      </c>
      <c r="F103" s="4" t="s">
        <v>98</v>
      </c>
      <c r="G103" s="5">
        <v>10</v>
      </c>
      <c r="H103" s="6">
        <v>28126</v>
      </c>
      <c r="I103" s="7">
        <v>10000</v>
      </c>
      <c r="J103" s="23">
        <v>3935</v>
      </c>
      <c r="L103" s="2"/>
      <c r="M103" s="8"/>
      <c r="N103" s="9"/>
      <c r="O103" s="9"/>
      <c r="P103" s="9"/>
      <c r="R103" s="10"/>
    </row>
    <row r="104" spans="2:18">
      <c r="B104" s="22">
        <v>89</v>
      </c>
      <c r="C104" s="4" t="s">
        <v>242</v>
      </c>
      <c r="D104" s="4" t="s">
        <v>243</v>
      </c>
      <c r="E104" s="4" t="s">
        <v>100</v>
      </c>
      <c r="F104" s="4" t="s">
        <v>98</v>
      </c>
      <c r="G104" s="5">
        <v>50</v>
      </c>
      <c r="H104" s="6">
        <v>35618</v>
      </c>
      <c r="I104" s="7">
        <v>4000</v>
      </c>
      <c r="J104" s="23">
        <v>1245</v>
      </c>
      <c r="L104" s="2"/>
      <c r="M104" s="8"/>
      <c r="N104" s="9"/>
      <c r="O104" s="9"/>
      <c r="P104" s="9"/>
      <c r="R104" s="10"/>
    </row>
    <row r="105" spans="2:18">
      <c r="B105" s="22">
        <v>91</v>
      </c>
      <c r="C105" s="4" t="s">
        <v>177</v>
      </c>
      <c r="D105" s="4" t="s">
        <v>178</v>
      </c>
      <c r="E105" s="4" t="s">
        <v>76</v>
      </c>
      <c r="F105" s="4" t="s">
        <v>94</v>
      </c>
      <c r="G105" s="5">
        <v>10</v>
      </c>
      <c r="H105" s="6">
        <v>28907</v>
      </c>
      <c r="I105" s="7">
        <v>13000</v>
      </c>
      <c r="J105" s="23">
        <v>560</v>
      </c>
      <c r="L105" s="2"/>
      <c r="M105" s="8"/>
      <c r="N105" s="9"/>
      <c r="O105" s="9"/>
      <c r="P105" s="9"/>
      <c r="R105" s="10"/>
    </row>
    <row r="106" spans="2:18" ht="13.5" thickBot="1">
      <c r="B106" s="25">
        <v>97</v>
      </c>
      <c r="C106" s="26" t="s">
        <v>101</v>
      </c>
      <c r="D106" s="26" t="s">
        <v>102</v>
      </c>
      <c r="E106" s="26" t="s">
        <v>100</v>
      </c>
      <c r="F106" s="26" t="s">
        <v>103</v>
      </c>
      <c r="G106" s="27">
        <v>50</v>
      </c>
      <c r="H106" s="28">
        <v>34761</v>
      </c>
      <c r="I106" s="29">
        <v>9000</v>
      </c>
      <c r="J106" s="30">
        <v>4235</v>
      </c>
      <c r="L106" s="2"/>
      <c r="M106" s="8"/>
      <c r="N106" s="9"/>
      <c r="O106" s="9"/>
      <c r="P106" s="9"/>
      <c r="R106" s="10"/>
    </row>
    <row r="107" spans="2:18">
      <c r="L107" s="2"/>
      <c r="M107" s="8"/>
      <c r="N107" s="9"/>
      <c r="O107" s="9"/>
      <c r="P107" s="9"/>
      <c r="R107" s="10"/>
    </row>
    <row r="108" spans="2:18">
      <c r="L108" s="2"/>
      <c r="M108" s="8"/>
      <c r="N108" s="9"/>
      <c r="O108" s="9"/>
      <c r="P108" s="9"/>
      <c r="R108" s="10"/>
    </row>
    <row r="109" spans="2:18" customFormat="1" ht="15"/>
    <row r="110" spans="2:18" customFormat="1" ht="15"/>
    <row r="111" spans="2:18" customFormat="1" ht="15"/>
    <row r="112" spans="2:18" customFormat="1" ht="15"/>
    <row r="113" spans="12:18" customFormat="1" ht="15"/>
    <row r="114" spans="12:18" customFormat="1" ht="15"/>
    <row r="115" spans="12:18">
      <c r="L115" s="2"/>
      <c r="M115" s="8"/>
      <c r="N115" s="9"/>
      <c r="O115" s="9"/>
      <c r="P115" s="9"/>
      <c r="R115" s="10"/>
    </row>
    <row r="116" spans="12:18">
      <c r="L116" s="2"/>
      <c r="M116" s="8"/>
      <c r="N116" s="9"/>
      <c r="O116" s="9"/>
      <c r="P116" s="9"/>
      <c r="R116" s="10"/>
    </row>
  </sheetData>
  <sortState xmlns:xlrd2="http://schemas.microsoft.com/office/spreadsheetml/2017/richdata2" ref="B7:J106">
    <sortCondition sortBy="cellColor" ref="J7:J106" dxfId="30"/>
    <sortCondition sortBy="cellColor" ref="H7:H106" dxfId="29"/>
    <sortCondition sortBy="cellColor" ref="F7:F106" dxfId="28"/>
  </sortState>
  <phoneticPr fontId="0" type="noConversion"/>
  <dataValidations disablePrompts="1" count="1">
    <dataValidation type="decimal" allowBlank="1" showInputMessage="1" showErrorMessage="1" errorTitle="error" error="please get yourself examined in the head_x000a__x000a_" sqref="G125" xr:uid="{00000000-0002-0000-0D00-000000000000}">
      <formula1>43</formula1>
      <formula2>44</formula2>
    </dataValidation>
  </dataValidations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4">
    <tabColor theme="0" tint="-0.499984740745262"/>
  </sheetPr>
  <dimension ref="B1:N23"/>
  <sheetViews>
    <sheetView zoomScale="185" workbookViewId="0"/>
  </sheetViews>
  <sheetFormatPr defaultColWidth="8.85546875" defaultRowHeight="15"/>
  <cols>
    <col min="2" max="2" width="16.140625" customWidth="1"/>
    <col min="3" max="3" width="14.140625" bestFit="1" customWidth="1"/>
    <col min="4" max="4" width="13" customWidth="1"/>
    <col min="5" max="5" width="16.42578125" customWidth="1"/>
    <col min="6" max="6" width="15.7109375" customWidth="1"/>
    <col min="7" max="7" width="16" customWidth="1"/>
  </cols>
  <sheetData>
    <row r="1" spans="2:8">
      <c r="B1" s="283"/>
    </row>
    <row r="2" spans="2:8">
      <c r="B2" s="283"/>
      <c r="H2" s="32" t="s">
        <v>275</v>
      </c>
    </row>
    <row r="3" spans="2:8">
      <c r="B3" s="282" t="s">
        <v>276</v>
      </c>
      <c r="C3" s="281" t="s">
        <v>277</v>
      </c>
      <c r="D3" s="280" t="s">
        <v>278</v>
      </c>
      <c r="E3" s="280" t="s">
        <v>279</v>
      </c>
    </row>
    <row r="4" spans="2:8">
      <c r="B4" s="278" t="s">
        <v>227</v>
      </c>
      <c r="C4" s="277">
        <v>8</v>
      </c>
      <c r="D4" s="276">
        <v>1592</v>
      </c>
      <c r="E4" s="276">
        <v>562.77199999999993</v>
      </c>
      <c r="F4" s="188"/>
      <c r="G4" s="188"/>
      <c r="H4" s="279"/>
    </row>
    <row r="5" spans="2:8">
      <c r="B5" s="275" t="s">
        <v>280</v>
      </c>
      <c r="C5" s="274">
        <v>8</v>
      </c>
      <c r="D5" s="273">
        <v>1088</v>
      </c>
      <c r="E5" s="273">
        <v>396.9024</v>
      </c>
      <c r="F5" s="188"/>
      <c r="G5" s="269"/>
    </row>
    <row r="6" spans="2:8">
      <c r="B6" s="278" t="s">
        <v>281</v>
      </c>
      <c r="C6" s="277">
        <v>8</v>
      </c>
      <c r="D6" s="276">
        <v>1680</v>
      </c>
      <c r="E6" s="276">
        <v>752.64</v>
      </c>
      <c r="F6" s="188"/>
      <c r="G6" s="269"/>
    </row>
    <row r="7" spans="2:8">
      <c r="B7" s="275" t="s">
        <v>282</v>
      </c>
      <c r="C7" s="274">
        <v>9</v>
      </c>
      <c r="D7" s="273">
        <v>2133</v>
      </c>
      <c r="E7" s="273">
        <v>922.73579999999993</v>
      </c>
      <c r="F7" s="188"/>
      <c r="G7" s="269"/>
      <c r="H7" s="32" t="s">
        <v>283</v>
      </c>
    </row>
    <row r="8" spans="2:8">
      <c r="B8" s="278" t="s">
        <v>284</v>
      </c>
      <c r="C8" s="277">
        <v>10</v>
      </c>
      <c r="D8" s="276">
        <v>1610</v>
      </c>
      <c r="E8" s="276">
        <v>579.11700000000008</v>
      </c>
      <c r="F8" s="188"/>
      <c r="G8" s="269"/>
    </row>
    <row r="9" spans="2:8">
      <c r="B9" s="275" t="s">
        <v>285</v>
      </c>
      <c r="C9" s="274">
        <v>10</v>
      </c>
      <c r="D9" s="273">
        <v>1540</v>
      </c>
      <c r="E9" s="273">
        <v>569.79999999999995</v>
      </c>
      <c r="F9" s="188"/>
      <c r="G9" s="269"/>
      <c r="H9" s="279"/>
    </row>
    <row r="10" spans="2:8">
      <c r="B10" s="278" t="s">
        <v>286</v>
      </c>
      <c r="C10" s="277">
        <v>7</v>
      </c>
      <c r="D10" s="276">
        <v>1316</v>
      </c>
      <c r="E10" s="276">
        <v>427.56840000000005</v>
      </c>
      <c r="F10" s="188"/>
      <c r="G10" s="269"/>
    </row>
    <row r="11" spans="2:8">
      <c r="B11" s="275" t="s">
        <v>287</v>
      </c>
      <c r="C11" s="274">
        <v>7</v>
      </c>
      <c r="D11" s="273">
        <v>1799</v>
      </c>
      <c r="E11" s="273">
        <v>708.80600000000004</v>
      </c>
      <c r="F11" s="188"/>
      <c r="G11" s="269"/>
    </row>
    <row r="12" spans="2:8">
      <c r="B12" s="278" t="s">
        <v>288</v>
      </c>
      <c r="C12" s="277">
        <v>8</v>
      </c>
      <c r="D12" s="276">
        <v>1624</v>
      </c>
      <c r="E12" s="276">
        <v>621.3424</v>
      </c>
      <c r="F12" s="188"/>
      <c r="G12" s="269"/>
    </row>
    <row r="13" spans="2:8">
      <c r="B13" s="275" t="s">
        <v>289</v>
      </c>
      <c r="C13" s="274">
        <v>6</v>
      </c>
      <c r="D13" s="273">
        <v>726</v>
      </c>
      <c r="E13" s="273">
        <v>235.87740000000002</v>
      </c>
      <c r="F13" s="188"/>
      <c r="G13" s="269"/>
    </row>
    <row r="14" spans="2:8">
      <c r="B14" s="278" t="s">
        <v>290</v>
      </c>
      <c r="C14" s="277">
        <v>9</v>
      </c>
      <c r="D14" s="276">
        <v>2277</v>
      </c>
      <c r="E14" s="276">
        <v>965.67569999999989</v>
      </c>
      <c r="F14" s="188"/>
      <c r="G14" s="269"/>
    </row>
    <row r="15" spans="2:8">
      <c r="B15" s="275" t="s">
        <v>291</v>
      </c>
      <c r="C15" s="274">
        <v>6</v>
      </c>
      <c r="D15" s="273">
        <v>714</v>
      </c>
      <c r="E15" s="273">
        <v>220.983</v>
      </c>
      <c r="F15" s="188"/>
      <c r="G15" s="269"/>
    </row>
    <row r="16" spans="2:8">
      <c r="B16" s="272" t="s">
        <v>292</v>
      </c>
      <c r="C16" s="271">
        <v>9</v>
      </c>
      <c r="D16" s="270">
        <v>2682</v>
      </c>
      <c r="E16" s="270">
        <v>1023.183</v>
      </c>
      <c r="F16" s="188"/>
      <c r="G16" s="269"/>
    </row>
    <row r="19" spans="10:14">
      <c r="J19" t="s">
        <v>3938</v>
      </c>
    </row>
    <row r="20" spans="10:14" ht="22.9" customHeight="1">
      <c r="J20" t="s">
        <v>3939</v>
      </c>
      <c r="K20" s="661" t="s">
        <v>3939</v>
      </c>
      <c r="L20" s="661"/>
      <c r="M20" s="661"/>
      <c r="N20" s="661"/>
    </row>
    <row r="21" spans="10:14">
      <c r="J21" t="s">
        <v>3940</v>
      </c>
    </row>
    <row r="22" spans="10:14">
      <c r="J22" t="s">
        <v>3941</v>
      </c>
    </row>
    <row r="23" spans="10:14">
      <c r="J23" t="s">
        <v>3942</v>
      </c>
    </row>
  </sheetData>
  <mergeCells count="1">
    <mergeCell ref="K20:N20"/>
  </mergeCells>
  <dataValidations count="1">
    <dataValidation type="list" allowBlank="1" showInputMessage="1" showErrorMessage="1" sqref="K20:N20" xr:uid="{5A930353-0069-4AF1-A1D7-D7149A2B3857}">
      <formula1>$J$19:$J$23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5">
    <tabColor theme="0" tint="-0.14999847407452621"/>
  </sheetPr>
  <dimension ref="B1:O25"/>
  <sheetViews>
    <sheetView showGridLines="0" zoomScaleNormal="100" workbookViewId="0">
      <selection activeCell="M3" sqref="M3:M12"/>
    </sheetView>
  </sheetViews>
  <sheetFormatPr defaultColWidth="9.140625" defaultRowHeight="15.75"/>
  <cols>
    <col min="1" max="1" width="2" style="209" customWidth="1"/>
    <col min="2" max="2" width="13.28515625" style="209" bestFit="1" customWidth="1"/>
    <col min="3" max="3" width="11" style="219" customWidth="1"/>
    <col min="4" max="4" width="12.85546875" style="209" customWidth="1"/>
    <col min="5" max="5" width="2.85546875" style="209" customWidth="1"/>
    <col min="6" max="6" width="15.28515625" style="209" customWidth="1"/>
    <col min="7" max="7" width="11" style="209" customWidth="1"/>
    <col min="8" max="8" width="12.85546875" style="209" customWidth="1"/>
    <col min="9" max="9" width="2" style="209" customWidth="1"/>
    <col min="10" max="10" width="11.28515625" style="209" customWidth="1"/>
    <col min="11" max="11" width="2.5703125" style="209" customWidth="1"/>
    <col min="12" max="12" width="11" style="209" customWidth="1"/>
    <col min="13" max="13" width="12.85546875" style="209" customWidth="1"/>
    <col min="14" max="16384" width="9.140625" style="209"/>
  </cols>
  <sheetData>
    <row r="1" spans="2:15" s="205" customFormat="1" ht="28.7" customHeight="1">
      <c r="B1" s="666" t="s">
        <v>395</v>
      </c>
      <c r="C1" s="666"/>
      <c r="D1" s="666"/>
      <c r="F1" s="666" t="s">
        <v>396</v>
      </c>
      <c r="G1" s="666"/>
      <c r="H1" s="666"/>
      <c r="J1" s="666" t="s">
        <v>397</v>
      </c>
      <c r="K1" s="666"/>
      <c r="L1" s="666"/>
      <c r="M1" s="666"/>
    </row>
    <row r="2" spans="2:15">
      <c r="B2" s="206" t="s">
        <v>276</v>
      </c>
      <c r="C2" s="207" t="s">
        <v>398</v>
      </c>
      <c r="D2" s="208" t="s">
        <v>76</v>
      </c>
      <c r="F2" s="206" t="s">
        <v>276</v>
      </c>
      <c r="G2" s="207" t="s">
        <v>398</v>
      </c>
      <c r="H2" s="208" t="s">
        <v>76</v>
      </c>
      <c r="J2" s="668" t="s">
        <v>276</v>
      </c>
      <c r="K2" s="669"/>
      <c r="L2" s="207" t="s">
        <v>398</v>
      </c>
      <c r="M2" s="208" t="s">
        <v>76</v>
      </c>
    </row>
    <row r="3" spans="2:15">
      <c r="B3" s="284" t="s">
        <v>399</v>
      </c>
      <c r="C3" s="210">
        <v>5</v>
      </c>
      <c r="D3" s="211">
        <v>7350</v>
      </c>
      <c r="E3" s="212"/>
      <c r="F3" s="213" t="s">
        <v>399</v>
      </c>
      <c r="G3" s="210">
        <v>5</v>
      </c>
      <c r="H3" s="211">
        <v>7350</v>
      </c>
      <c r="J3" s="662" t="s">
        <v>399</v>
      </c>
      <c r="K3" s="663"/>
      <c r="L3" s="210">
        <v>5</v>
      </c>
      <c r="M3" s="211">
        <v>7350</v>
      </c>
    </row>
    <row r="4" spans="2:15">
      <c r="B4" s="284" t="s">
        <v>400</v>
      </c>
      <c r="C4" s="210">
        <v>9</v>
      </c>
      <c r="D4" s="211">
        <v>17172</v>
      </c>
      <c r="E4" s="212"/>
      <c r="F4" s="213" t="s">
        <v>400</v>
      </c>
      <c r="G4" s="210">
        <v>9</v>
      </c>
      <c r="H4" s="211">
        <v>17172</v>
      </c>
      <c r="J4" s="662" t="s">
        <v>400</v>
      </c>
      <c r="K4" s="663"/>
      <c r="L4" s="210">
        <v>9</v>
      </c>
      <c r="M4" s="211">
        <v>17172</v>
      </c>
    </row>
    <row r="5" spans="2:15">
      <c r="B5" s="284" t="s">
        <v>401</v>
      </c>
      <c r="C5" s="210">
        <v>12</v>
      </c>
      <c r="D5" s="211">
        <v>16680</v>
      </c>
      <c r="E5" s="212"/>
      <c r="F5" s="213" t="s">
        <v>401</v>
      </c>
      <c r="G5" s="210">
        <v>12</v>
      </c>
      <c r="H5" s="211">
        <v>16680</v>
      </c>
      <c r="J5" s="662" t="s">
        <v>401</v>
      </c>
      <c r="K5" s="663"/>
      <c r="L5" s="210">
        <v>12</v>
      </c>
      <c r="M5" s="211">
        <v>16680</v>
      </c>
    </row>
    <row r="6" spans="2:15">
      <c r="B6" s="284" t="s">
        <v>402</v>
      </c>
      <c r="C6" s="210">
        <v>2</v>
      </c>
      <c r="D6" s="211">
        <v>4246</v>
      </c>
      <c r="E6" s="212"/>
      <c r="F6" s="213" t="s">
        <v>402</v>
      </c>
      <c r="G6" s="210">
        <v>2</v>
      </c>
      <c r="H6" s="211">
        <v>4246</v>
      </c>
      <c r="J6" s="662" t="s">
        <v>402</v>
      </c>
      <c r="K6" s="663"/>
      <c r="L6" s="210">
        <v>2</v>
      </c>
      <c r="M6" s="211">
        <v>4246</v>
      </c>
    </row>
    <row r="7" spans="2:15">
      <c r="B7" s="284" t="s">
        <v>403</v>
      </c>
      <c r="C7" s="210">
        <v>10</v>
      </c>
      <c r="D7" s="211">
        <v>15430</v>
      </c>
      <c r="E7" s="212"/>
      <c r="F7" s="213" t="s">
        <v>403</v>
      </c>
      <c r="G7" s="210">
        <v>10</v>
      </c>
      <c r="H7" s="211">
        <v>15430</v>
      </c>
      <c r="J7" s="662" t="s">
        <v>403</v>
      </c>
      <c r="K7" s="663"/>
      <c r="L7" s="210">
        <v>10</v>
      </c>
      <c r="M7" s="211">
        <v>15430</v>
      </c>
    </row>
    <row r="8" spans="2:15">
      <c r="B8" s="284" t="s">
        <v>404</v>
      </c>
      <c r="C8" s="210">
        <v>9</v>
      </c>
      <c r="D8" s="211">
        <v>10467</v>
      </c>
      <c r="E8" s="212"/>
      <c r="F8" s="213" t="s">
        <v>404</v>
      </c>
      <c r="G8" s="210">
        <v>9</v>
      </c>
      <c r="H8" s="211">
        <v>10467</v>
      </c>
      <c r="J8" s="662" t="s">
        <v>404</v>
      </c>
      <c r="K8" s="663"/>
      <c r="L8" s="210">
        <v>9</v>
      </c>
      <c r="M8" s="211">
        <v>10467</v>
      </c>
    </row>
    <row r="9" spans="2:15">
      <c r="B9" s="284" t="s">
        <v>405</v>
      </c>
      <c r="C9" s="210">
        <v>3</v>
      </c>
      <c r="D9" s="211">
        <v>4683</v>
      </c>
      <c r="E9" s="212"/>
      <c r="F9" s="213" t="s">
        <v>405</v>
      </c>
      <c r="G9" s="210">
        <v>3</v>
      </c>
      <c r="H9" s="211">
        <v>4683</v>
      </c>
      <c r="J9" s="662" t="s">
        <v>405</v>
      </c>
      <c r="K9" s="663"/>
      <c r="L9" s="210">
        <v>3</v>
      </c>
      <c r="M9" s="211">
        <v>4683</v>
      </c>
    </row>
    <row r="10" spans="2:15">
      <c r="B10" s="284" t="s">
        <v>406</v>
      </c>
      <c r="C10" s="210">
        <v>7</v>
      </c>
      <c r="D10" s="211">
        <v>12026</v>
      </c>
      <c r="E10" s="212"/>
      <c r="F10" s="213" t="s">
        <v>406</v>
      </c>
      <c r="G10" s="210">
        <v>7</v>
      </c>
      <c r="H10" s="211">
        <v>12026</v>
      </c>
      <c r="J10" s="662" t="s">
        <v>406</v>
      </c>
      <c r="K10" s="663"/>
      <c r="L10" s="210">
        <v>7</v>
      </c>
      <c r="M10" s="211">
        <v>12026</v>
      </c>
    </row>
    <row r="11" spans="2:15">
      <c r="B11" s="284" t="s">
        <v>407</v>
      </c>
      <c r="C11" s="210">
        <v>15</v>
      </c>
      <c r="D11" s="211">
        <v>20955</v>
      </c>
      <c r="E11" s="212"/>
      <c r="F11" s="213" t="s">
        <v>407</v>
      </c>
      <c r="G11" s="210">
        <v>15</v>
      </c>
      <c r="H11" s="211">
        <v>20955</v>
      </c>
      <c r="J11" s="662" t="s">
        <v>407</v>
      </c>
      <c r="K11" s="663"/>
      <c r="L11" s="210">
        <v>15</v>
      </c>
      <c r="M11" s="211">
        <v>20955</v>
      </c>
    </row>
    <row r="12" spans="2:15">
      <c r="B12" s="285" t="s">
        <v>408</v>
      </c>
      <c r="C12" s="214">
        <v>3</v>
      </c>
      <c r="D12" s="215">
        <v>6885</v>
      </c>
      <c r="E12" s="212"/>
      <c r="F12" s="216" t="s">
        <v>408</v>
      </c>
      <c r="G12" s="214">
        <v>3</v>
      </c>
      <c r="H12" s="215">
        <v>6885</v>
      </c>
      <c r="J12" s="664" t="s">
        <v>408</v>
      </c>
      <c r="K12" s="665"/>
      <c r="L12" s="214">
        <v>3</v>
      </c>
      <c r="M12" s="215">
        <v>6885</v>
      </c>
    </row>
    <row r="14" spans="2:15" s="205" customFormat="1" ht="21" customHeight="1">
      <c r="B14" s="666" t="s">
        <v>409</v>
      </c>
      <c r="C14" s="666"/>
      <c r="D14" s="666"/>
      <c r="F14" s="667" t="s">
        <v>410</v>
      </c>
      <c r="G14" s="667"/>
      <c r="H14" s="667"/>
      <c r="J14" s="666" t="s">
        <v>411</v>
      </c>
      <c r="K14" s="666"/>
      <c r="L14" s="666"/>
      <c r="M14" s="666"/>
    </row>
    <row r="15" spans="2:15">
      <c r="B15" s="206" t="s">
        <v>276</v>
      </c>
      <c r="C15" s="207" t="s">
        <v>398</v>
      </c>
      <c r="D15" s="208" t="s">
        <v>76</v>
      </c>
      <c r="F15" s="206" t="s">
        <v>276</v>
      </c>
      <c r="G15" s="207" t="s">
        <v>398</v>
      </c>
      <c r="H15" s="208" t="s">
        <v>76</v>
      </c>
      <c r="J15" s="206" t="s">
        <v>276</v>
      </c>
      <c r="K15" s="286"/>
      <c r="L15" s="207" t="s">
        <v>398</v>
      </c>
      <c r="M15" s="208" t="s">
        <v>76</v>
      </c>
    </row>
    <row r="16" spans="2:15">
      <c r="B16" s="213" t="s">
        <v>399</v>
      </c>
      <c r="C16" s="210">
        <v>5</v>
      </c>
      <c r="D16" s="211">
        <v>7350</v>
      </c>
      <c r="F16" s="213" t="s">
        <v>399</v>
      </c>
      <c r="G16" s="210">
        <v>5</v>
      </c>
      <c r="H16" s="211">
        <v>7350</v>
      </c>
      <c r="J16" s="284" t="s">
        <v>399</v>
      </c>
      <c r="K16" s="217"/>
      <c r="L16" s="210">
        <v>5</v>
      </c>
      <c r="M16" s="211">
        <v>7350</v>
      </c>
      <c r="O16" s="212"/>
    </row>
    <row r="17" spans="2:15">
      <c r="B17" s="213" t="s">
        <v>400</v>
      </c>
      <c r="C17" s="210">
        <v>9</v>
      </c>
      <c r="D17" s="211">
        <v>17172</v>
      </c>
      <c r="F17" s="213" t="s">
        <v>400</v>
      </c>
      <c r="G17" s="210">
        <v>9</v>
      </c>
      <c r="H17" s="211">
        <v>17172</v>
      </c>
      <c r="J17" s="284" t="s">
        <v>400</v>
      </c>
      <c r="K17" s="217"/>
      <c r="L17" s="210">
        <v>9</v>
      </c>
      <c r="M17" s="211">
        <v>17172</v>
      </c>
      <c r="O17" s="212"/>
    </row>
    <row r="18" spans="2:15">
      <c r="B18" s="213" t="s">
        <v>401</v>
      </c>
      <c r="C18" s="210">
        <v>12</v>
      </c>
      <c r="D18" s="211">
        <v>16680</v>
      </c>
      <c r="F18" s="213" t="s">
        <v>401</v>
      </c>
      <c r="G18" s="210">
        <v>12</v>
      </c>
      <c r="H18" s="211">
        <v>16680</v>
      </c>
      <c r="J18" s="284" t="s">
        <v>401</v>
      </c>
      <c r="K18" s="217"/>
      <c r="L18" s="210">
        <v>12</v>
      </c>
      <c r="M18" s="211">
        <v>16680</v>
      </c>
      <c r="O18" s="212"/>
    </row>
    <row r="19" spans="2:15">
      <c r="B19" s="213" t="s">
        <v>402</v>
      </c>
      <c r="C19" s="210">
        <v>2</v>
      </c>
      <c r="D19" s="211">
        <v>4246</v>
      </c>
      <c r="F19" s="213" t="s">
        <v>402</v>
      </c>
      <c r="G19" s="210">
        <v>2</v>
      </c>
      <c r="H19" s="211">
        <v>4246</v>
      </c>
      <c r="J19" s="284" t="s">
        <v>402</v>
      </c>
      <c r="K19" s="217"/>
      <c r="L19" s="210">
        <v>2</v>
      </c>
      <c r="M19" s="211">
        <v>4246</v>
      </c>
      <c r="O19" s="212"/>
    </row>
    <row r="20" spans="2:15">
      <c r="B20" s="213" t="s">
        <v>403</v>
      </c>
      <c r="C20" s="210">
        <v>10</v>
      </c>
      <c r="D20" s="211">
        <v>15430</v>
      </c>
      <c r="F20" s="213" t="s">
        <v>403</v>
      </c>
      <c r="G20" s="210">
        <v>10</v>
      </c>
      <c r="H20" s="211">
        <v>15430</v>
      </c>
      <c r="J20" s="284" t="s">
        <v>403</v>
      </c>
      <c r="K20" s="217"/>
      <c r="L20" s="210">
        <v>10</v>
      </c>
      <c r="M20" s="211">
        <v>15430</v>
      </c>
      <c r="O20" s="212"/>
    </row>
    <row r="21" spans="2:15">
      <c r="B21" s="213" t="s">
        <v>404</v>
      </c>
      <c r="C21" s="210">
        <v>9</v>
      </c>
      <c r="D21" s="211">
        <v>10467</v>
      </c>
      <c r="F21" s="213" t="s">
        <v>404</v>
      </c>
      <c r="G21" s="210">
        <v>9</v>
      </c>
      <c r="H21" s="211">
        <v>10467</v>
      </c>
      <c r="J21" s="284" t="s">
        <v>404</v>
      </c>
      <c r="K21" s="217"/>
      <c r="L21" s="210">
        <v>9</v>
      </c>
      <c r="M21" s="211">
        <v>10467</v>
      </c>
      <c r="O21" s="212"/>
    </row>
    <row r="22" spans="2:15">
      <c r="B22" s="213" t="s">
        <v>405</v>
      </c>
      <c r="C22" s="210">
        <v>3</v>
      </c>
      <c r="D22" s="211">
        <v>4683</v>
      </c>
      <c r="F22" s="213" t="s">
        <v>405</v>
      </c>
      <c r="G22" s="210">
        <v>3</v>
      </c>
      <c r="H22" s="211">
        <v>4683</v>
      </c>
      <c r="J22" s="284" t="s">
        <v>405</v>
      </c>
      <c r="K22" s="217"/>
      <c r="L22" s="210">
        <v>3</v>
      </c>
      <c r="M22" s="211">
        <v>4683</v>
      </c>
      <c r="O22" s="212"/>
    </row>
    <row r="23" spans="2:15">
      <c r="B23" s="213" t="s">
        <v>406</v>
      </c>
      <c r="C23" s="210">
        <v>7</v>
      </c>
      <c r="D23" s="211">
        <v>12026</v>
      </c>
      <c r="F23" s="213" t="s">
        <v>406</v>
      </c>
      <c r="G23" s="210">
        <v>7</v>
      </c>
      <c r="H23" s="211">
        <v>12026</v>
      </c>
      <c r="J23" s="284" t="s">
        <v>406</v>
      </c>
      <c r="K23" s="217"/>
      <c r="L23" s="210">
        <v>7</v>
      </c>
      <c r="M23" s="211">
        <v>12026</v>
      </c>
      <c r="O23" s="212"/>
    </row>
    <row r="24" spans="2:15">
      <c r="B24" s="213" t="s">
        <v>407</v>
      </c>
      <c r="C24" s="210">
        <v>15</v>
      </c>
      <c r="D24" s="211">
        <v>20955</v>
      </c>
      <c r="F24" s="213" t="s">
        <v>407</v>
      </c>
      <c r="G24" s="210">
        <v>15</v>
      </c>
      <c r="H24" s="211">
        <v>20955</v>
      </c>
      <c r="J24" s="284" t="s">
        <v>407</v>
      </c>
      <c r="K24" s="217"/>
      <c r="L24" s="210">
        <v>15</v>
      </c>
      <c r="M24" s="211">
        <v>20955</v>
      </c>
      <c r="O24" s="212"/>
    </row>
    <row r="25" spans="2:15">
      <c r="B25" s="216" t="s">
        <v>408</v>
      </c>
      <c r="C25" s="214">
        <v>3</v>
      </c>
      <c r="D25" s="215">
        <v>6885</v>
      </c>
      <c r="F25" s="216" t="s">
        <v>408</v>
      </c>
      <c r="G25" s="214">
        <v>3</v>
      </c>
      <c r="H25" s="215">
        <v>6885</v>
      </c>
      <c r="J25" s="285" t="s">
        <v>408</v>
      </c>
      <c r="K25" s="218"/>
      <c r="L25" s="214">
        <v>3</v>
      </c>
      <c r="M25" s="215">
        <v>6885</v>
      </c>
      <c r="O25" s="212"/>
    </row>
  </sheetData>
  <mergeCells count="17">
    <mergeCell ref="J4:K4"/>
    <mergeCell ref="B1:D1"/>
    <mergeCell ref="F1:H1"/>
    <mergeCell ref="J1:M1"/>
    <mergeCell ref="J2:K2"/>
    <mergeCell ref="J3:K3"/>
    <mergeCell ref="J10:K10"/>
    <mergeCell ref="J11:K11"/>
    <mergeCell ref="J12:K12"/>
    <mergeCell ref="B14:D14"/>
    <mergeCell ref="F14:H14"/>
    <mergeCell ref="J14:M14"/>
    <mergeCell ref="J5:K5"/>
    <mergeCell ref="J6:K6"/>
    <mergeCell ref="J7:K7"/>
    <mergeCell ref="J8:K8"/>
    <mergeCell ref="J9:K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0">
    <tabColor theme="9" tint="-0.249977111117893"/>
  </sheetPr>
  <dimension ref="A1:M44"/>
  <sheetViews>
    <sheetView workbookViewId="0">
      <pane xSplit="2" ySplit="6" topLeftCell="C7" activePane="bottomRight" state="frozen"/>
      <selection activeCell="F1" sqref="A1:XFD1048576"/>
      <selection pane="topRight" activeCell="F1" sqref="A1:XFD1048576"/>
      <selection pane="bottomLeft" activeCell="F1" sqref="A1:XFD1048576"/>
      <selection pane="bottomRight" activeCell="G25" sqref="G25"/>
    </sheetView>
  </sheetViews>
  <sheetFormatPr defaultColWidth="4.28515625" defaultRowHeight="12.75"/>
  <cols>
    <col min="1" max="1" width="4.28515625" style="90" customWidth="1"/>
    <col min="2" max="2" width="13.28515625" style="90" customWidth="1"/>
    <col min="3" max="3" width="9.140625" style="90" customWidth="1"/>
    <col min="4" max="4" width="14.28515625" style="90" customWidth="1"/>
    <col min="5" max="5" width="14.140625" style="90" customWidth="1"/>
    <col min="6" max="6" width="15.5703125" style="90" customWidth="1"/>
    <col min="7" max="7" width="15.7109375" style="90" bestFit="1" customWidth="1"/>
    <col min="8" max="8" width="9.85546875" style="90" customWidth="1"/>
    <col min="9" max="9" width="11" style="90" bestFit="1" customWidth="1"/>
    <col min="10" max="255" width="9.140625" style="90" customWidth="1"/>
    <col min="256" max="256" width="4.28515625" style="90"/>
    <col min="257" max="257" width="4.28515625" style="90" customWidth="1"/>
    <col min="258" max="258" width="13.28515625" style="90" customWidth="1"/>
    <col min="259" max="259" width="9.140625" style="90" customWidth="1"/>
    <col min="260" max="260" width="10.5703125" style="90" bestFit="1" customWidth="1"/>
    <col min="261" max="261" width="12" style="90" customWidth="1"/>
    <col min="262" max="262" width="9.140625" style="90" customWidth="1"/>
    <col min="263" max="263" width="15.7109375" style="90" bestFit="1" customWidth="1"/>
    <col min="264" max="264" width="9.85546875" style="90" customWidth="1"/>
    <col min="265" max="265" width="11" style="90" bestFit="1" customWidth="1"/>
    <col min="266" max="511" width="9.140625" style="90" customWidth="1"/>
    <col min="512" max="512" width="4.28515625" style="90"/>
    <col min="513" max="513" width="4.28515625" style="90" customWidth="1"/>
    <col min="514" max="514" width="13.28515625" style="90" customWidth="1"/>
    <col min="515" max="515" width="9.140625" style="90" customWidth="1"/>
    <col min="516" max="516" width="10.5703125" style="90" bestFit="1" customWidth="1"/>
    <col min="517" max="517" width="12" style="90" customWidth="1"/>
    <col min="518" max="518" width="9.140625" style="90" customWidth="1"/>
    <col min="519" max="519" width="15.7109375" style="90" bestFit="1" customWidth="1"/>
    <col min="520" max="520" width="9.85546875" style="90" customWidth="1"/>
    <col min="521" max="521" width="11" style="90" bestFit="1" customWidth="1"/>
    <col min="522" max="767" width="9.140625" style="90" customWidth="1"/>
    <col min="768" max="768" width="4.28515625" style="90"/>
    <col min="769" max="769" width="4.28515625" style="90" customWidth="1"/>
    <col min="770" max="770" width="13.28515625" style="90" customWidth="1"/>
    <col min="771" max="771" width="9.140625" style="90" customWidth="1"/>
    <col min="772" max="772" width="10.5703125" style="90" bestFit="1" customWidth="1"/>
    <col min="773" max="773" width="12" style="90" customWidth="1"/>
    <col min="774" max="774" width="9.140625" style="90" customWidth="1"/>
    <col min="775" max="775" width="15.7109375" style="90" bestFit="1" customWidth="1"/>
    <col min="776" max="776" width="9.85546875" style="90" customWidth="1"/>
    <col min="777" max="777" width="11" style="90" bestFit="1" customWidth="1"/>
    <col min="778" max="1023" width="9.140625" style="90" customWidth="1"/>
    <col min="1024" max="1024" width="4.28515625" style="90"/>
    <col min="1025" max="1025" width="4.28515625" style="90" customWidth="1"/>
    <col min="1026" max="1026" width="13.28515625" style="90" customWidth="1"/>
    <col min="1027" max="1027" width="9.140625" style="90" customWidth="1"/>
    <col min="1028" max="1028" width="10.5703125" style="90" bestFit="1" customWidth="1"/>
    <col min="1029" max="1029" width="12" style="90" customWidth="1"/>
    <col min="1030" max="1030" width="9.140625" style="90" customWidth="1"/>
    <col min="1031" max="1031" width="15.7109375" style="90" bestFit="1" customWidth="1"/>
    <col min="1032" max="1032" width="9.85546875" style="90" customWidth="1"/>
    <col min="1033" max="1033" width="11" style="90" bestFit="1" customWidth="1"/>
    <col min="1034" max="1279" width="9.140625" style="90" customWidth="1"/>
    <col min="1280" max="1280" width="4.28515625" style="90"/>
    <col min="1281" max="1281" width="4.28515625" style="90" customWidth="1"/>
    <col min="1282" max="1282" width="13.28515625" style="90" customWidth="1"/>
    <col min="1283" max="1283" width="9.140625" style="90" customWidth="1"/>
    <col min="1284" max="1284" width="10.5703125" style="90" bestFit="1" customWidth="1"/>
    <col min="1285" max="1285" width="12" style="90" customWidth="1"/>
    <col min="1286" max="1286" width="9.140625" style="90" customWidth="1"/>
    <col min="1287" max="1287" width="15.7109375" style="90" bestFit="1" customWidth="1"/>
    <col min="1288" max="1288" width="9.85546875" style="90" customWidth="1"/>
    <col min="1289" max="1289" width="11" style="90" bestFit="1" customWidth="1"/>
    <col min="1290" max="1535" width="9.140625" style="90" customWidth="1"/>
    <col min="1536" max="1536" width="4.28515625" style="90"/>
    <col min="1537" max="1537" width="4.28515625" style="90" customWidth="1"/>
    <col min="1538" max="1538" width="13.28515625" style="90" customWidth="1"/>
    <col min="1539" max="1539" width="9.140625" style="90" customWidth="1"/>
    <col min="1540" max="1540" width="10.5703125" style="90" bestFit="1" customWidth="1"/>
    <col min="1541" max="1541" width="12" style="90" customWidth="1"/>
    <col min="1542" max="1542" width="9.140625" style="90" customWidth="1"/>
    <col min="1543" max="1543" width="15.7109375" style="90" bestFit="1" customWidth="1"/>
    <col min="1544" max="1544" width="9.85546875" style="90" customWidth="1"/>
    <col min="1545" max="1545" width="11" style="90" bestFit="1" customWidth="1"/>
    <col min="1546" max="1791" width="9.140625" style="90" customWidth="1"/>
    <col min="1792" max="1792" width="4.28515625" style="90"/>
    <col min="1793" max="1793" width="4.28515625" style="90" customWidth="1"/>
    <col min="1794" max="1794" width="13.28515625" style="90" customWidth="1"/>
    <col min="1795" max="1795" width="9.140625" style="90" customWidth="1"/>
    <col min="1796" max="1796" width="10.5703125" style="90" bestFit="1" customWidth="1"/>
    <col min="1797" max="1797" width="12" style="90" customWidth="1"/>
    <col min="1798" max="1798" width="9.140625" style="90" customWidth="1"/>
    <col min="1799" max="1799" width="15.7109375" style="90" bestFit="1" customWidth="1"/>
    <col min="1800" max="1800" width="9.85546875" style="90" customWidth="1"/>
    <col min="1801" max="1801" width="11" style="90" bestFit="1" customWidth="1"/>
    <col min="1802" max="2047" width="9.140625" style="90" customWidth="1"/>
    <col min="2048" max="2048" width="4.28515625" style="90"/>
    <col min="2049" max="2049" width="4.28515625" style="90" customWidth="1"/>
    <col min="2050" max="2050" width="13.28515625" style="90" customWidth="1"/>
    <col min="2051" max="2051" width="9.140625" style="90" customWidth="1"/>
    <col min="2052" max="2052" width="10.5703125" style="90" bestFit="1" customWidth="1"/>
    <col min="2053" max="2053" width="12" style="90" customWidth="1"/>
    <col min="2054" max="2054" width="9.140625" style="90" customWidth="1"/>
    <col min="2055" max="2055" width="15.7109375" style="90" bestFit="1" customWidth="1"/>
    <col min="2056" max="2056" width="9.85546875" style="90" customWidth="1"/>
    <col min="2057" max="2057" width="11" style="90" bestFit="1" customWidth="1"/>
    <col min="2058" max="2303" width="9.140625" style="90" customWidth="1"/>
    <col min="2304" max="2304" width="4.28515625" style="90"/>
    <col min="2305" max="2305" width="4.28515625" style="90" customWidth="1"/>
    <col min="2306" max="2306" width="13.28515625" style="90" customWidth="1"/>
    <col min="2307" max="2307" width="9.140625" style="90" customWidth="1"/>
    <col min="2308" max="2308" width="10.5703125" style="90" bestFit="1" customWidth="1"/>
    <col min="2309" max="2309" width="12" style="90" customWidth="1"/>
    <col min="2310" max="2310" width="9.140625" style="90" customWidth="1"/>
    <col min="2311" max="2311" width="15.7109375" style="90" bestFit="1" customWidth="1"/>
    <col min="2312" max="2312" width="9.85546875" style="90" customWidth="1"/>
    <col min="2313" max="2313" width="11" style="90" bestFit="1" customWidth="1"/>
    <col min="2314" max="2559" width="9.140625" style="90" customWidth="1"/>
    <col min="2560" max="2560" width="4.28515625" style="90"/>
    <col min="2561" max="2561" width="4.28515625" style="90" customWidth="1"/>
    <col min="2562" max="2562" width="13.28515625" style="90" customWidth="1"/>
    <col min="2563" max="2563" width="9.140625" style="90" customWidth="1"/>
    <col min="2564" max="2564" width="10.5703125" style="90" bestFit="1" customWidth="1"/>
    <col min="2565" max="2565" width="12" style="90" customWidth="1"/>
    <col min="2566" max="2566" width="9.140625" style="90" customWidth="1"/>
    <col min="2567" max="2567" width="15.7109375" style="90" bestFit="1" customWidth="1"/>
    <col min="2568" max="2568" width="9.85546875" style="90" customWidth="1"/>
    <col min="2569" max="2569" width="11" style="90" bestFit="1" customWidth="1"/>
    <col min="2570" max="2815" width="9.140625" style="90" customWidth="1"/>
    <col min="2816" max="2816" width="4.28515625" style="90"/>
    <col min="2817" max="2817" width="4.28515625" style="90" customWidth="1"/>
    <col min="2818" max="2818" width="13.28515625" style="90" customWidth="1"/>
    <col min="2819" max="2819" width="9.140625" style="90" customWidth="1"/>
    <col min="2820" max="2820" width="10.5703125" style="90" bestFit="1" customWidth="1"/>
    <col min="2821" max="2821" width="12" style="90" customWidth="1"/>
    <col min="2822" max="2822" width="9.140625" style="90" customWidth="1"/>
    <col min="2823" max="2823" width="15.7109375" style="90" bestFit="1" customWidth="1"/>
    <col min="2824" max="2824" width="9.85546875" style="90" customWidth="1"/>
    <col min="2825" max="2825" width="11" style="90" bestFit="1" customWidth="1"/>
    <col min="2826" max="3071" width="9.140625" style="90" customWidth="1"/>
    <col min="3072" max="3072" width="4.28515625" style="90"/>
    <col min="3073" max="3073" width="4.28515625" style="90" customWidth="1"/>
    <col min="3074" max="3074" width="13.28515625" style="90" customWidth="1"/>
    <col min="3075" max="3075" width="9.140625" style="90" customWidth="1"/>
    <col min="3076" max="3076" width="10.5703125" style="90" bestFit="1" customWidth="1"/>
    <col min="3077" max="3077" width="12" style="90" customWidth="1"/>
    <col min="3078" max="3078" width="9.140625" style="90" customWidth="1"/>
    <col min="3079" max="3079" width="15.7109375" style="90" bestFit="1" customWidth="1"/>
    <col min="3080" max="3080" width="9.85546875" style="90" customWidth="1"/>
    <col min="3081" max="3081" width="11" style="90" bestFit="1" customWidth="1"/>
    <col min="3082" max="3327" width="9.140625" style="90" customWidth="1"/>
    <col min="3328" max="3328" width="4.28515625" style="90"/>
    <col min="3329" max="3329" width="4.28515625" style="90" customWidth="1"/>
    <col min="3330" max="3330" width="13.28515625" style="90" customWidth="1"/>
    <col min="3331" max="3331" width="9.140625" style="90" customWidth="1"/>
    <col min="3332" max="3332" width="10.5703125" style="90" bestFit="1" customWidth="1"/>
    <col min="3333" max="3333" width="12" style="90" customWidth="1"/>
    <col min="3334" max="3334" width="9.140625" style="90" customWidth="1"/>
    <col min="3335" max="3335" width="15.7109375" style="90" bestFit="1" customWidth="1"/>
    <col min="3336" max="3336" width="9.85546875" style="90" customWidth="1"/>
    <col min="3337" max="3337" width="11" style="90" bestFit="1" customWidth="1"/>
    <col min="3338" max="3583" width="9.140625" style="90" customWidth="1"/>
    <col min="3584" max="3584" width="4.28515625" style="90"/>
    <col min="3585" max="3585" width="4.28515625" style="90" customWidth="1"/>
    <col min="3586" max="3586" width="13.28515625" style="90" customWidth="1"/>
    <col min="3587" max="3587" width="9.140625" style="90" customWidth="1"/>
    <col min="3588" max="3588" width="10.5703125" style="90" bestFit="1" customWidth="1"/>
    <col min="3589" max="3589" width="12" style="90" customWidth="1"/>
    <col min="3590" max="3590" width="9.140625" style="90" customWidth="1"/>
    <col min="3591" max="3591" width="15.7109375" style="90" bestFit="1" customWidth="1"/>
    <col min="3592" max="3592" width="9.85546875" style="90" customWidth="1"/>
    <col min="3593" max="3593" width="11" style="90" bestFit="1" customWidth="1"/>
    <col min="3594" max="3839" width="9.140625" style="90" customWidth="1"/>
    <col min="3840" max="3840" width="4.28515625" style="90"/>
    <col min="3841" max="3841" width="4.28515625" style="90" customWidth="1"/>
    <col min="3842" max="3842" width="13.28515625" style="90" customWidth="1"/>
    <col min="3843" max="3843" width="9.140625" style="90" customWidth="1"/>
    <col min="3844" max="3844" width="10.5703125" style="90" bestFit="1" customWidth="1"/>
    <col min="3845" max="3845" width="12" style="90" customWidth="1"/>
    <col min="3846" max="3846" width="9.140625" style="90" customWidth="1"/>
    <col min="3847" max="3847" width="15.7109375" style="90" bestFit="1" customWidth="1"/>
    <col min="3848" max="3848" width="9.85546875" style="90" customWidth="1"/>
    <col min="3849" max="3849" width="11" style="90" bestFit="1" customWidth="1"/>
    <col min="3850" max="4095" width="9.140625" style="90" customWidth="1"/>
    <col min="4096" max="4096" width="4.28515625" style="90"/>
    <col min="4097" max="4097" width="4.28515625" style="90" customWidth="1"/>
    <col min="4098" max="4098" width="13.28515625" style="90" customWidth="1"/>
    <col min="4099" max="4099" width="9.140625" style="90" customWidth="1"/>
    <col min="4100" max="4100" width="10.5703125" style="90" bestFit="1" customWidth="1"/>
    <col min="4101" max="4101" width="12" style="90" customWidth="1"/>
    <col min="4102" max="4102" width="9.140625" style="90" customWidth="1"/>
    <col min="4103" max="4103" width="15.7109375" style="90" bestFit="1" customWidth="1"/>
    <col min="4104" max="4104" width="9.85546875" style="90" customWidth="1"/>
    <col min="4105" max="4105" width="11" style="90" bestFit="1" customWidth="1"/>
    <col min="4106" max="4351" width="9.140625" style="90" customWidth="1"/>
    <col min="4352" max="4352" width="4.28515625" style="90"/>
    <col min="4353" max="4353" width="4.28515625" style="90" customWidth="1"/>
    <col min="4354" max="4354" width="13.28515625" style="90" customWidth="1"/>
    <col min="4355" max="4355" width="9.140625" style="90" customWidth="1"/>
    <col min="4356" max="4356" width="10.5703125" style="90" bestFit="1" customWidth="1"/>
    <col min="4357" max="4357" width="12" style="90" customWidth="1"/>
    <col min="4358" max="4358" width="9.140625" style="90" customWidth="1"/>
    <col min="4359" max="4359" width="15.7109375" style="90" bestFit="1" customWidth="1"/>
    <col min="4360" max="4360" width="9.85546875" style="90" customWidth="1"/>
    <col min="4361" max="4361" width="11" style="90" bestFit="1" customWidth="1"/>
    <col min="4362" max="4607" width="9.140625" style="90" customWidth="1"/>
    <col min="4608" max="4608" width="4.28515625" style="90"/>
    <col min="4609" max="4609" width="4.28515625" style="90" customWidth="1"/>
    <col min="4610" max="4610" width="13.28515625" style="90" customWidth="1"/>
    <col min="4611" max="4611" width="9.140625" style="90" customWidth="1"/>
    <col min="4612" max="4612" width="10.5703125" style="90" bestFit="1" customWidth="1"/>
    <col min="4613" max="4613" width="12" style="90" customWidth="1"/>
    <col min="4614" max="4614" width="9.140625" style="90" customWidth="1"/>
    <col min="4615" max="4615" width="15.7109375" style="90" bestFit="1" customWidth="1"/>
    <col min="4616" max="4616" width="9.85546875" style="90" customWidth="1"/>
    <col min="4617" max="4617" width="11" style="90" bestFit="1" customWidth="1"/>
    <col min="4618" max="4863" width="9.140625" style="90" customWidth="1"/>
    <col min="4864" max="4864" width="4.28515625" style="90"/>
    <col min="4865" max="4865" width="4.28515625" style="90" customWidth="1"/>
    <col min="4866" max="4866" width="13.28515625" style="90" customWidth="1"/>
    <col min="4867" max="4867" width="9.140625" style="90" customWidth="1"/>
    <col min="4868" max="4868" width="10.5703125" style="90" bestFit="1" customWidth="1"/>
    <col min="4869" max="4869" width="12" style="90" customWidth="1"/>
    <col min="4870" max="4870" width="9.140625" style="90" customWidth="1"/>
    <col min="4871" max="4871" width="15.7109375" style="90" bestFit="1" customWidth="1"/>
    <col min="4872" max="4872" width="9.85546875" style="90" customWidth="1"/>
    <col min="4873" max="4873" width="11" style="90" bestFit="1" customWidth="1"/>
    <col min="4874" max="5119" width="9.140625" style="90" customWidth="1"/>
    <col min="5120" max="5120" width="4.28515625" style="90"/>
    <col min="5121" max="5121" width="4.28515625" style="90" customWidth="1"/>
    <col min="5122" max="5122" width="13.28515625" style="90" customWidth="1"/>
    <col min="5123" max="5123" width="9.140625" style="90" customWidth="1"/>
    <col min="5124" max="5124" width="10.5703125" style="90" bestFit="1" customWidth="1"/>
    <col min="5125" max="5125" width="12" style="90" customWidth="1"/>
    <col min="5126" max="5126" width="9.140625" style="90" customWidth="1"/>
    <col min="5127" max="5127" width="15.7109375" style="90" bestFit="1" customWidth="1"/>
    <col min="5128" max="5128" width="9.85546875" style="90" customWidth="1"/>
    <col min="5129" max="5129" width="11" style="90" bestFit="1" customWidth="1"/>
    <col min="5130" max="5375" width="9.140625" style="90" customWidth="1"/>
    <col min="5376" max="5376" width="4.28515625" style="90"/>
    <col min="5377" max="5377" width="4.28515625" style="90" customWidth="1"/>
    <col min="5378" max="5378" width="13.28515625" style="90" customWidth="1"/>
    <col min="5379" max="5379" width="9.140625" style="90" customWidth="1"/>
    <col min="5380" max="5380" width="10.5703125" style="90" bestFit="1" customWidth="1"/>
    <col min="5381" max="5381" width="12" style="90" customWidth="1"/>
    <col min="5382" max="5382" width="9.140625" style="90" customWidth="1"/>
    <col min="5383" max="5383" width="15.7109375" style="90" bestFit="1" customWidth="1"/>
    <col min="5384" max="5384" width="9.85546875" style="90" customWidth="1"/>
    <col min="5385" max="5385" width="11" style="90" bestFit="1" customWidth="1"/>
    <col min="5386" max="5631" width="9.140625" style="90" customWidth="1"/>
    <col min="5632" max="5632" width="4.28515625" style="90"/>
    <col min="5633" max="5633" width="4.28515625" style="90" customWidth="1"/>
    <col min="5634" max="5634" width="13.28515625" style="90" customWidth="1"/>
    <col min="5635" max="5635" width="9.140625" style="90" customWidth="1"/>
    <col min="5636" max="5636" width="10.5703125" style="90" bestFit="1" customWidth="1"/>
    <col min="5637" max="5637" width="12" style="90" customWidth="1"/>
    <col min="5638" max="5638" width="9.140625" style="90" customWidth="1"/>
    <col min="5639" max="5639" width="15.7109375" style="90" bestFit="1" customWidth="1"/>
    <col min="5640" max="5640" width="9.85546875" style="90" customWidth="1"/>
    <col min="5641" max="5641" width="11" style="90" bestFit="1" customWidth="1"/>
    <col min="5642" max="5887" width="9.140625" style="90" customWidth="1"/>
    <col min="5888" max="5888" width="4.28515625" style="90"/>
    <col min="5889" max="5889" width="4.28515625" style="90" customWidth="1"/>
    <col min="5890" max="5890" width="13.28515625" style="90" customWidth="1"/>
    <col min="5891" max="5891" width="9.140625" style="90" customWidth="1"/>
    <col min="5892" max="5892" width="10.5703125" style="90" bestFit="1" customWidth="1"/>
    <col min="5893" max="5893" width="12" style="90" customWidth="1"/>
    <col min="5894" max="5894" width="9.140625" style="90" customWidth="1"/>
    <col min="5895" max="5895" width="15.7109375" style="90" bestFit="1" customWidth="1"/>
    <col min="5896" max="5896" width="9.85546875" style="90" customWidth="1"/>
    <col min="5897" max="5897" width="11" style="90" bestFit="1" customWidth="1"/>
    <col min="5898" max="6143" width="9.140625" style="90" customWidth="1"/>
    <col min="6144" max="6144" width="4.28515625" style="90"/>
    <col min="6145" max="6145" width="4.28515625" style="90" customWidth="1"/>
    <col min="6146" max="6146" width="13.28515625" style="90" customWidth="1"/>
    <col min="6147" max="6147" width="9.140625" style="90" customWidth="1"/>
    <col min="6148" max="6148" width="10.5703125" style="90" bestFit="1" customWidth="1"/>
    <col min="6149" max="6149" width="12" style="90" customWidth="1"/>
    <col min="6150" max="6150" width="9.140625" style="90" customWidth="1"/>
    <col min="6151" max="6151" width="15.7109375" style="90" bestFit="1" customWidth="1"/>
    <col min="6152" max="6152" width="9.85546875" style="90" customWidth="1"/>
    <col min="6153" max="6153" width="11" style="90" bestFit="1" customWidth="1"/>
    <col min="6154" max="6399" width="9.140625" style="90" customWidth="1"/>
    <col min="6400" max="6400" width="4.28515625" style="90"/>
    <col min="6401" max="6401" width="4.28515625" style="90" customWidth="1"/>
    <col min="6402" max="6402" width="13.28515625" style="90" customWidth="1"/>
    <col min="6403" max="6403" width="9.140625" style="90" customWidth="1"/>
    <col min="6404" max="6404" width="10.5703125" style="90" bestFit="1" customWidth="1"/>
    <col min="6405" max="6405" width="12" style="90" customWidth="1"/>
    <col min="6406" max="6406" width="9.140625" style="90" customWidth="1"/>
    <col min="6407" max="6407" width="15.7109375" style="90" bestFit="1" customWidth="1"/>
    <col min="6408" max="6408" width="9.85546875" style="90" customWidth="1"/>
    <col min="6409" max="6409" width="11" style="90" bestFit="1" customWidth="1"/>
    <col min="6410" max="6655" width="9.140625" style="90" customWidth="1"/>
    <col min="6656" max="6656" width="4.28515625" style="90"/>
    <col min="6657" max="6657" width="4.28515625" style="90" customWidth="1"/>
    <col min="6658" max="6658" width="13.28515625" style="90" customWidth="1"/>
    <col min="6659" max="6659" width="9.140625" style="90" customWidth="1"/>
    <col min="6660" max="6660" width="10.5703125" style="90" bestFit="1" customWidth="1"/>
    <col min="6661" max="6661" width="12" style="90" customWidth="1"/>
    <col min="6662" max="6662" width="9.140625" style="90" customWidth="1"/>
    <col min="6663" max="6663" width="15.7109375" style="90" bestFit="1" customWidth="1"/>
    <col min="6664" max="6664" width="9.85546875" style="90" customWidth="1"/>
    <col min="6665" max="6665" width="11" style="90" bestFit="1" customWidth="1"/>
    <col min="6666" max="6911" width="9.140625" style="90" customWidth="1"/>
    <col min="6912" max="6912" width="4.28515625" style="90"/>
    <col min="6913" max="6913" width="4.28515625" style="90" customWidth="1"/>
    <col min="6914" max="6914" width="13.28515625" style="90" customWidth="1"/>
    <col min="6915" max="6915" width="9.140625" style="90" customWidth="1"/>
    <col min="6916" max="6916" width="10.5703125" style="90" bestFit="1" customWidth="1"/>
    <col min="6917" max="6917" width="12" style="90" customWidth="1"/>
    <col min="6918" max="6918" width="9.140625" style="90" customWidth="1"/>
    <col min="6919" max="6919" width="15.7109375" style="90" bestFit="1" customWidth="1"/>
    <col min="6920" max="6920" width="9.85546875" style="90" customWidth="1"/>
    <col min="6921" max="6921" width="11" style="90" bestFit="1" customWidth="1"/>
    <col min="6922" max="7167" width="9.140625" style="90" customWidth="1"/>
    <col min="7168" max="7168" width="4.28515625" style="90"/>
    <col min="7169" max="7169" width="4.28515625" style="90" customWidth="1"/>
    <col min="7170" max="7170" width="13.28515625" style="90" customWidth="1"/>
    <col min="7171" max="7171" width="9.140625" style="90" customWidth="1"/>
    <col min="7172" max="7172" width="10.5703125" style="90" bestFit="1" customWidth="1"/>
    <col min="7173" max="7173" width="12" style="90" customWidth="1"/>
    <col min="7174" max="7174" width="9.140625" style="90" customWidth="1"/>
    <col min="7175" max="7175" width="15.7109375" style="90" bestFit="1" customWidth="1"/>
    <col min="7176" max="7176" width="9.85546875" style="90" customWidth="1"/>
    <col min="7177" max="7177" width="11" style="90" bestFit="1" customWidth="1"/>
    <col min="7178" max="7423" width="9.140625" style="90" customWidth="1"/>
    <col min="7424" max="7424" width="4.28515625" style="90"/>
    <col min="7425" max="7425" width="4.28515625" style="90" customWidth="1"/>
    <col min="7426" max="7426" width="13.28515625" style="90" customWidth="1"/>
    <col min="7427" max="7427" width="9.140625" style="90" customWidth="1"/>
    <col min="7428" max="7428" width="10.5703125" style="90" bestFit="1" customWidth="1"/>
    <col min="7429" max="7429" width="12" style="90" customWidth="1"/>
    <col min="7430" max="7430" width="9.140625" style="90" customWidth="1"/>
    <col min="7431" max="7431" width="15.7109375" style="90" bestFit="1" customWidth="1"/>
    <col min="7432" max="7432" width="9.85546875" style="90" customWidth="1"/>
    <col min="7433" max="7433" width="11" style="90" bestFit="1" customWidth="1"/>
    <col min="7434" max="7679" width="9.140625" style="90" customWidth="1"/>
    <col min="7680" max="7680" width="4.28515625" style="90"/>
    <col min="7681" max="7681" width="4.28515625" style="90" customWidth="1"/>
    <col min="7682" max="7682" width="13.28515625" style="90" customWidth="1"/>
    <col min="7683" max="7683" width="9.140625" style="90" customWidth="1"/>
    <col min="7684" max="7684" width="10.5703125" style="90" bestFit="1" customWidth="1"/>
    <col min="7685" max="7685" width="12" style="90" customWidth="1"/>
    <col min="7686" max="7686" width="9.140625" style="90" customWidth="1"/>
    <col min="7687" max="7687" width="15.7109375" style="90" bestFit="1" customWidth="1"/>
    <col min="7688" max="7688" width="9.85546875" style="90" customWidth="1"/>
    <col min="7689" max="7689" width="11" style="90" bestFit="1" customWidth="1"/>
    <col min="7690" max="7935" width="9.140625" style="90" customWidth="1"/>
    <col min="7936" max="7936" width="4.28515625" style="90"/>
    <col min="7937" max="7937" width="4.28515625" style="90" customWidth="1"/>
    <col min="7938" max="7938" width="13.28515625" style="90" customWidth="1"/>
    <col min="7939" max="7939" width="9.140625" style="90" customWidth="1"/>
    <col min="7940" max="7940" width="10.5703125" style="90" bestFit="1" customWidth="1"/>
    <col min="7941" max="7941" width="12" style="90" customWidth="1"/>
    <col min="7942" max="7942" width="9.140625" style="90" customWidth="1"/>
    <col min="7943" max="7943" width="15.7109375" style="90" bestFit="1" customWidth="1"/>
    <col min="7944" max="7944" width="9.85546875" style="90" customWidth="1"/>
    <col min="7945" max="7945" width="11" style="90" bestFit="1" customWidth="1"/>
    <col min="7946" max="8191" width="9.140625" style="90" customWidth="1"/>
    <col min="8192" max="8192" width="4.28515625" style="90"/>
    <col min="8193" max="8193" width="4.28515625" style="90" customWidth="1"/>
    <col min="8194" max="8194" width="13.28515625" style="90" customWidth="1"/>
    <col min="8195" max="8195" width="9.140625" style="90" customWidth="1"/>
    <col min="8196" max="8196" width="10.5703125" style="90" bestFit="1" customWidth="1"/>
    <col min="8197" max="8197" width="12" style="90" customWidth="1"/>
    <col min="8198" max="8198" width="9.140625" style="90" customWidth="1"/>
    <col min="8199" max="8199" width="15.7109375" style="90" bestFit="1" customWidth="1"/>
    <col min="8200" max="8200" width="9.85546875" style="90" customWidth="1"/>
    <col min="8201" max="8201" width="11" style="90" bestFit="1" customWidth="1"/>
    <col min="8202" max="8447" width="9.140625" style="90" customWidth="1"/>
    <col min="8448" max="8448" width="4.28515625" style="90"/>
    <col min="8449" max="8449" width="4.28515625" style="90" customWidth="1"/>
    <col min="8450" max="8450" width="13.28515625" style="90" customWidth="1"/>
    <col min="8451" max="8451" width="9.140625" style="90" customWidth="1"/>
    <col min="8452" max="8452" width="10.5703125" style="90" bestFit="1" customWidth="1"/>
    <col min="8453" max="8453" width="12" style="90" customWidth="1"/>
    <col min="8454" max="8454" width="9.140625" style="90" customWidth="1"/>
    <col min="8455" max="8455" width="15.7109375" style="90" bestFit="1" customWidth="1"/>
    <col min="8456" max="8456" width="9.85546875" style="90" customWidth="1"/>
    <col min="8457" max="8457" width="11" style="90" bestFit="1" customWidth="1"/>
    <col min="8458" max="8703" width="9.140625" style="90" customWidth="1"/>
    <col min="8704" max="8704" width="4.28515625" style="90"/>
    <col min="8705" max="8705" width="4.28515625" style="90" customWidth="1"/>
    <col min="8706" max="8706" width="13.28515625" style="90" customWidth="1"/>
    <col min="8707" max="8707" width="9.140625" style="90" customWidth="1"/>
    <col min="8708" max="8708" width="10.5703125" style="90" bestFit="1" customWidth="1"/>
    <col min="8709" max="8709" width="12" style="90" customWidth="1"/>
    <col min="8710" max="8710" width="9.140625" style="90" customWidth="1"/>
    <col min="8711" max="8711" width="15.7109375" style="90" bestFit="1" customWidth="1"/>
    <col min="8712" max="8712" width="9.85546875" style="90" customWidth="1"/>
    <col min="8713" max="8713" width="11" style="90" bestFit="1" customWidth="1"/>
    <col min="8714" max="8959" width="9.140625" style="90" customWidth="1"/>
    <col min="8960" max="8960" width="4.28515625" style="90"/>
    <col min="8961" max="8961" width="4.28515625" style="90" customWidth="1"/>
    <col min="8962" max="8962" width="13.28515625" style="90" customWidth="1"/>
    <col min="8963" max="8963" width="9.140625" style="90" customWidth="1"/>
    <col min="8964" max="8964" width="10.5703125" style="90" bestFit="1" customWidth="1"/>
    <col min="8965" max="8965" width="12" style="90" customWidth="1"/>
    <col min="8966" max="8966" width="9.140625" style="90" customWidth="1"/>
    <col min="8967" max="8967" width="15.7109375" style="90" bestFit="1" customWidth="1"/>
    <col min="8968" max="8968" width="9.85546875" style="90" customWidth="1"/>
    <col min="8969" max="8969" width="11" style="90" bestFit="1" customWidth="1"/>
    <col min="8970" max="9215" width="9.140625" style="90" customWidth="1"/>
    <col min="9216" max="9216" width="4.28515625" style="90"/>
    <col min="9217" max="9217" width="4.28515625" style="90" customWidth="1"/>
    <col min="9218" max="9218" width="13.28515625" style="90" customWidth="1"/>
    <col min="9219" max="9219" width="9.140625" style="90" customWidth="1"/>
    <col min="9220" max="9220" width="10.5703125" style="90" bestFit="1" customWidth="1"/>
    <col min="9221" max="9221" width="12" style="90" customWidth="1"/>
    <col min="9222" max="9222" width="9.140625" style="90" customWidth="1"/>
    <col min="9223" max="9223" width="15.7109375" style="90" bestFit="1" customWidth="1"/>
    <col min="9224" max="9224" width="9.85546875" style="90" customWidth="1"/>
    <col min="9225" max="9225" width="11" style="90" bestFit="1" customWidth="1"/>
    <col min="9226" max="9471" width="9.140625" style="90" customWidth="1"/>
    <col min="9472" max="9472" width="4.28515625" style="90"/>
    <col min="9473" max="9473" width="4.28515625" style="90" customWidth="1"/>
    <col min="9474" max="9474" width="13.28515625" style="90" customWidth="1"/>
    <col min="9475" max="9475" width="9.140625" style="90" customWidth="1"/>
    <col min="9476" max="9476" width="10.5703125" style="90" bestFit="1" customWidth="1"/>
    <col min="9477" max="9477" width="12" style="90" customWidth="1"/>
    <col min="9478" max="9478" width="9.140625" style="90" customWidth="1"/>
    <col min="9479" max="9479" width="15.7109375" style="90" bestFit="1" customWidth="1"/>
    <col min="9480" max="9480" width="9.85546875" style="90" customWidth="1"/>
    <col min="9481" max="9481" width="11" style="90" bestFit="1" customWidth="1"/>
    <col min="9482" max="9727" width="9.140625" style="90" customWidth="1"/>
    <col min="9728" max="9728" width="4.28515625" style="90"/>
    <col min="9729" max="9729" width="4.28515625" style="90" customWidth="1"/>
    <col min="9730" max="9730" width="13.28515625" style="90" customWidth="1"/>
    <col min="9731" max="9731" width="9.140625" style="90" customWidth="1"/>
    <col min="9732" max="9732" width="10.5703125" style="90" bestFit="1" customWidth="1"/>
    <col min="9733" max="9733" width="12" style="90" customWidth="1"/>
    <col min="9734" max="9734" width="9.140625" style="90" customWidth="1"/>
    <col min="9735" max="9735" width="15.7109375" style="90" bestFit="1" customWidth="1"/>
    <col min="9736" max="9736" width="9.85546875" style="90" customWidth="1"/>
    <col min="9737" max="9737" width="11" style="90" bestFit="1" customWidth="1"/>
    <col min="9738" max="9983" width="9.140625" style="90" customWidth="1"/>
    <col min="9984" max="9984" width="4.28515625" style="90"/>
    <col min="9985" max="9985" width="4.28515625" style="90" customWidth="1"/>
    <col min="9986" max="9986" width="13.28515625" style="90" customWidth="1"/>
    <col min="9987" max="9987" width="9.140625" style="90" customWidth="1"/>
    <col min="9988" max="9988" width="10.5703125" style="90" bestFit="1" customWidth="1"/>
    <col min="9989" max="9989" width="12" style="90" customWidth="1"/>
    <col min="9990" max="9990" width="9.140625" style="90" customWidth="1"/>
    <col min="9991" max="9991" width="15.7109375" style="90" bestFit="1" customWidth="1"/>
    <col min="9992" max="9992" width="9.85546875" style="90" customWidth="1"/>
    <col min="9993" max="9993" width="11" style="90" bestFit="1" customWidth="1"/>
    <col min="9994" max="10239" width="9.140625" style="90" customWidth="1"/>
    <col min="10240" max="10240" width="4.28515625" style="90"/>
    <col min="10241" max="10241" width="4.28515625" style="90" customWidth="1"/>
    <col min="10242" max="10242" width="13.28515625" style="90" customWidth="1"/>
    <col min="10243" max="10243" width="9.140625" style="90" customWidth="1"/>
    <col min="10244" max="10244" width="10.5703125" style="90" bestFit="1" customWidth="1"/>
    <col min="10245" max="10245" width="12" style="90" customWidth="1"/>
    <col min="10246" max="10246" width="9.140625" style="90" customWidth="1"/>
    <col min="10247" max="10247" width="15.7109375" style="90" bestFit="1" customWidth="1"/>
    <col min="10248" max="10248" width="9.85546875" style="90" customWidth="1"/>
    <col min="10249" max="10249" width="11" style="90" bestFit="1" customWidth="1"/>
    <col min="10250" max="10495" width="9.140625" style="90" customWidth="1"/>
    <col min="10496" max="10496" width="4.28515625" style="90"/>
    <col min="10497" max="10497" width="4.28515625" style="90" customWidth="1"/>
    <col min="10498" max="10498" width="13.28515625" style="90" customWidth="1"/>
    <col min="10499" max="10499" width="9.140625" style="90" customWidth="1"/>
    <col min="10500" max="10500" width="10.5703125" style="90" bestFit="1" customWidth="1"/>
    <col min="10501" max="10501" width="12" style="90" customWidth="1"/>
    <col min="10502" max="10502" width="9.140625" style="90" customWidth="1"/>
    <col min="10503" max="10503" width="15.7109375" style="90" bestFit="1" customWidth="1"/>
    <col min="10504" max="10504" width="9.85546875" style="90" customWidth="1"/>
    <col min="10505" max="10505" width="11" style="90" bestFit="1" customWidth="1"/>
    <col min="10506" max="10751" width="9.140625" style="90" customWidth="1"/>
    <col min="10752" max="10752" width="4.28515625" style="90"/>
    <col min="10753" max="10753" width="4.28515625" style="90" customWidth="1"/>
    <col min="10754" max="10754" width="13.28515625" style="90" customWidth="1"/>
    <col min="10755" max="10755" width="9.140625" style="90" customWidth="1"/>
    <col min="10756" max="10756" width="10.5703125" style="90" bestFit="1" customWidth="1"/>
    <col min="10757" max="10757" width="12" style="90" customWidth="1"/>
    <col min="10758" max="10758" width="9.140625" style="90" customWidth="1"/>
    <col min="10759" max="10759" width="15.7109375" style="90" bestFit="1" customWidth="1"/>
    <col min="10760" max="10760" width="9.85546875" style="90" customWidth="1"/>
    <col min="10761" max="10761" width="11" style="90" bestFit="1" customWidth="1"/>
    <col min="10762" max="11007" width="9.140625" style="90" customWidth="1"/>
    <col min="11008" max="11008" width="4.28515625" style="90"/>
    <col min="11009" max="11009" width="4.28515625" style="90" customWidth="1"/>
    <col min="11010" max="11010" width="13.28515625" style="90" customWidth="1"/>
    <col min="11011" max="11011" width="9.140625" style="90" customWidth="1"/>
    <col min="11012" max="11012" width="10.5703125" style="90" bestFit="1" customWidth="1"/>
    <col min="11013" max="11013" width="12" style="90" customWidth="1"/>
    <col min="11014" max="11014" width="9.140625" style="90" customWidth="1"/>
    <col min="11015" max="11015" width="15.7109375" style="90" bestFit="1" customWidth="1"/>
    <col min="11016" max="11016" width="9.85546875" style="90" customWidth="1"/>
    <col min="11017" max="11017" width="11" style="90" bestFit="1" customWidth="1"/>
    <col min="11018" max="11263" width="9.140625" style="90" customWidth="1"/>
    <col min="11264" max="11264" width="4.28515625" style="90"/>
    <col min="11265" max="11265" width="4.28515625" style="90" customWidth="1"/>
    <col min="11266" max="11266" width="13.28515625" style="90" customWidth="1"/>
    <col min="11267" max="11267" width="9.140625" style="90" customWidth="1"/>
    <col min="11268" max="11268" width="10.5703125" style="90" bestFit="1" customWidth="1"/>
    <col min="11269" max="11269" width="12" style="90" customWidth="1"/>
    <col min="11270" max="11270" width="9.140625" style="90" customWidth="1"/>
    <col min="11271" max="11271" width="15.7109375" style="90" bestFit="1" customWidth="1"/>
    <col min="11272" max="11272" width="9.85546875" style="90" customWidth="1"/>
    <col min="11273" max="11273" width="11" style="90" bestFit="1" customWidth="1"/>
    <col min="11274" max="11519" width="9.140625" style="90" customWidth="1"/>
    <col min="11520" max="11520" width="4.28515625" style="90"/>
    <col min="11521" max="11521" width="4.28515625" style="90" customWidth="1"/>
    <col min="11522" max="11522" width="13.28515625" style="90" customWidth="1"/>
    <col min="11523" max="11523" width="9.140625" style="90" customWidth="1"/>
    <col min="11524" max="11524" width="10.5703125" style="90" bestFit="1" customWidth="1"/>
    <col min="11525" max="11525" width="12" style="90" customWidth="1"/>
    <col min="11526" max="11526" width="9.140625" style="90" customWidth="1"/>
    <col min="11527" max="11527" width="15.7109375" style="90" bestFit="1" customWidth="1"/>
    <col min="11528" max="11528" width="9.85546875" style="90" customWidth="1"/>
    <col min="11529" max="11529" width="11" style="90" bestFit="1" customWidth="1"/>
    <col min="11530" max="11775" width="9.140625" style="90" customWidth="1"/>
    <col min="11776" max="11776" width="4.28515625" style="90"/>
    <col min="11777" max="11777" width="4.28515625" style="90" customWidth="1"/>
    <col min="11778" max="11778" width="13.28515625" style="90" customWidth="1"/>
    <col min="11779" max="11779" width="9.140625" style="90" customWidth="1"/>
    <col min="11780" max="11780" width="10.5703125" style="90" bestFit="1" customWidth="1"/>
    <col min="11781" max="11781" width="12" style="90" customWidth="1"/>
    <col min="11782" max="11782" width="9.140625" style="90" customWidth="1"/>
    <col min="11783" max="11783" width="15.7109375" style="90" bestFit="1" customWidth="1"/>
    <col min="11784" max="11784" width="9.85546875" style="90" customWidth="1"/>
    <col min="11785" max="11785" width="11" style="90" bestFit="1" customWidth="1"/>
    <col min="11786" max="12031" width="9.140625" style="90" customWidth="1"/>
    <col min="12032" max="12032" width="4.28515625" style="90"/>
    <col min="12033" max="12033" width="4.28515625" style="90" customWidth="1"/>
    <col min="12034" max="12034" width="13.28515625" style="90" customWidth="1"/>
    <col min="12035" max="12035" width="9.140625" style="90" customWidth="1"/>
    <col min="12036" max="12036" width="10.5703125" style="90" bestFit="1" customWidth="1"/>
    <col min="12037" max="12037" width="12" style="90" customWidth="1"/>
    <col min="12038" max="12038" width="9.140625" style="90" customWidth="1"/>
    <col min="12039" max="12039" width="15.7109375" style="90" bestFit="1" customWidth="1"/>
    <col min="12040" max="12040" width="9.85546875" style="90" customWidth="1"/>
    <col min="12041" max="12041" width="11" style="90" bestFit="1" customWidth="1"/>
    <col min="12042" max="12287" width="9.140625" style="90" customWidth="1"/>
    <col min="12288" max="12288" width="4.28515625" style="90"/>
    <col min="12289" max="12289" width="4.28515625" style="90" customWidth="1"/>
    <col min="12290" max="12290" width="13.28515625" style="90" customWidth="1"/>
    <col min="12291" max="12291" width="9.140625" style="90" customWidth="1"/>
    <col min="12292" max="12292" width="10.5703125" style="90" bestFit="1" customWidth="1"/>
    <col min="12293" max="12293" width="12" style="90" customWidth="1"/>
    <col min="12294" max="12294" width="9.140625" style="90" customWidth="1"/>
    <col min="12295" max="12295" width="15.7109375" style="90" bestFit="1" customWidth="1"/>
    <col min="12296" max="12296" width="9.85546875" style="90" customWidth="1"/>
    <col min="12297" max="12297" width="11" style="90" bestFit="1" customWidth="1"/>
    <col min="12298" max="12543" width="9.140625" style="90" customWidth="1"/>
    <col min="12544" max="12544" width="4.28515625" style="90"/>
    <col min="12545" max="12545" width="4.28515625" style="90" customWidth="1"/>
    <col min="12546" max="12546" width="13.28515625" style="90" customWidth="1"/>
    <col min="12547" max="12547" width="9.140625" style="90" customWidth="1"/>
    <col min="12548" max="12548" width="10.5703125" style="90" bestFit="1" customWidth="1"/>
    <col min="12549" max="12549" width="12" style="90" customWidth="1"/>
    <col min="12550" max="12550" width="9.140625" style="90" customWidth="1"/>
    <col min="12551" max="12551" width="15.7109375" style="90" bestFit="1" customWidth="1"/>
    <col min="12552" max="12552" width="9.85546875" style="90" customWidth="1"/>
    <col min="12553" max="12553" width="11" style="90" bestFit="1" customWidth="1"/>
    <col min="12554" max="12799" width="9.140625" style="90" customWidth="1"/>
    <col min="12800" max="12800" width="4.28515625" style="90"/>
    <col min="12801" max="12801" width="4.28515625" style="90" customWidth="1"/>
    <col min="12802" max="12802" width="13.28515625" style="90" customWidth="1"/>
    <col min="12803" max="12803" width="9.140625" style="90" customWidth="1"/>
    <col min="12804" max="12804" width="10.5703125" style="90" bestFit="1" customWidth="1"/>
    <col min="12805" max="12805" width="12" style="90" customWidth="1"/>
    <col min="12806" max="12806" width="9.140625" style="90" customWidth="1"/>
    <col min="12807" max="12807" width="15.7109375" style="90" bestFit="1" customWidth="1"/>
    <col min="12808" max="12808" width="9.85546875" style="90" customWidth="1"/>
    <col min="12809" max="12809" width="11" style="90" bestFit="1" customWidth="1"/>
    <col min="12810" max="13055" width="9.140625" style="90" customWidth="1"/>
    <col min="13056" max="13056" width="4.28515625" style="90"/>
    <col min="13057" max="13057" width="4.28515625" style="90" customWidth="1"/>
    <col min="13058" max="13058" width="13.28515625" style="90" customWidth="1"/>
    <col min="13059" max="13059" width="9.140625" style="90" customWidth="1"/>
    <col min="13060" max="13060" width="10.5703125" style="90" bestFit="1" customWidth="1"/>
    <col min="13061" max="13061" width="12" style="90" customWidth="1"/>
    <col min="13062" max="13062" width="9.140625" style="90" customWidth="1"/>
    <col min="13063" max="13063" width="15.7109375" style="90" bestFit="1" customWidth="1"/>
    <col min="13064" max="13064" width="9.85546875" style="90" customWidth="1"/>
    <col min="13065" max="13065" width="11" style="90" bestFit="1" customWidth="1"/>
    <col min="13066" max="13311" width="9.140625" style="90" customWidth="1"/>
    <col min="13312" max="13312" width="4.28515625" style="90"/>
    <col min="13313" max="13313" width="4.28515625" style="90" customWidth="1"/>
    <col min="13314" max="13314" width="13.28515625" style="90" customWidth="1"/>
    <col min="13315" max="13315" width="9.140625" style="90" customWidth="1"/>
    <col min="13316" max="13316" width="10.5703125" style="90" bestFit="1" customWidth="1"/>
    <col min="13317" max="13317" width="12" style="90" customWidth="1"/>
    <col min="13318" max="13318" width="9.140625" style="90" customWidth="1"/>
    <col min="13319" max="13319" width="15.7109375" style="90" bestFit="1" customWidth="1"/>
    <col min="13320" max="13320" width="9.85546875" style="90" customWidth="1"/>
    <col min="13321" max="13321" width="11" style="90" bestFit="1" customWidth="1"/>
    <col min="13322" max="13567" width="9.140625" style="90" customWidth="1"/>
    <col min="13568" max="13568" width="4.28515625" style="90"/>
    <col min="13569" max="13569" width="4.28515625" style="90" customWidth="1"/>
    <col min="13570" max="13570" width="13.28515625" style="90" customWidth="1"/>
    <col min="13571" max="13571" width="9.140625" style="90" customWidth="1"/>
    <col min="13572" max="13572" width="10.5703125" style="90" bestFit="1" customWidth="1"/>
    <col min="13573" max="13573" width="12" style="90" customWidth="1"/>
    <col min="13574" max="13574" width="9.140625" style="90" customWidth="1"/>
    <col min="13575" max="13575" width="15.7109375" style="90" bestFit="1" customWidth="1"/>
    <col min="13576" max="13576" width="9.85546875" style="90" customWidth="1"/>
    <col min="13577" max="13577" width="11" style="90" bestFit="1" customWidth="1"/>
    <col min="13578" max="13823" width="9.140625" style="90" customWidth="1"/>
    <col min="13824" max="13824" width="4.28515625" style="90"/>
    <col min="13825" max="13825" width="4.28515625" style="90" customWidth="1"/>
    <col min="13826" max="13826" width="13.28515625" style="90" customWidth="1"/>
    <col min="13827" max="13827" width="9.140625" style="90" customWidth="1"/>
    <col min="13828" max="13828" width="10.5703125" style="90" bestFit="1" customWidth="1"/>
    <col min="13829" max="13829" width="12" style="90" customWidth="1"/>
    <col min="13830" max="13830" width="9.140625" style="90" customWidth="1"/>
    <col min="13831" max="13831" width="15.7109375" style="90" bestFit="1" customWidth="1"/>
    <col min="13832" max="13832" width="9.85546875" style="90" customWidth="1"/>
    <col min="13833" max="13833" width="11" style="90" bestFit="1" customWidth="1"/>
    <col min="13834" max="14079" width="9.140625" style="90" customWidth="1"/>
    <col min="14080" max="14080" width="4.28515625" style="90"/>
    <col min="14081" max="14081" width="4.28515625" style="90" customWidth="1"/>
    <col min="14082" max="14082" width="13.28515625" style="90" customWidth="1"/>
    <col min="14083" max="14083" width="9.140625" style="90" customWidth="1"/>
    <col min="14084" max="14084" width="10.5703125" style="90" bestFit="1" customWidth="1"/>
    <col min="14085" max="14085" width="12" style="90" customWidth="1"/>
    <col min="14086" max="14086" width="9.140625" style="90" customWidth="1"/>
    <col min="14087" max="14087" width="15.7109375" style="90" bestFit="1" customWidth="1"/>
    <col min="14088" max="14088" width="9.85546875" style="90" customWidth="1"/>
    <col min="14089" max="14089" width="11" style="90" bestFit="1" customWidth="1"/>
    <col min="14090" max="14335" width="9.140625" style="90" customWidth="1"/>
    <col min="14336" max="14336" width="4.28515625" style="90"/>
    <col min="14337" max="14337" width="4.28515625" style="90" customWidth="1"/>
    <col min="14338" max="14338" width="13.28515625" style="90" customWidth="1"/>
    <col min="14339" max="14339" width="9.140625" style="90" customWidth="1"/>
    <col min="14340" max="14340" width="10.5703125" style="90" bestFit="1" customWidth="1"/>
    <col min="14341" max="14341" width="12" style="90" customWidth="1"/>
    <col min="14342" max="14342" width="9.140625" style="90" customWidth="1"/>
    <col min="14343" max="14343" width="15.7109375" style="90" bestFit="1" customWidth="1"/>
    <col min="14344" max="14344" width="9.85546875" style="90" customWidth="1"/>
    <col min="14345" max="14345" width="11" style="90" bestFit="1" customWidth="1"/>
    <col min="14346" max="14591" width="9.140625" style="90" customWidth="1"/>
    <col min="14592" max="14592" width="4.28515625" style="90"/>
    <col min="14593" max="14593" width="4.28515625" style="90" customWidth="1"/>
    <col min="14594" max="14594" width="13.28515625" style="90" customWidth="1"/>
    <col min="14595" max="14595" width="9.140625" style="90" customWidth="1"/>
    <col min="14596" max="14596" width="10.5703125" style="90" bestFit="1" customWidth="1"/>
    <col min="14597" max="14597" width="12" style="90" customWidth="1"/>
    <col min="14598" max="14598" width="9.140625" style="90" customWidth="1"/>
    <col min="14599" max="14599" width="15.7109375" style="90" bestFit="1" customWidth="1"/>
    <col min="14600" max="14600" width="9.85546875" style="90" customWidth="1"/>
    <col min="14601" max="14601" width="11" style="90" bestFit="1" customWidth="1"/>
    <col min="14602" max="14847" width="9.140625" style="90" customWidth="1"/>
    <col min="14848" max="14848" width="4.28515625" style="90"/>
    <col min="14849" max="14849" width="4.28515625" style="90" customWidth="1"/>
    <col min="14850" max="14850" width="13.28515625" style="90" customWidth="1"/>
    <col min="14851" max="14851" width="9.140625" style="90" customWidth="1"/>
    <col min="14852" max="14852" width="10.5703125" style="90" bestFit="1" customWidth="1"/>
    <col min="14853" max="14853" width="12" style="90" customWidth="1"/>
    <col min="14854" max="14854" width="9.140625" style="90" customWidth="1"/>
    <col min="14855" max="14855" width="15.7109375" style="90" bestFit="1" customWidth="1"/>
    <col min="14856" max="14856" width="9.85546875" style="90" customWidth="1"/>
    <col min="14857" max="14857" width="11" style="90" bestFit="1" customWidth="1"/>
    <col min="14858" max="15103" width="9.140625" style="90" customWidth="1"/>
    <col min="15104" max="15104" width="4.28515625" style="90"/>
    <col min="15105" max="15105" width="4.28515625" style="90" customWidth="1"/>
    <col min="15106" max="15106" width="13.28515625" style="90" customWidth="1"/>
    <col min="15107" max="15107" width="9.140625" style="90" customWidth="1"/>
    <col min="15108" max="15108" width="10.5703125" style="90" bestFit="1" customWidth="1"/>
    <col min="15109" max="15109" width="12" style="90" customWidth="1"/>
    <col min="15110" max="15110" width="9.140625" style="90" customWidth="1"/>
    <col min="15111" max="15111" width="15.7109375" style="90" bestFit="1" customWidth="1"/>
    <col min="15112" max="15112" width="9.85546875" style="90" customWidth="1"/>
    <col min="15113" max="15113" width="11" style="90" bestFit="1" customWidth="1"/>
    <col min="15114" max="15359" width="9.140625" style="90" customWidth="1"/>
    <col min="15360" max="15360" width="4.28515625" style="90"/>
    <col min="15361" max="15361" width="4.28515625" style="90" customWidth="1"/>
    <col min="15362" max="15362" width="13.28515625" style="90" customWidth="1"/>
    <col min="15363" max="15363" width="9.140625" style="90" customWidth="1"/>
    <col min="15364" max="15364" width="10.5703125" style="90" bestFit="1" customWidth="1"/>
    <col min="15365" max="15365" width="12" style="90" customWidth="1"/>
    <col min="15366" max="15366" width="9.140625" style="90" customWidth="1"/>
    <col min="15367" max="15367" width="15.7109375" style="90" bestFit="1" customWidth="1"/>
    <col min="15368" max="15368" width="9.85546875" style="90" customWidth="1"/>
    <col min="15369" max="15369" width="11" style="90" bestFit="1" customWidth="1"/>
    <col min="15370" max="15615" width="9.140625" style="90" customWidth="1"/>
    <col min="15616" max="15616" width="4.28515625" style="90"/>
    <col min="15617" max="15617" width="4.28515625" style="90" customWidth="1"/>
    <col min="15618" max="15618" width="13.28515625" style="90" customWidth="1"/>
    <col min="15619" max="15619" width="9.140625" style="90" customWidth="1"/>
    <col min="15620" max="15620" width="10.5703125" style="90" bestFit="1" customWidth="1"/>
    <col min="15621" max="15621" width="12" style="90" customWidth="1"/>
    <col min="15622" max="15622" width="9.140625" style="90" customWidth="1"/>
    <col min="15623" max="15623" width="15.7109375" style="90" bestFit="1" customWidth="1"/>
    <col min="15624" max="15624" width="9.85546875" style="90" customWidth="1"/>
    <col min="15625" max="15625" width="11" style="90" bestFit="1" customWidth="1"/>
    <col min="15626" max="15871" width="9.140625" style="90" customWidth="1"/>
    <col min="15872" max="15872" width="4.28515625" style="90"/>
    <col min="15873" max="15873" width="4.28515625" style="90" customWidth="1"/>
    <col min="15874" max="15874" width="13.28515625" style="90" customWidth="1"/>
    <col min="15875" max="15875" width="9.140625" style="90" customWidth="1"/>
    <col min="15876" max="15876" width="10.5703125" style="90" bestFit="1" customWidth="1"/>
    <col min="15877" max="15877" width="12" style="90" customWidth="1"/>
    <col min="15878" max="15878" width="9.140625" style="90" customWidth="1"/>
    <col min="15879" max="15879" width="15.7109375" style="90" bestFit="1" customWidth="1"/>
    <col min="15880" max="15880" width="9.85546875" style="90" customWidth="1"/>
    <col min="15881" max="15881" width="11" style="90" bestFit="1" customWidth="1"/>
    <col min="15882" max="16127" width="9.140625" style="90" customWidth="1"/>
    <col min="16128" max="16128" width="4.28515625" style="90"/>
    <col min="16129" max="16129" width="4.28515625" style="90" customWidth="1"/>
    <col min="16130" max="16130" width="13.28515625" style="90" customWidth="1"/>
    <col min="16131" max="16131" width="9.140625" style="90" customWidth="1"/>
    <col min="16132" max="16132" width="10.5703125" style="90" bestFit="1" customWidth="1"/>
    <col min="16133" max="16133" width="12" style="90" customWidth="1"/>
    <col min="16134" max="16134" width="9.140625" style="90" customWidth="1"/>
    <col min="16135" max="16135" width="15.7109375" style="90" bestFit="1" customWidth="1"/>
    <col min="16136" max="16136" width="9.85546875" style="90" customWidth="1"/>
    <col min="16137" max="16137" width="11" style="90" bestFit="1" customWidth="1"/>
    <col min="16138" max="16383" width="9.140625" style="90" customWidth="1"/>
    <col min="16384" max="16384" width="4.28515625" style="90"/>
  </cols>
  <sheetData>
    <row r="1" spans="1:13">
      <c r="A1" s="89"/>
    </row>
    <row r="3" spans="1:13" ht="13.5" thickBot="1"/>
    <row r="4" spans="1:13" ht="18" customHeight="1">
      <c r="B4" s="670" t="s">
        <v>412</v>
      </c>
      <c r="C4" s="671"/>
      <c r="D4" s="671"/>
      <c r="E4" s="672"/>
    </row>
    <row r="5" spans="1:13" ht="21.75" customHeight="1" thickBot="1">
      <c r="B5" s="673"/>
      <c r="C5" s="674"/>
      <c r="D5" s="674"/>
      <c r="E5" s="675"/>
      <c r="G5" s="91"/>
    </row>
    <row r="6" spans="1:13" ht="26.25" thickBot="1">
      <c r="B6" s="584" t="s">
        <v>413</v>
      </c>
      <c r="C6" s="584" t="s">
        <v>414</v>
      </c>
      <c r="D6" s="584" t="s">
        <v>415</v>
      </c>
      <c r="E6" s="584" t="s">
        <v>416</v>
      </c>
      <c r="F6" s="584" t="s">
        <v>415</v>
      </c>
      <c r="G6" s="584" t="s">
        <v>416</v>
      </c>
      <c r="K6" s="544" t="s">
        <v>413</v>
      </c>
      <c r="L6" s="238" t="s">
        <v>416</v>
      </c>
      <c r="M6" s="545" t="s">
        <v>415</v>
      </c>
    </row>
    <row r="7" spans="1:13">
      <c r="B7" s="541" t="s">
        <v>417</v>
      </c>
      <c r="C7" s="541">
        <v>35</v>
      </c>
      <c r="D7" s="585">
        <f>IF($C7&gt;33,VLOOKUP($B7,$K$6:$M$11,MATCH(D$6,$K$6:$M$6,0),FALSE),"Not Applicable")</f>
        <v>8.6999999999999993</v>
      </c>
      <c r="E7" s="586" t="str">
        <f t="shared" ref="E7:F17" si="0">IF($C7&gt;33,VLOOKUP($B7,$K$6:$M$11,MATCH(E$6,$K$6:$M$6,0),FALSE),"Not Applicable")</f>
        <v>P1</v>
      </c>
      <c r="F7" s="585">
        <f t="shared" si="0"/>
        <v>8.6999999999999993</v>
      </c>
      <c r="G7" s="586"/>
      <c r="I7" s="90" t="s">
        <v>3936</v>
      </c>
      <c r="K7" s="98" t="s">
        <v>417</v>
      </c>
      <c r="L7" s="539" t="s">
        <v>418</v>
      </c>
      <c r="M7" s="538">
        <v>8.6999999999999993</v>
      </c>
    </row>
    <row r="8" spans="1:13">
      <c r="B8" s="541" t="s">
        <v>417</v>
      </c>
      <c r="C8" s="541">
        <v>28</v>
      </c>
      <c r="D8" s="585" t="str">
        <f t="shared" ref="D8:D15" si="1">IF($C8&gt;33,VLOOKUP($B8,$K$6:$M$11,MATCH(D$6,$K$6:$M$6,0),FALSE),"Not Applicable")</f>
        <v>Not Applicable</v>
      </c>
      <c r="E8" s="586" t="str">
        <f t="shared" si="0"/>
        <v>Not Applicable</v>
      </c>
      <c r="F8" s="585" t="str">
        <f t="shared" si="0"/>
        <v>Not Applicable</v>
      </c>
      <c r="G8" s="586"/>
      <c r="K8" s="99" t="s">
        <v>420</v>
      </c>
      <c r="L8" s="541" t="s">
        <v>419</v>
      </c>
      <c r="M8" s="540">
        <v>14.8</v>
      </c>
    </row>
    <row r="9" spans="1:13">
      <c r="B9" s="541" t="s">
        <v>417</v>
      </c>
      <c r="C9" s="541">
        <v>28</v>
      </c>
      <c r="D9" s="585" t="str">
        <f t="shared" si="1"/>
        <v>Not Applicable</v>
      </c>
      <c r="E9" s="586" t="str">
        <f>IF($C9&gt;33,VLOOKUP($B9,$K$6:$M$11,MATCH(E$6,$K$6:$M$6,0),FALSE),"Not Applicable")</f>
        <v>Not Applicable</v>
      </c>
      <c r="F9" s="585" t="str">
        <f t="shared" si="0"/>
        <v>Not Applicable</v>
      </c>
      <c r="G9" s="586" t="str">
        <f t="shared" ref="G9" si="2">IF($C9&gt;33,VLOOKUP($B9,$K$6:$M$11,MATCH(E$6,$K$6:$M$6,0),FALSE),"Not Applicable")</f>
        <v>Not Applicable</v>
      </c>
      <c r="K9" s="99" t="s">
        <v>422</v>
      </c>
      <c r="L9" s="541" t="s">
        <v>421</v>
      </c>
      <c r="M9" s="540">
        <v>9.5</v>
      </c>
    </row>
    <row r="10" spans="1:13">
      <c r="B10" s="541" t="s">
        <v>417</v>
      </c>
      <c r="C10" s="541">
        <v>28</v>
      </c>
      <c r="D10" s="585" t="str">
        <f t="shared" si="1"/>
        <v>Not Applicable</v>
      </c>
      <c r="E10" s="586" t="str">
        <f t="shared" si="0"/>
        <v>Not Applicable</v>
      </c>
      <c r="F10" s="585" t="str">
        <f t="shared" si="0"/>
        <v>Not Applicable</v>
      </c>
      <c r="G10" s="586" t="str">
        <f>IF($C10&gt;33,VLOOKUP($B10,$K$6:$M$11,MATCH(E$6,$K$6:$M$6,0),FALSE),"Not Applicable")</f>
        <v>Not Applicable</v>
      </c>
      <c r="K10" s="99" t="s">
        <v>424</v>
      </c>
      <c r="L10" s="541" t="s">
        <v>423</v>
      </c>
      <c r="M10" s="540">
        <v>11.3</v>
      </c>
    </row>
    <row r="11" spans="1:13" ht="13.5" thickBot="1">
      <c r="B11" s="541" t="s">
        <v>417</v>
      </c>
      <c r="C11" s="541">
        <v>34</v>
      </c>
      <c r="D11" s="585">
        <f t="shared" si="1"/>
        <v>8.6999999999999993</v>
      </c>
      <c r="E11" s="586" t="str">
        <f t="shared" si="0"/>
        <v>P1</v>
      </c>
      <c r="F11" s="585">
        <f t="shared" si="0"/>
        <v>8.6999999999999993</v>
      </c>
      <c r="G11" s="586" t="str">
        <f t="shared" ref="G11:G14" si="3">IF($C11&gt;33,VLOOKUP($B11,$K$6:$M$11,MATCH(E$6,$K$6:$M$6,0),FALSE),"Not Applicable")</f>
        <v>P1</v>
      </c>
      <c r="K11" s="100" t="s">
        <v>426</v>
      </c>
      <c r="L11" s="543" t="s">
        <v>425</v>
      </c>
      <c r="M11" s="542">
        <v>12.75</v>
      </c>
    </row>
    <row r="12" spans="1:13">
      <c r="B12" s="541" t="s">
        <v>417</v>
      </c>
      <c r="C12" s="541">
        <v>35</v>
      </c>
      <c r="D12" s="585">
        <f>IF($C12&gt;33,VLOOKUP($B12,$K$6:$M$11,MATCH(D$6,$K$6:$M$6,0),FALSE),"Not Applicable")</f>
        <v>8.6999999999999993</v>
      </c>
      <c r="E12" s="586" t="str">
        <f t="shared" si="0"/>
        <v>P1</v>
      </c>
      <c r="F12" s="585">
        <f t="shared" si="0"/>
        <v>8.6999999999999993</v>
      </c>
      <c r="G12" s="586" t="str">
        <f t="shared" si="3"/>
        <v>P1</v>
      </c>
    </row>
    <row r="13" spans="1:13">
      <c r="B13" s="541" t="s">
        <v>417</v>
      </c>
      <c r="C13" s="541">
        <v>34</v>
      </c>
      <c r="D13" s="585">
        <f t="shared" si="1"/>
        <v>8.6999999999999993</v>
      </c>
      <c r="E13" s="586" t="str">
        <f t="shared" si="0"/>
        <v>P1</v>
      </c>
      <c r="F13" s="585">
        <f t="shared" si="0"/>
        <v>8.6999999999999993</v>
      </c>
      <c r="G13" s="586" t="str">
        <f t="shared" si="3"/>
        <v>P1</v>
      </c>
    </row>
    <row r="14" spans="1:13">
      <c r="B14" s="541" t="s">
        <v>420</v>
      </c>
      <c r="C14" s="541">
        <v>23</v>
      </c>
      <c r="D14" s="585" t="str">
        <f t="shared" si="1"/>
        <v>Not Applicable</v>
      </c>
      <c r="E14" s="586" t="str">
        <f t="shared" si="0"/>
        <v>Not Applicable</v>
      </c>
      <c r="F14" s="585" t="str">
        <f t="shared" si="0"/>
        <v>Not Applicable</v>
      </c>
      <c r="G14" s="586" t="str">
        <f t="shared" si="3"/>
        <v>Not Applicable</v>
      </c>
    </row>
    <row r="15" spans="1:13" ht="12.75" customHeight="1">
      <c r="B15" s="541" t="s">
        <v>420</v>
      </c>
      <c r="C15" s="541">
        <v>34</v>
      </c>
      <c r="D15" s="585">
        <f t="shared" si="1"/>
        <v>14.8</v>
      </c>
      <c r="E15" s="586" t="str">
        <f t="shared" si="0"/>
        <v>P2</v>
      </c>
      <c r="F15" s="585">
        <f t="shared" si="0"/>
        <v>14.8</v>
      </c>
      <c r="G15" s="586"/>
      <c r="H15" s="101"/>
      <c r="I15" s="101"/>
    </row>
    <row r="16" spans="1:13">
      <c r="B16" s="541" t="s">
        <v>420</v>
      </c>
      <c r="C16" s="541">
        <v>34</v>
      </c>
      <c r="D16" s="585">
        <f>IF($C16&gt;33,VLOOKUP($B16,$K$6:$M$11,MATCH(D$6,$K$6:$M$6,0),FALSE),"Not Applicable")</f>
        <v>14.8</v>
      </c>
      <c r="E16" s="586" t="str">
        <f t="shared" si="0"/>
        <v>P2</v>
      </c>
      <c r="F16" s="585">
        <f t="shared" si="0"/>
        <v>14.8</v>
      </c>
      <c r="G16" s="586" t="str">
        <f>IF($C16&gt;33,VLOOKUP($B16,$K$6:$M$11,MATCH(G$6,$K$6:$M$6,0),FALSE),"Not Applicable")</f>
        <v>P2</v>
      </c>
      <c r="H16" s="101"/>
      <c r="I16" s="101"/>
    </row>
    <row r="17" spans="2:9">
      <c r="B17" s="541" t="s">
        <v>420</v>
      </c>
      <c r="C17" s="541">
        <v>30</v>
      </c>
      <c r="D17" s="585" t="str">
        <f>IF($C17&gt;33,VLOOKUP($B17,$K$6:$M$11,MATCH(D$6,$K$6:$M$6,0),FALSE),"Not Applicable")</f>
        <v>Not Applicable</v>
      </c>
      <c r="E17" s="586" t="str">
        <f t="shared" ref="E17:E23" si="4">IF($C17&gt;33,VLOOKUP($B17,$K$6:$M$11,MATCH(E$6,$K$6:$M$6,0),FALSE),"Not Applicable")</f>
        <v>Not Applicable</v>
      </c>
      <c r="F17" s="585" t="str">
        <f t="shared" si="0"/>
        <v>Not Applicable</v>
      </c>
      <c r="G17" s="586" t="str">
        <f>IF($C17&gt;33,VLOOKUP($B17,$K$6:$M$11,MATCH(G$6,$K$6:$M$6,0),FALSE),"Not Applicable")</f>
        <v>Not Applicable</v>
      </c>
      <c r="H17" s="101"/>
      <c r="I17" s="101"/>
    </row>
    <row r="18" spans="2:9">
      <c r="B18" s="541" t="s">
        <v>420</v>
      </c>
      <c r="C18" s="541">
        <v>34</v>
      </c>
      <c r="D18" s="585">
        <f t="shared" ref="D18:E32" si="5">IF($C18&gt;33,VLOOKUP($B18,$K$6:$M$11,MATCH(D$6,$K$6:$M$6,0),FALSE),"Not Applicable")</f>
        <v>14.8</v>
      </c>
      <c r="E18" s="586" t="str">
        <f t="shared" si="4"/>
        <v>P2</v>
      </c>
      <c r="F18" s="585">
        <f>IF($C18&gt;33,VLOOKUP($B18,$K$6:$M$11,MATCH(F$6,$K$6:$M$6,0),FALSE),"Not Applicable")</f>
        <v>14.8</v>
      </c>
      <c r="G18" s="586"/>
    </row>
    <row r="19" spans="2:9">
      <c r="B19" s="541" t="s">
        <v>420</v>
      </c>
      <c r="C19" s="541">
        <v>34</v>
      </c>
      <c r="D19" s="585">
        <f t="shared" si="5"/>
        <v>14.8</v>
      </c>
      <c r="E19" s="586" t="str">
        <f t="shared" si="4"/>
        <v>P2</v>
      </c>
      <c r="F19" s="585">
        <f>IF(C19&gt;33,VLOOKUP($B19,$K$6:$M$11,MATCH(F$6,$K$6:$M$6,0),FALSE),"Not Applicable")</f>
        <v>14.8</v>
      </c>
      <c r="G19" s="586"/>
    </row>
    <row r="20" spans="2:9">
      <c r="B20" s="541" t="s">
        <v>420</v>
      </c>
      <c r="C20" s="541">
        <v>34</v>
      </c>
      <c r="D20" s="585">
        <f t="shared" si="5"/>
        <v>14.8</v>
      </c>
      <c r="E20" s="586" t="str">
        <f t="shared" si="4"/>
        <v>P2</v>
      </c>
      <c r="F20" s="585"/>
      <c r="G20" s="586"/>
    </row>
    <row r="21" spans="2:9">
      <c r="B21" s="541" t="s">
        <v>420</v>
      </c>
      <c r="C21" s="541">
        <v>34</v>
      </c>
      <c r="D21" s="585">
        <f t="shared" si="5"/>
        <v>14.8</v>
      </c>
      <c r="E21" s="586" t="str">
        <f t="shared" si="4"/>
        <v>P2</v>
      </c>
      <c r="F21" s="585"/>
      <c r="G21" s="586"/>
    </row>
    <row r="22" spans="2:9">
      <c r="B22" s="541" t="s">
        <v>420</v>
      </c>
      <c r="C22" s="541">
        <v>34</v>
      </c>
      <c r="D22" s="585">
        <f t="shared" si="5"/>
        <v>14.8</v>
      </c>
      <c r="E22" s="586" t="str">
        <f t="shared" si="4"/>
        <v>P2</v>
      </c>
      <c r="F22" s="585"/>
      <c r="G22" s="586"/>
    </row>
    <row r="23" spans="2:9">
      <c r="B23" s="541" t="s">
        <v>420</v>
      </c>
      <c r="C23" s="541">
        <v>34</v>
      </c>
      <c r="D23" s="585">
        <f t="shared" si="5"/>
        <v>14.8</v>
      </c>
      <c r="E23" s="586" t="str">
        <f t="shared" si="4"/>
        <v>P2</v>
      </c>
      <c r="F23" s="585"/>
      <c r="G23" s="586"/>
    </row>
    <row r="24" spans="2:9">
      <c r="B24" s="541" t="s">
        <v>420</v>
      </c>
      <c r="C24" s="541">
        <v>34</v>
      </c>
      <c r="D24" s="585">
        <f t="shared" si="5"/>
        <v>14.8</v>
      </c>
      <c r="E24" s="586" t="str">
        <f t="shared" si="5"/>
        <v>P2</v>
      </c>
      <c r="F24" s="585"/>
      <c r="G24" s="586"/>
    </row>
    <row r="25" spans="2:9">
      <c r="B25" s="541" t="s">
        <v>420</v>
      </c>
      <c r="C25" s="541">
        <v>34</v>
      </c>
      <c r="D25" s="585">
        <f t="shared" si="5"/>
        <v>14.8</v>
      </c>
      <c r="E25" s="586" t="str">
        <f t="shared" si="5"/>
        <v>P2</v>
      </c>
      <c r="F25" s="585"/>
      <c r="G25" s="586"/>
    </row>
    <row r="26" spans="2:9">
      <c r="B26" s="541" t="s">
        <v>420</v>
      </c>
      <c r="C26" s="541">
        <v>30</v>
      </c>
      <c r="D26" s="585" t="str">
        <f t="shared" si="5"/>
        <v>Not Applicable</v>
      </c>
      <c r="E26" s="586" t="str">
        <f t="shared" si="5"/>
        <v>Not Applicable</v>
      </c>
      <c r="F26" s="585"/>
      <c r="G26" s="586"/>
    </row>
    <row r="27" spans="2:9">
      <c r="B27" s="541" t="s">
        <v>420</v>
      </c>
      <c r="C27" s="541">
        <v>34</v>
      </c>
      <c r="D27" s="585">
        <f t="shared" si="5"/>
        <v>14.8</v>
      </c>
      <c r="E27" s="586" t="str">
        <f t="shared" si="5"/>
        <v>P2</v>
      </c>
      <c r="F27" s="585"/>
      <c r="G27" s="586"/>
    </row>
    <row r="28" spans="2:9">
      <c r="B28" s="541" t="s">
        <v>420</v>
      </c>
      <c r="C28" s="541">
        <v>34</v>
      </c>
      <c r="D28" s="585">
        <f t="shared" si="5"/>
        <v>14.8</v>
      </c>
      <c r="E28" s="586" t="str">
        <f t="shared" si="5"/>
        <v>P2</v>
      </c>
      <c r="F28" s="585"/>
      <c r="G28" s="586"/>
    </row>
    <row r="29" spans="2:9">
      <c r="B29" s="541" t="s">
        <v>424</v>
      </c>
      <c r="C29" s="541">
        <v>31</v>
      </c>
      <c r="D29" s="585" t="str">
        <f t="shared" si="5"/>
        <v>Not Applicable</v>
      </c>
      <c r="E29" s="586" t="str">
        <f t="shared" si="5"/>
        <v>Not Applicable</v>
      </c>
      <c r="F29" s="585"/>
      <c r="G29" s="586"/>
      <c r="H29" s="102"/>
    </row>
    <row r="30" spans="2:9">
      <c r="B30" s="541" t="s">
        <v>424</v>
      </c>
      <c r="C30" s="541">
        <v>31</v>
      </c>
      <c r="D30" s="585" t="str">
        <f t="shared" si="5"/>
        <v>Not Applicable</v>
      </c>
      <c r="E30" s="586" t="str">
        <f t="shared" si="5"/>
        <v>Not Applicable</v>
      </c>
      <c r="F30" s="585"/>
      <c r="G30" s="586"/>
      <c r="H30" s="102"/>
    </row>
    <row r="31" spans="2:9">
      <c r="B31" s="541" t="s">
        <v>424</v>
      </c>
      <c r="C31" s="541">
        <v>31</v>
      </c>
      <c r="D31" s="585" t="str">
        <f t="shared" si="5"/>
        <v>Not Applicable</v>
      </c>
      <c r="E31" s="586" t="str">
        <f t="shared" si="5"/>
        <v>Not Applicable</v>
      </c>
      <c r="F31" s="585"/>
      <c r="G31" s="586"/>
    </row>
    <row r="32" spans="2:9">
      <c r="B32" s="541" t="s">
        <v>424</v>
      </c>
      <c r="C32" s="541">
        <v>31</v>
      </c>
      <c r="D32" s="585" t="str">
        <f t="shared" si="5"/>
        <v>Not Applicable</v>
      </c>
      <c r="E32" s="586" t="str">
        <f t="shared" si="5"/>
        <v>Not Applicable</v>
      </c>
      <c r="F32" s="585"/>
      <c r="G32" s="586"/>
    </row>
    <row r="33" spans="2:7">
      <c r="B33" s="541" t="s">
        <v>424</v>
      </c>
      <c r="C33" s="541">
        <v>34</v>
      </c>
      <c r="D33" s="585">
        <f>IF($C33&gt;33,VLOOKUP($B33,$K$6:$M$11,MATCH(D$6,$K$6:$M$6,0),FALSE),"Not Applicable")</f>
        <v>11.3</v>
      </c>
      <c r="E33" s="586" t="str">
        <f>IF($C33&gt;33,VLOOKUP($B33,$K$6:$M$11,MATCH(E$6,$K$6:$M$6,0),FALSE),"Not Applicable")</f>
        <v>P4</v>
      </c>
      <c r="F33" s="585"/>
      <c r="G33" s="586"/>
    </row>
    <row r="34" spans="2:7">
      <c r="B34" s="541" t="s">
        <v>424</v>
      </c>
      <c r="C34" s="541">
        <v>23</v>
      </c>
      <c r="D34" s="585" t="str">
        <f>IF($C34&gt;33,VLOOKUP($B34,$K$6:$M$11,MATCH(D$6,$K$6:$M$6,0),FALSE),"Not Applicable")</f>
        <v>Not Applicable</v>
      </c>
      <c r="E34" s="586" t="str">
        <f>IF($C34&gt;33,VLOOKUP($B34,$K$6:$M$11,MATCH(E$6,$K$6:$M$6,0),FALSE),"Not Applicable")</f>
        <v>Not Applicable</v>
      </c>
      <c r="F34" s="585"/>
      <c r="G34" s="586"/>
    </row>
    <row r="35" spans="2:7">
      <c r="B35" s="541" t="s">
        <v>424</v>
      </c>
      <c r="C35" s="541">
        <v>23</v>
      </c>
      <c r="D35" s="585"/>
      <c r="E35" s="586" t="str">
        <f>IF($C35&gt;33,VLOOKUP($B35,$K$6:$M$11,MATCH(E$6,$K$6:$M$6,0),FALSE),"Not Applicable")</f>
        <v>Not Applicable</v>
      </c>
      <c r="F35" s="585"/>
      <c r="G35" s="586"/>
    </row>
    <row r="36" spans="2:7">
      <c r="B36" s="541" t="s">
        <v>424</v>
      </c>
      <c r="C36" s="541">
        <v>35</v>
      </c>
      <c r="D36" s="585">
        <f>IF($C36&gt;33,VLOOKUP($B36,K6:M11,MATCH(D$6,$K$6:$M$6,0),FALSE),"Not Applicable")</f>
        <v>11.3</v>
      </c>
      <c r="E36" s="586" t="str">
        <f>IF($C36&gt;33,VLOOKUP($B36,$K$6:$M$11,MATCH(E$6,$K$6:$M$6,0),FALSE),"Not Applicable")</f>
        <v>P4</v>
      </c>
      <c r="F36" s="585"/>
      <c r="G36" s="586"/>
    </row>
    <row r="37" spans="2:7">
      <c r="B37" s="541" t="s">
        <v>424</v>
      </c>
      <c r="C37" s="541">
        <v>34</v>
      </c>
      <c r="D37" s="585"/>
      <c r="E37" s="586" t="str">
        <f>IF($C37&gt;33,VLOOKUP($B37,$K$6:$M$11,MATCH(E$6,$K$6:$M$6,0),FALSE),"Not Applicable")</f>
        <v>P4</v>
      </c>
      <c r="F37" s="585"/>
      <c r="G37" s="586"/>
    </row>
    <row r="38" spans="2:7">
      <c r="B38" s="541" t="s">
        <v>426</v>
      </c>
      <c r="C38" s="541">
        <v>34</v>
      </c>
      <c r="D38" s="585">
        <f>IF($C38&gt;33,VLOOKUP($B38,$K$6:$M$11,MATCH(D$6,$K$6:$M$6,0),FALSE),"Not Applicable")</f>
        <v>12.75</v>
      </c>
      <c r="E38" s="586" t="str">
        <f t="shared" ref="E38" si="6">IF($C38&gt;33,VLOOKUP($B38,$K$6:$M$11,MATCH(E$6,$K$6:$M$6,0),FALSE),"Not Applicable")</f>
        <v>P5</v>
      </c>
      <c r="F38" s="585"/>
      <c r="G38" s="586"/>
    </row>
    <row r="39" spans="2:7">
      <c r="B39" s="541" t="s">
        <v>426</v>
      </c>
      <c r="C39" s="541">
        <v>34</v>
      </c>
      <c r="D39" s="585">
        <f>IF($C39&gt;33,VLOOKUP($B39,$K$6:$M$11,MATCH($D$6,$K$6:$M$6,0),FALSE),"Not Applicable")</f>
        <v>12.75</v>
      </c>
      <c r="E39" s="586" t="str">
        <f>IF($C39&gt;33,VLOOKUP($B39,$K$6:$M$11,MATCH(E$6,$K$6:$M$6,0),FALSE),"Not Applicable")</f>
        <v>P5</v>
      </c>
      <c r="F39" s="585"/>
      <c r="G39" s="586"/>
    </row>
    <row r="40" spans="2:7">
      <c r="B40" s="541" t="s">
        <v>426</v>
      </c>
      <c r="C40" s="541">
        <v>34</v>
      </c>
      <c r="D40" s="585"/>
      <c r="E40" s="586" t="str">
        <f>IF($C40&gt;33,VLOOKUP($B40,$K$6:$M$11,MATCH(E$6,$K$6:$M$6,0),FALSE),"Not Applicable")</f>
        <v>P5</v>
      </c>
      <c r="F40" s="585"/>
      <c r="G40" s="586"/>
    </row>
    <row r="41" spans="2:7">
      <c r="B41" s="541" t="s">
        <v>426</v>
      </c>
      <c r="C41" s="541">
        <v>34</v>
      </c>
      <c r="D41" s="585"/>
      <c r="E41" s="586" t="str">
        <f>IF($C41&gt;33,VLOOKUP($B41,$K$6:$M$11,MATCH(E$6,$K$6:$M$6,0),FALSE),"Not Applicable")</f>
        <v>P5</v>
      </c>
      <c r="F41" s="585"/>
      <c r="G41" s="586"/>
    </row>
    <row r="42" spans="2:7">
      <c r="B42" s="541" t="s">
        <v>426</v>
      </c>
      <c r="C42" s="541">
        <v>34</v>
      </c>
      <c r="D42" s="585">
        <f>IF($C42&gt;33,VLOOKUP($B42,$K$6:$M$11,MATCH(D$6,$K$6:$M$6,0),FALSE))</f>
        <v>12.75</v>
      </c>
      <c r="E42" s="586" t="str">
        <f>IF($C42&gt;33,VLOOKUP($B42,$K$6:$M$11,MATCH(E$6,$K$6:$M$6,0),FALSE),"Not Applicable")</f>
        <v>P5</v>
      </c>
      <c r="F42" s="585"/>
      <c r="G42" s="586"/>
    </row>
    <row r="43" spans="2:7">
      <c r="B43" s="541" t="s">
        <v>426</v>
      </c>
      <c r="C43" s="541">
        <v>34</v>
      </c>
      <c r="D43" s="585">
        <f>IF($C43&gt;33,VLOOKUP($B43,$K$6:$M$11,MATCH(D$6,$K$6:$M$6,0),FALSE),"Not Applicable")</f>
        <v>12.75</v>
      </c>
      <c r="E43" s="586"/>
      <c r="F43" s="585"/>
      <c r="G43" s="586"/>
    </row>
    <row r="44" spans="2:7">
      <c r="B44" s="541" t="s">
        <v>426</v>
      </c>
      <c r="C44" s="541">
        <v>34</v>
      </c>
      <c r="D44" s="585"/>
      <c r="E44" s="586"/>
      <c r="F44" s="585"/>
      <c r="G44" s="586"/>
    </row>
  </sheetData>
  <sortState xmlns:xlrd2="http://schemas.microsoft.com/office/spreadsheetml/2017/richdata2" columnSort="1" ref="K6:M11">
    <sortCondition ref="K6:M6"/>
  </sortState>
  <mergeCells count="1">
    <mergeCell ref="B4:E5"/>
  </mergeCells>
  <pageMargins left="0.75" right="0.75" top="1" bottom="1" header="0.5" footer="0.5"/>
  <headerFooter alignWithMargins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7">
    <tabColor theme="9" tint="-0.249977111117893"/>
  </sheetPr>
  <dimension ref="A1:M90"/>
  <sheetViews>
    <sheetView zoomScale="107" workbookViewId="0">
      <pane ySplit="6" topLeftCell="A7" activePane="bottomLeft" state="frozen"/>
      <selection pane="bottomLeft" activeCell="L6" sqref="L6"/>
    </sheetView>
  </sheetViews>
  <sheetFormatPr defaultColWidth="4.28515625" defaultRowHeight="12.75"/>
  <cols>
    <col min="1" max="1" width="4.28515625" style="90" customWidth="1"/>
    <col min="2" max="2" width="13.28515625" style="90" customWidth="1"/>
    <col min="3" max="3" width="9.140625" style="90" customWidth="1"/>
    <col min="4" max="4" width="15.7109375" style="90" customWidth="1"/>
    <col min="5" max="5" width="15" style="90" customWidth="1"/>
    <col min="6" max="6" width="9.140625" style="90" customWidth="1"/>
    <col min="7" max="7" width="15.7109375" style="90" bestFit="1" customWidth="1"/>
    <col min="8" max="8" width="9.85546875" style="90" customWidth="1"/>
    <col min="9" max="9" width="11" style="90" bestFit="1" customWidth="1"/>
    <col min="10" max="11" width="9.140625" style="90" customWidth="1"/>
    <col min="12" max="12" width="10.7109375" style="90" customWidth="1"/>
    <col min="13" max="13" width="10.42578125" style="90" customWidth="1"/>
    <col min="14" max="255" width="9.140625" style="90" customWidth="1"/>
    <col min="256" max="256" width="4.28515625" style="90"/>
    <col min="257" max="257" width="4.28515625" style="90" customWidth="1"/>
    <col min="258" max="258" width="13.28515625" style="90" customWidth="1"/>
    <col min="259" max="259" width="9.140625" style="90" customWidth="1"/>
    <col min="260" max="260" width="10.5703125" style="90" bestFit="1" customWidth="1"/>
    <col min="261" max="261" width="12" style="90" customWidth="1"/>
    <col min="262" max="262" width="9.140625" style="90" customWidth="1"/>
    <col min="263" max="263" width="15.7109375" style="90" bestFit="1" customWidth="1"/>
    <col min="264" max="264" width="9.85546875" style="90" customWidth="1"/>
    <col min="265" max="265" width="11" style="90" bestFit="1" customWidth="1"/>
    <col min="266" max="511" width="9.140625" style="90" customWidth="1"/>
    <col min="512" max="512" width="4.28515625" style="90"/>
    <col min="513" max="513" width="4.28515625" style="90" customWidth="1"/>
    <col min="514" max="514" width="13.28515625" style="90" customWidth="1"/>
    <col min="515" max="515" width="9.140625" style="90" customWidth="1"/>
    <col min="516" max="516" width="10.5703125" style="90" bestFit="1" customWidth="1"/>
    <col min="517" max="517" width="12" style="90" customWidth="1"/>
    <col min="518" max="518" width="9.140625" style="90" customWidth="1"/>
    <col min="519" max="519" width="15.7109375" style="90" bestFit="1" customWidth="1"/>
    <col min="520" max="520" width="9.85546875" style="90" customWidth="1"/>
    <col min="521" max="521" width="11" style="90" bestFit="1" customWidth="1"/>
    <col min="522" max="767" width="9.140625" style="90" customWidth="1"/>
    <col min="768" max="768" width="4.28515625" style="90"/>
    <col min="769" max="769" width="4.28515625" style="90" customWidth="1"/>
    <col min="770" max="770" width="13.28515625" style="90" customWidth="1"/>
    <col min="771" max="771" width="9.140625" style="90" customWidth="1"/>
    <col min="772" max="772" width="10.5703125" style="90" bestFit="1" customWidth="1"/>
    <col min="773" max="773" width="12" style="90" customWidth="1"/>
    <col min="774" max="774" width="9.140625" style="90" customWidth="1"/>
    <col min="775" max="775" width="15.7109375" style="90" bestFit="1" customWidth="1"/>
    <col min="776" max="776" width="9.85546875" style="90" customWidth="1"/>
    <col min="777" max="777" width="11" style="90" bestFit="1" customWidth="1"/>
    <col min="778" max="1023" width="9.140625" style="90" customWidth="1"/>
    <col min="1024" max="1024" width="4.28515625" style="90"/>
    <col min="1025" max="1025" width="4.28515625" style="90" customWidth="1"/>
    <col min="1026" max="1026" width="13.28515625" style="90" customWidth="1"/>
    <col min="1027" max="1027" width="9.140625" style="90" customWidth="1"/>
    <col min="1028" max="1028" width="10.5703125" style="90" bestFit="1" customWidth="1"/>
    <col min="1029" max="1029" width="12" style="90" customWidth="1"/>
    <col min="1030" max="1030" width="9.140625" style="90" customWidth="1"/>
    <col min="1031" max="1031" width="15.7109375" style="90" bestFit="1" customWidth="1"/>
    <col min="1032" max="1032" width="9.85546875" style="90" customWidth="1"/>
    <col min="1033" max="1033" width="11" style="90" bestFit="1" customWidth="1"/>
    <col min="1034" max="1279" width="9.140625" style="90" customWidth="1"/>
    <col min="1280" max="1280" width="4.28515625" style="90"/>
    <col min="1281" max="1281" width="4.28515625" style="90" customWidth="1"/>
    <col min="1282" max="1282" width="13.28515625" style="90" customWidth="1"/>
    <col min="1283" max="1283" width="9.140625" style="90" customWidth="1"/>
    <col min="1284" max="1284" width="10.5703125" style="90" bestFit="1" customWidth="1"/>
    <col min="1285" max="1285" width="12" style="90" customWidth="1"/>
    <col min="1286" max="1286" width="9.140625" style="90" customWidth="1"/>
    <col min="1287" max="1287" width="15.7109375" style="90" bestFit="1" customWidth="1"/>
    <col min="1288" max="1288" width="9.85546875" style="90" customWidth="1"/>
    <col min="1289" max="1289" width="11" style="90" bestFit="1" customWidth="1"/>
    <col min="1290" max="1535" width="9.140625" style="90" customWidth="1"/>
    <col min="1536" max="1536" width="4.28515625" style="90"/>
    <col min="1537" max="1537" width="4.28515625" style="90" customWidth="1"/>
    <col min="1538" max="1538" width="13.28515625" style="90" customWidth="1"/>
    <col min="1539" max="1539" width="9.140625" style="90" customWidth="1"/>
    <col min="1540" max="1540" width="10.5703125" style="90" bestFit="1" customWidth="1"/>
    <col min="1541" max="1541" width="12" style="90" customWidth="1"/>
    <col min="1542" max="1542" width="9.140625" style="90" customWidth="1"/>
    <col min="1543" max="1543" width="15.7109375" style="90" bestFit="1" customWidth="1"/>
    <col min="1544" max="1544" width="9.85546875" style="90" customWidth="1"/>
    <col min="1545" max="1545" width="11" style="90" bestFit="1" customWidth="1"/>
    <col min="1546" max="1791" width="9.140625" style="90" customWidth="1"/>
    <col min="1792" max="1792" width="4.28515625" style="90"/>
    <col min="1793" max="1793" width="4.28515625" style="90" customWidth="1"/>
    <col min="1794" max="1794" width="13.28515625" style="90" customWidth="1"/>
    <col min="1795" max="1795" width="9.140625" style="90" customWidth="1"/>
    <col min="1796" max="1796" width="10.5703125" style="90" bestFit="1" customWidth="1"/>
    <col min="1797" max="1797" width="12" style="90" customWidth="1"/>
    <col min="1798" max="1798" width="9.140625" style="90" customWidth="1"/>
    <col min="1799" max="1799" width="15.7109375" style="90" bestFit="1" customWidth="1"/>
    <col min="1800" max="1800" width="9.85546875" style="90" customWidth="1"/>
    <col min="1801" max="1801" width="11" style="90" bestFit="1" customWidth="1"/>
    <col min="1802" max="2047" width="9.140625" style="90" customWidth="1"/>
    <col min="2048" max="2048" width="4.28515625" style="90"/>
    <col min="2049" max="2049" width="4.28515625" style="90" customWidth="1"/>
    <col min="2050" max="2050" width="13.28515625" style="90" customWidth="1"/>
    <col min="2051" max="2051" width="9.140625" style="90" customWidth="1"/>
    <col min="2052" max="2052" width="10.5703125" style="90" bestFit="1" customWidth="1"/>
    <col min="2053" max="2053" width="12" style="90" customWidth="1"/>
    <col min="2054" max="2054" width="9.140625" style="90" customWidth="1"/>
    <col min="2055" max="2055" width="15.7109375" style="90" bestFit="1" customWidth="1"/>
    <col min="2056" max="2056" width="9.85546875" style="90" customWidth="1"/>
    <col min="2057" max="2057" width="11" style="90" bestFit="1" customWidth="1"/>
    <col min="2058" max="2303" width="9.140625" style="90" customWidth="1"/>
    <col min="2304" max="2304" width="4.28515625" style="90"/>
    <col min="2305" max="2305" width="4.28515625" style="90" customWidth="1"/>
    <col min="2306" max="2306" width="13.28515625" style="90" customWidth="1"/>
    <col min="2307" max="2307" width="9.140625" style="90" customWidth="1"/>
    <col min="2308" max="2308" width="10.5703125" style="90" bestFit="1" customWidth="1"/>
    <col min="2309" max="2309" width="12" style="90" customWidth="1"/>
    <col min="2310" max="2310" width="9.140625" style="90" customWidth="1"/>
    <col min="2311" max="2311" width="15.7109375" style="90" bestFit="1" customWidth="1"/>
    <col min="2312" max="2312" width="9.85546875" style="90" customWidth="1"/>
    <col min="2313" max="2313" width="11" style="90" bestFit="1" customWidth="1"/>
    <col min="2314" max="2559" width="9.140625" style="90" customWidth="1"/>
    <col min="2560" max="2560" width="4.28515625" style="90"/>
    <col min="2561" max="2561" width="4.28515625" style="90" customWidth="1"/>
    <col min="2562" max="2562" width="13.28515625" style="90" customWidth="1"/>
    <col min="2563" max="2563" width="9.140625" style="90" customWidth="1"/>
    <col min="2564" max="2564" width="10.5703125" style="90" bestFit="1" customWidth="1"/>
    <col min="2565" max="2565" width="12" style="90" customWidth="1"/>
    <col min="2566" max="2566" width="9.140625" style="90" customWidth="1"/>
    <col min="2567" max="2567" width="15.7109375" style="90" bestFit="1" customWidth="1"/>
    <col min="2568" max="2568" width="9.85546875" style="90" customWidth="1"/>
    <col min="2569" max="2569" width="11" style="90" bestFit="1" customWidth="1"/>
    <col min="2570" max="2815" width="9.140625" style="90" customWidth="1"/>
    <col min="2816" max="2816" width="4.28515625" style="90"/>
    <col min="2817" max="2817" width="4.28515625" style="90" customWidth="1"/>
    <col min="2818" max="2818" width="13.28515625" style="90" customWidth="1"/>
    <col min="2819" max="2819" width="9.140625" style="90" customWidth="1"/>
    <col min="2820" max="2820" width="10.5703125" style="90" bestFit="1" customWidth="1"/>
    <col min="2821" max="2821" width="12" style="90" customWidth="1"/>
    <col min="2822" max="2822" width="9.140625" style="90" customWidth="1"/>
    <col min="2823" max="2823" width="15.7109375" style="90" bestFit="1" customWidth="1"/>
    <col min="2824" max="2824" width="9.85546875" style="90" customWidth="1"/>
    <col min="2825" max="2825" width="11" style="90" bestFit="1" customWidth="1"/>
    <col min="2826" max="3071" width="9.140625" style="90" customWidth="1"/>
    <col min="3072" max="3072" width="4.28515625" style="90"/>
    <col min="3073" max="3073" width="4.28515625" style="90" customWidth="1"/>
    <col min="3074" max="3074" width="13.28515625" style="90" customWidth="1"/>
    <col min="3075" max="3075" width="9.140625" style="90" customWidth="1"/>
    <col min="3076" max="3076" width="10.5703125" style="90" bestFit="1" customWidth="1"/>
    <col min="3077" max="3077" width="12" style="90" customWidth="1"/>
    <col min="3078" max="3078" width="9.140625" style="90" customWidth="1"/>
    <col min="3079" max="3079" width="15.7109375" style="90" bestFit="1" customWidth="1"/>
    <col min="3080" max="3080" width="9.85546875" style="90" customWidth="1"/>
    <col min="3081" max="3081" width="11" style="90" bestFit="1" customWidth="1"/>
    <col min="3082" max="3327" width="9.140625" style="90" customWidth="1"/>
    <col min="3328" max="3328" width="4.28515625" style="90"/>
    <col min="3329" max="3329" width="4.28515625" style="90" customWidth="1"/>
    <col min="3330" max="3330" width="13.28515625" style="90" customWidth="1"/>
    <col min="3331" max="3331" width="9.140625" style="90" customWidth="1"/>
    <col min="3332" max="3332" width="10.5703125" style="90" bestFit="1" customWidth="1"/>
    <col min="3333" max="3333" width="12" style="90" customWidth="1"/>
    <col min="3334" max="3334" width="9.140625" style="90" customWidth="1"/>
    <col min="3335" max="3335" width="15.7109375" style="90" bestFit="1" customWidth="1"/>
    <col min="3336" max="3336" width="9.85546875" style="90" customWidth="1"/>
    <col min="3337" max="3337" width="11" style="90" bestFit="1" customWidth="1"/>
    <col min="3338" max="3583" width="9.140625" style="90" customWidth="1"/>
    <col min="3584" max="3584" width="4.28515625" style="90"/>
    <col min="3585" max="3585" width="4.28515625" style="90" customWidth="1"/>
    <col min="3586" max="3586" width="13.28515625" style="90" customWidth="1"/>
    <col min="3587" max="3587" width="9.140625" style="90" customWidth="1"/>
    <col min="3588" max="3588" width="10.5703125" style="90" bestFit="1" customWidth="1"/>
    <col min="3589" max="3589" width="12" style="90" customWidth="1"/>
    <col min="3590" max="3590" width="9.140625" style="90" customWidth="1"/>
    <col min="3591" max="3591" width="15.7109375" style="90" bestFit="1" customWidth="1"/>
    <col min="3592" max="3592" width="9.85546875" style="90" customWidth="1"/>
    <col min="3593" max="3593" width="11" style="90" bestFit="1" customWidth="1"/>
    <col min="3594" max="3839" width="9.140625" style="90" customWidth="1"/>
    <col min="3840" max="3840" width="4.28515625" style="90"/>
    <col min="3841" max="3841" width="4.28515625" style="90" customWidth="1"/>
    <col min="3842" max="3842" width="13.28515625" style="90" customWidth="1"/>
    <col min="3843" max="3843" width="9.140625" style="90" customWidth="1"/>
    <col min="3844" max="3844" width="10.5703125" style="90" bestFit="1" customWidth="1"/>
    <col min="3845" max="3845" width="12" style="90" customWidth="1"/>
    <col min="3846" max="3846" width="9.140625" style="90" customWidth="1"/>
    <col min="3847" max="3847" width="15.7109375" style="90" bestFit="1" customWidth="1"/>
    <col min="3848" max="3848" width="9.85546875" style="90" customWidth="1"/>
    <col min="3849" max="3849" width="11" style="90" bestFit="1" customWidth="1"/>
    <col min="3850" max="4095" width="9.140625" style="90" customWidth="1"/>
    <col min="4096" max="4096" width="4.28515625" style="90"/>
    <col min="4097" max="4097" width="4.28515625" style="90" customWidth="1"/>
    <col min="4098" max="4098" width="13.28515625" style="90" customWidth="1"/>
    <col min="4099" max="4099" width="9.140625" style="90" customWidth="1"/>
    <col min="4100" max="4100" width="10.5703125" style="90" bestFit="1" customWidth="1"/>
    <col min="4101" max="4101" width="12" style="90" customWidth="1"/>
    <col min="4102" max="4102" width="9.140625" style="90" customWidth="1"/>
    <col min="4103" max="4103" width="15.7109375" style="90" bestFit="1" customWidth="1"/>
    <col min="4104" max="4104" width="9.85546875" style="90" customWidth="1"/>
    <col min="4105" max="4105" width="11" style="90" bestFit="1" customWidth="1"/>
    <col min="4106" max="4351" width="9.140625" style="90" customWidth="1"/>
    <col min="4352" max="4352" width="4.28515625" style="90"/>
    <col min="4353" max="4353" width="4.28515625" style="90" customWidth="1"/>
    <col min="4354" max="4354" width="13.28515625" style="90" customWidth="1"/>
    <col min="4355" max="4355" width="9.140625" style="90" customWidth="1"/>
    <col min="4356" max="4356" width="10.5703125" style="90" bestFit="1" customWidth="1"/>
    <col min="4357" max="4357" width="12" style="90" customWidth="1"/>
    <col min="4358" max="4358" width="9.140625" style="90" customWidth="1"/>
    <col min="4359" max="4359" width="15.7109375" style="90" bestFit="1" customWidth="1"/>
    <col min="4360" max="4360" width="9.85546875" style="90" customWidth="1"/>
    <col min="4361" max="4361" width="11" style="90" bestFit="1" customWidth="1"/>
    <col min="4362" max="4607" width="9.140625" style="90" customWidth="1"/>
    <col min="4608" max="4608" width="4.28515625" style="90"/>
    <col min="4609" max="4609" width="4.28515625" style="90" customWidth="1"/>
    <col min="4610" max="4610" width="13.28515625" style="90" customWidth="1"/>
    <col min="4611" max="4611" width="9.140625" style="90" customWidth="1"/>
    <col min="4612" max="4612" width="10.5703125" style="90" bestFit="1" customWidth="1"/>
    <col min="4613" max="4613" width="12" style="90" customWidth="1"/>
    <col min="4614" max="4614" width="9.140625" style="90" customWidth="1"/>
    <col min="4615" max="4615" width="15.7109375" style="90" bestFit="1" customWidth="1"/>
    <col min="4616" max="4616" width="9.85546875" style="90" customWidth="1"/>
    <col min="4617" max="4617" width="11" style="90" bestFit="1" customWidth="1"/>
    <col min="4618" max="4863" width="9.140625" style="90" customWidth="1"/>
    <col min="4864" max="4864" width="4.28515625" style="90"/>
    <col min="4865" max="4865" width="4.28515625" style="90" customWidth="1"/>
    <col min="4866" max="4866" width="13.28515625" style="90" customWidth="1"/>
    <col min="4867" max="4867" width="9.140625" style="90" customWidth="1"/>
    <col min="4868" max="4868" width="10.5703125" style="90" bestFit="1" customWidth="1"/>
    <col min="4869" max="4869" width="12" style="90" customWidth="1"/>
    <col min="4870" max="4870" width="9.140625" style="90" customWidth="1"/>
    <col min="4871" max="4871" width="15.7109375" style="90" bestFit="1" customWidth="1"/>
    <col min="4872" max="4872" width="9.85546875" style="90" customWidth="1"/>
    <col min="4873" max="4873" width="11" style="90" bestFit="1" customWidth="1"/>
    <col min="4874" max="5119" width="9.140625" style="90" customWidth="1"/>
    <col min="5120" max="5120" width="4.28515625" style="90"/>
    <col min="5121" max="5121" width="4.28515625" style="90" customWidth="1"/>
    <col min="5122" max="5122" width="13.28515625" style="90" customWidth="1"/>
    <col min="5123" max="5123" width="9.140625" style="90" customWidth="1"/>
    <col min="5124" max="5124" width="10.5703125" style="90" bestFit="1" customWidth="1"/>
    <col min="5125" max="5125" width="12" style="90" customWidth="1"/>
    <col min="5126" max="5126" width="9.140625" style="90" customWidth="1"/>
    <col min="5127" max="5127" width="15.7109375" style="90" bestFit="1" customWidth="1"/>
    <col min="5128" max="5128" width="9.85546875" style="90" customWidth="1"/>
    <col min="5129" max="5129" width="11" style="90" bestFit="1" customWidth="1"/>
    <col min="5130" max="5375" width="9.140625" style="90" customWidth="1"/>
    <col min="5376" max="5376" width="4.28515625" style="90"/>
    <col min="5377" max="5377" width="4.28515625" style="90" customWidth="1"/>
    <col min="5378" max="5378" width="13.28515625" style="90" customWidth="1"/>
    <col min="5379" max="5379" width="9.140625" style="90" customWidth="1"/>
    <col min="5380" max="5380" width="10.5703125" style="90" bestFit="1" customWidth="1"/>
    <col min="5381" max="5381" width="12" style="90" customWidth="1"/>
    <col min="5382" max="5382" width="9.140625" style="90" customWidth="1"/>
    <col min="5383" max="5383" width="15.7109375" style="90" bestFit="1" customWidth="1"/>
    <col min="5384" max="5384" width="9.85546875" style="90" customWidth="1"/>
    <col min="5385" max="5385" width="11" style="90" bestFit="1" customWidth="1"/>
    <col min="5386" max="5631" width="9.140625" style="90" customWidth="1"/>
    <col min="5632" max="5632" width="4.28515625" style="90"/>
    <col min="5633" max="5633" width="4.28515625" style="90" customWidth="1"/>
    <col min="5634" max="5634" width="13.28515625" style="90" customWidth="1"/>
    <col min="5635" max="5635" width="9.140625" style="90" customWidth="1"/>
    <col min="5636" max="5636" width="10.5703125" style="90" bestFit="1" customWidth="1"/>
    <col min="5637" max="5637" width="12" style="90" customWidth="1"/>
    <col min="5638" max="5638" width="9.140625" style="90" customWidth="1"/>
    <col min="5639" max="5639" width="15.7109375" style="90" bestFit="1" customWidth="1"/>
    <col min="5640" max="5640" width="9.85546875" style="90" customWidth="1"/>
    <col min="5641" max="5641" width="11" style="90" bestFit="1" customWidth="1"/>
    <col min="5642" max="5887" width="9.140625" style="90" customWidth="1"/>
    <col min="5888" max="5888" width="4.28515625" style="90"/>
    <col min="5889" max="5889" width="4.28515625" style="90" customWidth="1"/>
    <col min="5890" max="5890" width="13.28515625" style="90" customWidth="1"/>
    <col min="5891" max="5891" width="9.140625" style="90" customWidth="1"/>
    <col min="5892" max="5892" width="10.5703125" style="90" bestFit="1" customWidth="1"/>
    <col min="5893" max="5893" width="12" style="90" customWidth="1"/>
    <col min="5894" max="5894" width="9.140625" style="90" customWidth="1"/>
    <col min="5895" max="5895" width="15.7109375" style="90" bestFit="1" customWidth="1"/>
    <col min="5896" max="5896" width="9.85546875" style="90" customWidth="1"/>
    <col min="5897" max="5897" width="11" style="90" bestFit="1" customWidth="1"/>
    <col min="5898" max="6143" width="9.140625" style="90" customWidth="1"/>
    <col min="6144" max="6144" width="4.28515625" style="90"/>
    <col min="6145" max="6145" width="4.28515625" style="90" customWidth="1"/>
    <col min="6146" max="6146" width="13.28515625" style="90" customWidth="1"/>
    <col min="6147" max="6147" width="9.140625" style="90" customWidth="1"/>
    <col min="6148" max="6148" width="10.5703125" style="90" bestFit="1" customWidth="1"/>
    <col min="6149" max="6149" width="12" style="90" customWidth="1"/>
    <col min="6150" max="6150" width="9.140625" style="90" customWidth="1"/>
    <col min="6151" max="6151" width="15.7109375" style="90" bestFit="1" customWidth="1"/>
    <col min="6152" max="6152" width="9.85546875" style="90" customWidth="1"/>
    <col min="6153" max="6153" width="11" style="90" bestFit="1" customWidth="1"/>
    <col min="6154" max="6399" width="9.140625" style="90" customWidth="1"/>
    <col min="6400" max="6400" width="4.28515625" style="90"/>
    <col min="6401" max="6401" width="4.28515625" style="90" customWidth="1"/>
    <col min="6402" max="6402" width="13.28515625" style="90" customWidth="1"/>
    <col min="6403" max="6403" width="9.140625" style="90" customWidth="1"/>
    <col min="6404" max="6404" width="10.5703125" style="90" bestFit="1" customWidth="1"/>
    <col min="6405" max="6405" width="12" style="90" customWidth="1"/>
    <col min="6406" max="6406" width="9.140625" style="90" customWidth="1"/>
    <col min="6407" max="6407" width="15.7109375" style="90" bestFit="1" customWidth="1"/>
    <col min="6408" max="6408" width="9.85546875" style="90" customWidth="1"/>
    <col min="6409" max="6409" width="11" style="90" bestFit="1" customWidth="1"/>
    <col min="6410" max="6655" width="9.140625" style="90" customWidth="1"/>
    <col min="6656" max="6656" width="4.28515625" style="90"/>
    <col min="6657" max="6657" width="4.28515625" style="90" customWidth="1"/>
    <col min="6658" max="6658" width="13.28515625" style="90" customWidth="1"/>
    <col min="6659" max="6659" width="9.140625" style="90" customWidth="1"/>
    <col min="6660" max="6660" width="10.5703125" style="90" bestFit="1" customWidth="1"/>
    <col min="6661" max="6661" width="12" style="90" customWidth="1"/>
    <col min="6662" max="6662" width="9.140625" style="90" customWidth="1"/>
    <col min="6663" max="6663" width="15.7109375" style="90" bestFit="1" customWidth="1"/>
    <col min="6664" max="6664" width="9.85546875" style="90" customWidth="1"/>
    <col min="6665" max="6665" width="11" style="90" bestFit="1" customWidth="1"/>
    <col min="6666" max="6911" width="9.140625" style="90" customWidth="1"/>
    <col min="6912" max="6912" width="4.28515625" style="90"/>
    <col min="6913" max="6913" width="4.28515625" style="90" customWidth="1"/>
    <col min="6914" max="6914" width="13.28515625" style="90" customWidth="1"/>
    <col min="6915" max="6915" width="9.140625" style="90" customWidth="1"/>
    <col min="6916" max="6916" width="10.5703125" style="90" bestFit="1" customWidth="1"/>
    <col min="6917" max="6917" width="12" style="90" customWidth="1"/>
    <col min="6918" max="6918" width="9.140625" style="90" customWidth="1"/>
    <col min="6919" max="6919" width="15.7109375" style="90" bestFit="1" customWidth="1"/>
    <col min="6920" max="6920" width="9.85546875" style="90" customWidth="1"/>
    <col min="6921" max="6921" width="11" style="90" bestFit="1" customWidth="1"/>
    <col min="6922" max="7167" width="9.140625" style="90" customWidth="1"/>
    <col min="7168" max="7168" width="4.28515625" style="90"/>
    <col min="7169" max="7169" width="4.28515625" style="90" customWidth="1"/>
    <col min="7170" max="7170" width="13.28515625" style="90" customWidth="1"/>
    <col min="7171" max="7171" width="9.140625" style="90" customWidth="1"/>
    <col min="7172" max="7172" width="10.5703125" style="90" bestFit="1" customWidth="1"/>
    <col min="7173" max="7173" width="12" style="90" customWidth="1"/>
    <col min="7174" max="7174" width="9.140625" style="90" customWidth="1"/>
    <col min="7175" max="7175" width="15.7109375" style="90" bestFit="1" customWidth="1"/>
    <col min="7176" max="7176" width="9.85546875" style="90" customWidth="1"/>
    <col min="7177" max="7177" width="11" style="90" bestFit="1" customWidth="1"/>
    <col min="7178" max="7423" width="9.140625" style="90" customWidth="1"/>
    <col min="7424" max="7424" width="4.28515625" style="90"/>
    <col min="7425" max="7425" width="4.28515625" style="90" customWidth="1"/>
    <col min="7426" max="7426" width="13.28515625" style="90" customWidth="1"/>
    <col min="7427" max="7427" width="9.140625" style="90" customWidth="1"/>
    <col min="7428" max="7428" width="10.5703125" style="90" bestFit="1" customWidth="1"/>
    <col min="7429" max="7429" width="12" style="90" customWidth="1"/>
    <col min="7430" max="7430" width="9.140625" style="90" customWidth="1"/>
    <col min="7431" max="7431" width="15.7109375" style="90" bestFit="1" customWidth="1"/>
    <col min="7432" max="7432" width="9.85546875" style="90" customWidth="1"/>
    <col min="7433" max="7433" width="11" style="90" bestFit="1" customWidth="1"/>
    <col min="7434" max="7679" width="9.140625" style="90" customWidth="1"/>
    <col min="7680" max="7680" width="4.28515625" style="90"/>
    <col min="7681" max="7681" width="4.28515625" style="90" customWidth="1"/>
    <col min="7682" max="7682" width="13.28515625" style="90" customWidth="1"/>
    <col min="7683" max="7683" width="9.140625" style="90" customWidth="1"/>
    <col min="7684" max="7684" width="10.5703125" style="90" bestFit="1" customWidth="1"/>
    <col min="7685" max="7685" width="12" style="90" customWidth="1"/>
    <col min="7686" max="7686" width="9.140625" style="90" customWidth="1"/>
    <col min="7687" max="7687" width="15.7109375" style="90" bestFit="1" customWidth="1"/>
    <col min="7688" max="7688" width="9.85546875" style="90" customWidth="1"/>
    <col min="7689" max="7689" width="11" style="90" bestFit="1" customWidth="1"/>
    <col min="7690" max="7935" width="9.140625" style="90" customWidth="1"/>
    <col min="7936" max="7936" width="4.28515625" style="90"/>
    <col min="7937" max="7937" width="4.28515625" style="90" customWidth="1"/>
    <col min="7938" max="7938" width="13.28515625" style="90" customWidth="1"/>
    <col min="7939" max="7939" width="9.140625" style="90" customWidth="1"/>
    <col min="7940" max="7940" width="10.5703125" style="90" bestFit="1" customWidth="1"/>
    <col min="7941" max="7941" width="12" style="90" customWidth="1"/>
    <col min="7942" max="7942" width="9.140625" style="90" customWidth="1"/>
    <col min="7943" max="7943" width="15.7109375" style="90" bestFit="1" customWidth="1"/>
    <col min="7944" max="7944" width="9.85546875" style="90" customWidth="1"/>
    <col min="7945" max="7945" width="11" style="90" bestFit="1" customWidth="1"/>
    <col min="7946" max="8191" width="9.140625" style="90" customWidth="1"/>
    <col min="8192" max="8192" width="4.28515625" style="90"/>
    <col min="8193" max="8193" width="4.28515625" style="90" customWidth="1"/>
    <col min="8194" max="8194" width="13.28515625" style="90" customWidth="1"/>
    <col min="8195" max="8195" width="9.140625" style="90" customWidth="1"/>
    <col min="8196" max="8196" width="10.5703125" style="90" bestFit="1" customWidth="1"/>
    <col min="8197" max="8197" width="12" style="90" customWidth="1"/>
    <col min="8198" max="8198" width="9.140625" style="90" customWidth="1"/>
    <col min="8199" max="8199" width="15.7109375" style="90" bestFit="1" customWidth="1"/>
    <col min="8200" max="8200" width="9.85546875" style="90" customWidth="1"/>
    <col min="8201" max="8201" width="11" style="90" bestFit="1" customWidth="1"/>
    <col min="8202" max="8447" width="9.140625" style="90" customWidth="1"/>
    <col min="8448" max="8448" width="4.28515625" style="90"/>
    <col min="8449" max="8449" width="4.28515625" style="90" customWidth="1"/>
    <col min="8450" max="8450" width="13.28515625" style="90" customWidth="1"/>
    <col min="8451" max="8451" width="9.140625" style="90" customWidth="1"/>
    <col min="8452" max="8452" width="10.5703125" style="90" bestFit="1" customWidth="1"/>
    <col min="8453" max="8453" width="12" style="90" customWidth="1"/>
    <col min="8454" max="8454" width="9.140625" style="90" customWidth="1"/>
    <col min="8455" max="8455" width="15.7109375" style="90" bestFit="1" customWidth="1"/>
    <col min="8456" max="8456" width="9.85546875" style="90" customWidth="1"/>
    <col min="8457" max="8457" width="11" style="90" bestFit="1" customWidth="1"/>
    <col min="8458" max="8703" width="9.140625" style="90" customWidth="1"/>
    <col min="8704" max="8704" width="4.28515625" style="90"/>
    <col min="8705" max="8705" width="4.28515625" style="90" customWidth="1"/>
    <col min="8706" max="8706" width="13.28515625" style="90" customWidth="1"/>
    <col min="8707" max="8707" width="9.140625" style="90" customWidth="1"/>
    <col min="8708" max="8708" width="10.5703125" style="90" bestFit="1" customWidth="1"/>
    <col min="8709" max="8709" width="12" style="90" customWidth="1"/>
    <col min="8710" max="8710" width="9.140625" style="90" customWidth="1"/>
    <col min="8711" max="8711" width="15.7109375" style="90" bestFit="1" customWidth="1"/>
    <col min="8712" max="8712" width="9.85546875" style="90" customWidth="1"/>
    <col min="8713" max="8713" width="11" style="90" bestFit="1" customWidth="1"/>
    <col min="8714" max="8959" width="9.140625" style="90" customWidth="1"/>
    <col min="8960" max="8960" width="4.28515625" style="90"/>
    <col min="8961" max="8961" width="4.28515625" style="90" customWidth="1"/>
    <col min="8962" max="8962" width="13.28515625" style="90" customWidth="1"/>
    <col min="8963" max="8963" width="9.140625" style="90" customWidth="1"/>
    <col min="8964" max="8964" width="10.5703125" style="90" bestFit="1" customWidth="1"/>
    <col min="8965" max="8965" width="12" style="90" customWidth="1"/>
    <col min="8966" max="8966" width="9.140625" style="90" customWidth="1"/>
    <col min="8967" max="8967" width="15.7109375" style="90" bestFit="1" customWidth="1"/>
    <col min="8968" max="8968" width="9.85546875" style="90" customWidth="1"/>
    <col min="8969" max="8969" width="11" style="90" bestFit="1" customWidth="1"/>
    <col min="8970" max="9215" width="9.140625" style="90" customWidth="1"/>
    <col min="9216" max="9216" width="4.28515625" style="90"/>
    <col min="9217" max="9217" width="4.28515625" style="90" customWidth="1"/>
    <col min="9218" max="9218" width="13.28515625" style="90" customWidth="1"/>
    <col min="9219" max="9219" width="9.140625" style="90" customWidth="1"/>
    <col min="9220" max="9220" width="10.5703125" style="90" bestFit="1" customWidth="1"/>
    <col min="9221" max="9221" width="12" style="90" customWidth="1"/>
    <col min="9222" max="9222" width="9.140625" style="90" customWidth="1"/>
    <col min="9223" max="9223" width="15.7109375" style="90" bestFit="1" customWidth="1"/>
    <col min="9224" max="9224" width="9.85546875" style="90" customWidth="1"/>
    <col min="9225" max="9225" width="11" style="90" bestFit="1" customWidth="1"/>
    <col min="9226" max="9471" width="9.140625" style="90" customWidth="1"/>
    <col min="9472" max="9472" width="4.28515625" style="90"/>
    <col min="9473" max="9473" width="4.28515625" style="90" customWidth="1"/>
    <col min="9474" max="9474" width="13.28515625" style="90" customWidth="1"/>
    <col min="9475" max="9475" width="9.140625" style="90" customWidth="1"/>
    <col min="9476" max="9476" width="10.5703125" style="90" bestFit="1" customWidth="1"/>
    <col min="9477" max="9477" width="12" style="90" customWidth="1"/>
    <col min="9478" max="9478" width="9.140625" style="90" customWidth="1"/>
    <col min="9479" max="9479" width="15.7109375" style="90" bestFit="1" customWidth="1"/>
    <col min="9480" max="9480" width="9.85546875" style="90" customWidth="1"/>
    <col min="9481" max="9481" width="11" style="90" bestFit="1" customWidth="1"/>
    <col min="9482" max="9727" width="9.140625" style="90" customWidth="1"/>
    <col min="9728" max="9728" width="4.28515625" style="90"/>
    <col min="9729" max="9729" width="4.28515625" style="90" customWidth="1"/>
    <col min="9730" max="9730" width="13.28515625" style="90" customWidth="1"/>
    <col min="9731" max="9731" width="9.140625" style="90" customWidth="1"/>
    <col min="9732" max="9732" width="10.5703125" style="90" bestFit="1" customWidth="1"/>
    <col min="9733" max="9733" width="12" style="90" customWidth="1"/>
    <col min="9734" max="9734" width="9.140625" style="90" customWidth="1"/>
    <col min="9735" max="9735" width="15.7109375" style="90" bestFit="1" customWidth="1"/>
    <col min="9736" max="9736" width="9.85546875" style="90" customWidth="1"/>
    <col min="9737" max="9737" width="11" style="90" bestFit="1" customWidth="1"/>
    <col min="9738" max="9983" width="9.140625" style="90" customWidth="1"/>
    <col min="9984" max="9984" width="4.28515625" style="90"/>
    <col min="9985" max="9985" width="4.28515625" style="90" customWidth="1"/>
    <col min="9986" max="9986" width="13.28515625" style="90" customWidth="1"/>
    <col min="9987" max="9987" width="9.140625" style="90" customWidth="1"/>
    <col min="9988" max="9988" width="10.5703125" style="90" bestFit="1" customWidth="1"/>
    <col min="9989" max="9989" width="12" style="90" customWidth="1"/>
    <col min="9990" max="9990" width="9.140625" style="90" customWidth="1"/>
    <col min="9991" max="9991" width="15.7109375" style="90" bestFit="1" customWidth="1"/>
    <col min="9992" max="9992" width="9.85546875" style="90" customWidth="1"/>
    <col min="9993" max="9993" width="11" style="90" bestFit="1" customWidth="1"/>
    <col min="9994" max="10239" width="9.140625" style="90" customWidth="1"/>
    <col min="10240" max="10240" width="4.28515625" style="90"/>
    <col min="10241" max="10241" width="4.28515625" style="90" customWidth="1"/>
    <col min="10242" max="10242" width="13.28515625" style="90" customWidth="1"/>
    <col min="10243" max="10243" width="9.140625" style="90" customWidth="1"/>
    <col min="10244" max="10244" width="10.5703125" style="90" bestFit="1" customWidth="1"/>
    <col min="10245" max="10245" width="12" style="90" customWidth="1"/>
    <col min="10246" max="10246" width="9.140625" style="90" customWidth="1"/>
    <col min="10247" max="10247" width="15.7109375" style="90" bestFit="1" customWidth="1"/>
    <col min="10248" max="10248" width="9.85546875" style="90" customWidth="1"/>
    <col min="10249" max="10249" width="11" style="90" bestFit="1" customWidth="1"/>
    <col min="10250" max="10495" width="9.140625" style="90" customWidth="1"/>
    <col min="10496" max="10496" width="4.28515625" style="90"/>
    <col min="10497" max="10497" width="4.28515625" style="90" customWidth="1"/>
    <col min="10498" max="10498" width="13.28515625" style="90" customWidth="1"/>
    <col min="10499" max="10499" width="9.140625" style="90" customWidth="1"/>
    <col min="10500" max="10500" width="10.5703125" style="90" bestFit="1" customWidth="1"/>
    <col min="10501" max="10501" width="12" style="90" customWidth="1"/>
    <col min="10502" max="10502" width="9.140625" style="90" customWidth="1"/>
    <col min="10503" max="10503" width="15.7109375" style="90" bestFit="1" customWidth="1"/>
    <col min="10504" max="10504" width="9.85546875" style="90" customWidth="1"/>
    <col min="10505" max="10505" width="11" style="90" bestFit="1" customWidth="1"/>
    <col min="10506" max="10751" width="9.140625" style="90" customWidth="1"/>
    <col min="10752" max="10752" width="4.28515625" style="90"/>
    <col min="10753" max="10753" width="4.28515625" style="90" customWidth="1"/>
    <col min="10754" max="10754" width="13.28515625" style="90" customWidth="1"/>
    <col min="10755" max="10755" width="9.140625" style="90" customWidth="1"/>
    <col min="10756" max="10756" width="10.5703125" style="90" bestFit="1" customWidth="1"/>
    <col min="10757" max="10757" width="12" style="90" customWidth="1"/>
    <col min="10758" max="10758" width="9.140625" style="90" customWidth="1"/>
    <col min="10759" max="10759" width="15.7109375" style="90" bestFit="1" customWidth="1"/>
    <col min="10760" max="10760" width="9.85546875" style="90" customWidth="1"/>
    <col min="10761" max="10761" width="11" style="90" bestFit="1" customWidth="1"/>
    <col min="10762" max="11007" width="9.140625" style="90" customWidth="1"/>
    <col min="11008" max="11008" width="4.28515625" style="90"/>
    <col min="11009" max="11009" width="4.28515625" style="90" customWidth="1"/>
    <col min="11010" max="11010" width="13.28515625" style="90" customWidth="1"/>
    <col min="11011" max="11011" width="9.140625" style="90" customWidth="1"/>
    <col min="11012" max="11012" width="10.5703125" style="90" bestFit="1" customWidth="1"/>
    <col min="11013" max="11013" width="12" style="90" customWidth="1"/>
    <col min="11014" max="11014" width="9.140625" style="90" customWidth="1"/>
    <col min="11015" max="11015" width="15.7109375" style="90" bestFit="1" customWidth="1"/>
    <col min="11016" max="11016" width="9.85546875" style="90" customWidth="1"/>
    <col min="11017" max="11017" width="11" style="90" bestFit="1" customWidth="1"/>
    <col min="11018" max="11263" width="9.140625" style="90" customWidth="1"/>
    <col min="11264" max="11264" width="4.28515625" style="90"/>
    <col min="11265" max="11265" width="4.28515625" style="90" customWidth="1"/>
    <col min="11266" max="11266" width="13.28515625" style="90" customWidth="1"/>
    <col min="11267" max="11267" width="9.140625" style="90" customWidth="1"/>
    <col min="11268" max="11268" width="10.5703125" style="90" bestFit="1" customWidth="1"/>
    <col min="11269" max="11269" width="12" style="90" customWidth="1"/>
    <col min="11270" max="11270" width="9.140625" style="90" customWidth="1"/>
    <col min="11271" max="11271" width="15.7109375" style="90" bestFit="1" customWidth="1"/>
    <col min="11272" max="11272" width="9.85546875" style="90" customWidth="1"/>
    <col min="11273" max="11273" width="11" style="90" bestFit="1" customWidth="1"/>
    <col min="11274" max="11519" width="9.140625" style="90" customWidth="1"/>
    <col min="11520" max="11520" width="4.28515625" style="90"/>
    <col min="11521" max="11521" width="4.28515625" style="90" customWidth="1"/>
    <col min="11522" max="11522" width="13.28515625" style="90" customWidth="1"/>
    <col min="11523" max="11523" width="9.140625" style="90" customWidth="1"/>
    <col min="11524" max="11524" width="10.5703125" style="90" bestFit="1" customWidth="1"/>
    <col min="11525" max="11525" width="12" style="90" customWidth="1"/>
    <col min="11526" max="11526" width="9.140625" style="90" customWidth="1"/>
    <col min="11527" max="11527" width="15.7109375" style="90" bestFit="1" customWidth="1"/>
    <col min="11528" max="11528" width="9.85546875" style="90" customWidth="1"/>
    <col min="11529" max="11529" width="11" style="90" bestFit="1" customWidth="1"/>
    <col min="11530" max="11775" width="9.140625" style="90" customWidth="1"/>
    <col min="11776" max="11776" width="4.28515625" style="90"/>
    <col min="11777" max="11777" width="4.28515625" style="90" customWidth="1"/>
    <col min="11778" max="11778" width="13.28515625" style="90" customWidth="1"/>
    <col min="11779" max="11779" width="9.140625" style="90" customWidth="1"/>
    <col min="11780" max="11780" width="10.5703125" style="90" bestFit="1" customWidth="1"/>
    <col min="11781" max="11781" width="12" style="90" customWidth="1"/>
    <col min="11782" max="11782" width="9.140625" style="90" customWidth="1"/>
    <col min="11783" max="11783" width="15.7109375" style="90" bestFit="1" customWidth="1"/>
    <col min="11784" max="11784" width="9.85546875" style="90" customWidth="1"/>
    <col min="11785" max="11785" width="11" style="90" bestFit="1" customWidth="1"/>
    <col min="11786" max="12031" width="9.140625" style="90" customWidth="1"/>
    <col min="12032" max="12032" width="4.28515625" style="90"/>
    <col min="12033" max="12033" width="4.28515625" style="90" customWidth="1"/>
    <col min="12034" max="12034" width="13.28515625" style="90" customWidth="1"/>
    <col min="12035" max="12035" width="9.140625" style="90" customWidth="1"/>
    <col min="12036" max="12036" width="10.5703125" style="90" bestFit="1" customWidth="1"/>
    <col min="12037" max="12037" width="12" style="90" customWidth="1"/>
    <col min="12038" max="12038" width="9.140625" style="90" customWidth="1"/>
    <col min="12039" max="12039" width="15.7109375" style="90" bestFit="1" customWidth="1"/>
    <col min="12040" max="12040" width="9.85546875" style="90" customWidth="1"/>
    <col min="12041" max="12041" width="11" style="90" bestFit="1" customWidth="1"/>
    <col min="12042" max="12287" width="9.140625" style="90" customWidth="1"/>
    <col min="12288" max="12288" width="4.28515625" style="90"/>
    <col min="12289" max="12289" width="4.28515625" style="90" customWidth="1"/>
    <col min="12290" max="12290" width="13.28515625" style="90" customWidth="1"/>
    <col min="12291" max="12291" width="9.140625" style="90" customWidth="1"/>
    <col min="12292" max="12292" width="10.5703125" style="90" bestFit="1" customWidth="1"/>
    <col min="12293" max="12293" width="12" style="90" customWidth="1"/>
    <col min="12294" max="12294" width="9.140625" style="90" customWidth="1"/>
    <col min="12295" max="12295" width="15.7109375" style="90" bestFit="1" customWidth="1"/>
    <col min="12296" max="12296" width="9.85546875" style="90" customWidth="1"/>
    <col min="12297" max="12297" width="11" style="90" bestFit="1" customWidth="1"/>
    <col min="12298" max="12543" width="9.140625" style="90" customWidth="1"/>
    <col min="12544" max="12544" width="4.28515625" style="90"/>
    <col min="12545" max="12545" width="4.28515625" style="90" customWidth="1"/>
    <col min="12546" max="12546" width="13.28515625" style="90" customWidth="1"/>
    <col min="12547" max="12547" width="9.140625" style="90" customWidth="1"/>
    <col min="12548" max="12548" width="10.5703125" style="90" bestFit="1" customWidth="1"/>
    <col min="12549" max="12549" width="12" style="90" customWidth="1"/>
    <col min="12550" max="12550" width="9.140625" style="90" customWidth="1"/>
    <col min="12551" max="12551" width="15.7109375" style="90" bestFit="1" customWidth="1"/>
    <col min="12552" max="12552" width="9.85546875" style="90" customWidth="1"/>
    <col min="12553" max="12553" width="11" style="90" bestFit="1" customWidth="1"/>
    <col min="12554" max="12799" width="9.140625" style="90" customWidth="1"/>
    <col min="12800" max="12800" width="4.28515625" style="90"/>
    <col min="12801" max="12801" width="4.28515625" style="90" customWidth="1"/>
    <col min="12802" max="12802" width="13.28515625" style="90" customWidth="1"/>
    <col min="12803" max="12803" width="9.140625" style="90" customWidth="1"/>
    <col min="12804" max="12804" width="10.5703125" style="90" bestFit="1" customWidth="1"/>
    <col min="12805" max="12805" width="12" style="90" customWidth="1"/>
    <col min="12806" max="12806" width="9.140625" style="90" customWidth="1"/>
    <col min="12807" max="12807" width="15.7109375" style="90" bestFit="1" customWidth="1"/>
    <col min="12808" max="12808" width="9.85546875" style="90" customWidth="1"/>
    <col min="12809" max="12809" width="11" style="90" bestFit="1" customWidth="1"/>
    <col min="12810" max="13055" width="9.140625" style="90" customWidth="1"/>
    <col min="13056" max="13056" width="4.28515625" style="90"/>
    <col min="13057" max="13057" width="4.28515625" style="90" customWidth="1"/>
    <col min="13058" max="13058" width="13.28515625" style="90" customWidth="1"/>
    <col min="13059" max="13059" width="9.140625" style="90" customWidth="1"/>
    <col min="13060" max="13060" width="10.5703125" style="90" bestFit="1" customWidth="1"/>
    <col min="13061" max="13061" width="12" style="90" customWidth="1"/>
    <col min="13062" max="13062" width="9.140625" style="90" customWidth="1"/>
    <col min="13063" max="13063" width="15.7109375" style="90" bestFit="1" customWidth="1"/>
    <col min="13064" max="13064" width="9.85546875" style="90" customWidth="1"/>
    <col min="13065" max="13065" width="11" style="90" bestFit="1" customWidth="1"/>
    <col min="13066" max="13311" width="9.140625" style="90" customWidth="1"/>
    <col min="13312" max="13312" width="4.28515625" style="90"/>
    <col min="13313" max="13313" width="4.28515625" style="90" customWidth="1"/>
    <col min="13314" max="13314" width="13.28515625" style="90" customWidth="1"/>
    <col min="13315" max="13315" width="9.140625" style="90" customWidth="1"/>
    <col min="13316" max="13316" width="10.5703125" style="90" bestFit="1" customWidth="1"/>
    <col min="13317" max="13317" width="12" style="90" customWidth="1"/>
    <col min="13318" max="13318" width="9.140625" style="90" customWidth="1"/>
    <col min="13319" max="13319" width="15.7109375" style="90" bestFit="1" customWidth="1"/>
    <col min="13320" max="13320" width="9.85546875" style="90" customWidth="1"/>
    <col min="13321" max="13321" width="11" style="90" bestFit="1" customWidth="1"/>
    <col min="13322" max="13567" width="9.140625" style="90" customWidth="1"/>
    <col min="13568" max="13568" width="4.28515625" style="90"/>
    <col min="13569" max="13569" width="4.28515625" style="90" customWidth="1"/>
    <col min="13570" max="13570" width="13.28515625" style="90" customWidth="1"/>
    <col min="13571" max="13571" width="9.140625" style="90" customWidth="1"/>
    <col min="13572" max="13572" width="10.5703125" style="90" bestFit="1" customWidth="1"/>
    <col min="13573" max="13573" width="12" style="90" customWidth="1"/>
    <col min="13574" max="13574" width="9.140625" style="90" customWidth="1"/>
    <col min="13575" max="13575" width="15.7109375" style="90" bestFit="1" customWidth="1"/>
    <col min="13576" max="13576" width="9.85546875" style="90" customWidth="1"/>
    <col min="13577" max="13577" width="11" style="90" bestFit="1" customWidth="1"/>
    <col min="13578" max="13823" width="9.140625" style="90" customWidth="1"/>
    <col min="13824" max="13824" width="4.28515625" style="90"/>
    <col min="13825" max="13825" width="4.28515625" style="90" customWidth="1"/>
    <col min="13826" max="13826" width="13.28515625" style="90" customWidth="1"/>
    <col min="13827" max="13827" width="9.140625" style="90" customWidth="1"/>
    <col min="13828" max="13828" width="10.5703125" style="90" bestFit="1" customWidth="1"/>
    <col min="13829" max="13829" width="12" style="90" customWidth="1"/>
    <col min="13830" max="13830" width="9.140625" style="90" customWidth="1"/>
    <col min="13831" max="13831" width="15.7109375" style="90" bestFit="1" customWidth="1"/>
    <col min="13832" max="13832" width="9.85546875" style="90" customWidth="1"/>
    <col min="13833" max="13833" width="11" style="90" bestFit="1" customWidth="1"/>
    <col min="13834" max="14079" width="9.140625" style="90" customWidth="1"/>
    <col min="14080" max="14080" width="4.28515625" style="90"/>
    <col min="14081" max="14081" width="4.28515625" style="90" customWidth="1"/>
    <col min="14082" max="14082" width="13.28515625" style="90" customWidth="1"/>
    <col min="14083" max="14083" width="9.140625" style="90" customWidth="1"/>
    <col min="14084" max="14084" width="10.5703125" style="90" bestFit="1" customWidth="1"/>
    <col min="14085" max="14085" width="12" style="90" customWidth="1"/>
    <col min="14086" max="14086" width="9.140625" style="90" customWidth="1"/>
    <col min="14087" max="14087" width="15.7109375" style="90" bestFit="1" customWidth="1"/>
    <col min="14088" max="14088" width="9.85546875" style="90" customWidth="1"/>
    <col min="14089" max="14089" width="11" style="90" bestFit="1" customWidth="1"/>
    <col min="14090" max="14335" width="9.140625" style="90" customWidth="1"/>
    <col min="14336" max="14336" width="4.28515625" style="90"/>
    <col min="14337" max="14337" width="4.28515625" style="90" customWidth="1"/>
    <col min="14338" max="14338" width="13.28515625" style="90" customWidth="1"/>
    <col min="14339" max="14339" width="9.140625" style="90" customWidth="1"/>
    <col min="14340" max="14340" width="10.5703125" style="90" bestFit="1" customWidth="1"/>
    <col min="14341" max="14341" width="12" style="90" customWidth="1"/>
    <col min="14342" max="14342" width="9.140625" style="90" customWidth="1"/>
    <col min="14343" max="14343" width="15.7109375" style="90" bestFit="1" customWidth="1"/>
    <col min="14344" max="14344" width="9.85546875" style="90" customWidth="1"/>
    <col min="14345" max="14345" width="11" style="90" bestFit="1" customWidth="1"/>
    <col min="14346" max="14591" width="9.140625" style="90" customWidth="1"/>
    <col min="14592" max="14592" width="4.28515625" style="90"/>
    <col min="14593" max="14593" width="4.28515625" style="90" customWidth="1"/>
    <col min="14594" max="14594" width="13.28515625" style="90" customWidth="1"/>
    <col min="14595" max="14595" width="9.140625" style="90" customWidth="1"/>
    <col min="14596" max="14596" width="10.5703125" style="90" bestFit="1" customWidth="1"/>
    <col min="14597" max="14597" width="12" style="90" customWidth="1"/>
    <col min="14598" max="14598" width="9.140625" style="90" customWidth="1"/>
    <col min="14599" max="14599" width="15.7109375" style="90" bestFit="1" customWidth="1"/>
    <col min="14600" max="14600" width="9.85546875" style="90" customWidth="1"/>
    <col min="14601" max="14601" width="11" style="90" bestFit="1" customWidth="1"/>
    <col min="14602" max="14847" width="9.140625" style="90" customWidth="1"/>
    <col min="14848" max="14848" width="4.28515625" style="90"/>
    <col min="14849" max="14849" width="4.28515625" style="90" customWidth="1"/>
    <col min="14850" max="14850" width="13.28515625" style="90" customWidth="1"/>
    <col min="14851" max="14851" width="9.140625" style="90" customWidth="1"/>
    <col min="14852" max="14852" width="10.5703125" style="90" bestFit="1" customWidth="1"/>
    <col min="14853" max="14853" width="12" style="90" customWidth="1"/>
    <col min="14854" max="14854" width="9.140625" style="90" customWidth="1"/>
    <col min="14855" max="14855" width="15.7109375" style="90" bestFit="1" customWidth="1"/>
    <col min="14856" max="14856" width="9.85546875" style="90" customWidth="1"/>
    <col min="14857" max="14857" width="11" style="90" bestFit="1" customWidth="1"/>
    <col min="14858" max="15103" width="9.140625" style="90" customWidth="1"/>
    <col min="15104" max="15104" width="4.28515625" style="90"/>
    <col min="15105" max="15105" width="4.28515625" style="90" customWidth="1"/>
    <col min="15106" max="15106" width="13.28515625" style="90" customWidth="1"/>
    <col min="15107" max="15107" width="9.140625" style="90" customWidth="1"/>
    <col min="15108" max="15108" width="10.5703125" style="90" bestFit="1" customWidth="1"/>
    <col min="15109" max="15109" width="12" style="90" customWidth="1"/>
    <col min="15110" max="15110" width="9.140625" style="90" customWidth="1"/>
    <col min="15111" max="15111" width="15.7109375" style="90" bestFit="1" customWidth="1"/>
    <col min="15112" max="15112" width="9.85546875" style="90" customWidth="1"/>
    <col min="15113" max="15113" width="11" style="90" bestFit="1" customWidth="1"/>
    <col min="15114" max="15359" width="9.140625" style="90" customWidth="1"/>
    <col min="15360" max="15360" width="4.28515625" style="90"/>
    <col min="15361" max="15361" width="4.28515625" style="90" customWidth="1"/>
    <col min="15362" max="15362" width="13.28515625" style="90" customWidth="1"/>
    <col min="15363" max="15363" width="9.140625" style="90" customWidth="1"/>
    <col min="15364" max="15364" width="10.5703125" style="90" bestFit="1" customWidth="1"/>
    <col min="15365" max="15365" width="12" style="90" customWidth="1"/>
    <col min="15366" max="15366" width="9.140625" style="90" customWidth="1"/>
    <col min="15367" max="15367" width="15.7109375" style="90" bestFit="1" customWidth="1"/>
    <col min="15368" max="15368" width="9.85546875" style="90" customWidth="1"/>
    <col min="15369" max="15369" width="11" style="90" bestFit="1" customWidth="1"/>
    <col min="15370" max="15615" width="9.140625" style="90" customWidth="1"/>
    <col min="15616" max="15616" width="4.28515625" style="90"/>
    <col min="15617" max="15617" width="4.28515625" style="90" customWidth="1"/>
    <col min="15618" max="15618" width="13.28515625" style="90" customWidth="1"/>
    <col min="15619" max="15619" width="9.140625" style="90" customWidth="1"/>
    <col min="15620" max="15620" width="10.5703125" style="90" bestFit="1" customWidth="1"/>
    <col min="15621" max="15621" width="12" style="90" customWidth="1"/>
    <col min="15622" max="15622" width="9.140625" style="90" customWidth="1"/>
    <col min="15623" max="15623" width="15.7109375" style="90" bestFit="1" customWidth="1"/>
    <col min="15624" max="15624" width="9.85546875" style="90" customWidth="1"/>
    <col min="15625" max="15625" width="11" style="90" bestFit="1" customWidth="1"/>
    <col min="15626" max="15871" width="9.140625" style="90" customWidth="1"/>
    <col min="15872" max="15872" width="4.28515625" style="90"/>
    <col min="15873" max="15873" width="4.28515625" style="90" customWidth="1"/>
    <col min="15874" max="15874" width="13.28515625" style="90" customWidth="1"/>
    <col min="15875" max="15875" width="9.140625" style="90" customWidth="1"/>
    <col min="15876" max="15876" width="10.5703125" style="90" bestFit="1" customWidth="1"/>
    <col min="15877" max="15877" width="12" style="90" customWidth="1"/>
    <col min="15878" max="15878" width="9.140625" style="90" customWidth="1"/>
    <col min="15879" max="15879" width="15.7109375" style="90" bestFit="1" customWidth="1"/>
    <col min="15880" max="15880" width="9.85546875" style="90" customWidth="1"/>
    <col min="15881" max="15881" width="11" style="90" bestFit="1" customWidth="1"/>
    <col min="15882" max="16127" width="9.140625" style="90" customWidth="1"/>
    <col min="16128" max="16128" width="4.28515625" style="90"/>
    <col min="16129" max="16129" width="4.28515625" style="90" customWidth="1"/>
    <col min="16130" max="16130" width="13.28515625" style="90" customWidth="1"/>
    <col min="16131" max="16131" width="9.140625" style="90" customWidth="1"/>
    <col min="16132" max="16132" width="10.5703125" style="90" bestFit="1" customWidth="1"/>
    <col min="16133" max="16133" width="12" style="90" customWidth="1"/>
    <col min="16134" max="16134" width="9.140625" style="90" customWidth="1"/>
    <col min="16135" max="16135" width="15.7109375" style="90" bestFit="1" customWidth="1"/>
    <col min="16136" max="16136" width="9.85546875" style="90" customWidth="1"/>
    <col min="16137" max="16137" width="11" style="90" bestFit="1" customWidth="1"/>
    <col min="16138" max="16383" width="9.140625" style="90" customWidth="1"/>
    <col min="16384" max="16384" width="4.28515625" style="90"/>
  </cols>
  <sheetData>
    <row r="1" spans="1:13">
      <c r="A1" s="89"/>
    </row>
    <row r="3" spans="1:13" ht="13.5" thickBot="1"/>
    <row r="4" spans="1:13" ht="18" customHeight="1">
      <c r="B4" s="670" t="s">
        <v>412</v>
      </c>
      <c r="C4" s="671"/>
      <c r="D4" s="671"/>
      <c r="E4" s="672"/>
    </row>
    <row r="5" spans="1:13" ht="21.75" customHeight="1" thickBot="1">
      <c r="B5" s="676"/>
      <c r="C5" s="677"/>
      <c r="D5" s="677"/>
      <c r="E5" s="678"/>
      <c r="G5" s="91"/>
    </row>
    <row r="6" spans="1:13" ht="13.5" thickBot="1">
      <c r="B6" s="92" t="s">
        <v>413</v>
      </c>
      <c r="C6" s="546" t="s">
        <v>414</v>
      </c>
      <c r="D6" s="92" t="s">
        <v>415</v>
      </c>
      <c r="E6" s="94" t="s">
        <v>416</v>
      </c>
      <c r="K6" s="536" t="s">
        <v>413</v>
      </c>
      <c r="L6" s="95" t="s">
        <v>416</v>
      </c>
      <c r="M6" s="537" t="s">
        <v>415</v>
      </c>
    </row>
    <row r="7" spans="1:13">
      <c r="B7" s="96" t="s">
        <v>417</v>
      </c>
      <c r="C7" s="547">
        <v>35</v>
      </c>
      <c r="D7" s="549">
        <f>IF($C7&gt;33,VLOOKUP($B7,$K$6:$M$11,MATCH(D$6,$K$6:$M$6,0),FALSE),"Not Applicable")</f>
        <v>8.6999999999999993</v>
      </c>
      <c r="E7" s="292" t="str">
        <f t="shared" ref="E7:E44" si="0">IF($C7&gt;33,VLOOKUP($B7,$K$6:$M$11,MATCH(E$6,$K$6:$M$6,0),FALSE),"Not Applicable")</f>
        <v>P1</v>
      </c>
      <c r="K7" s="98" t="s">
        <v>417</v>
      </c>
      <c r="L7" s="539" t="s">
        <v>418</v>
      </c>
      <c r="M7" s="538">
        <v>8.6999999999999993</v>
      </c>
    </row>
    <row r="8" spans="1:13">
      <c r="B8" s="96" t="s">
        <v>417</v>
      </c>
      <c r="C8" s="547">
        <v>28</v>
      </c>
      <c r="D8" s="549" t="str">
        <f t="shared" ref="D8:D27" si="1">IF($C8&gt;33,VLOOKUP($B8,$K$6:$M$11,MATCH(D$6,$K$6:$M$6,0),FALSE),"Not Applicable")</f>
        <v>Not Applicable</v>
      </c>
      <c r="E8" s="292" t="str">
        <f t="shared" si="0"/>
        <v>Not Applicable</v>
      </c>
      <c r="K8" s="99" t="s">
        <v>420</v>
      </c>
      <c r="L8" s="541" t="s">
        <v>419</v>
      </c>
      <c r="M8" s="540">
        <v>14.8</v>
      </c>
    </row>
    <row r="9" spans="1:13">
      <c r="B9" s="96" t="s">
        <v>417</v>
      </c>
      <c r="C9" s="547">
        <v>28</v>
      </c>
      <c r="D9" s="550" t="str">
        <f>IF($C9&gt;33,VLOOKUP($B9,$K$6:$M$11,MATCH(D$6,$K$6:$M$6,0),FALSE),"Not Applicable")</f>
        <v>Not Applicable</v>
      </c>
      <c r="E9" s="292" t="str">
        <f>IF($C9&gt;33,VLOOKUP($B9,$K$6:$M$11,MATCH(E$6,$K$6:$M$6,0),FALSE),"Not Applicable")</f>
        <v>Not Applicable</v>
      </c>
      <c r="K9" s="99" t="s">
        <v>424</v>
      </c>
      <c r="L9" s="541" t="s">
        <v>423</v>
      </c>
      <c r="M9" s="540">
        <v>11.3</v>
      </c>
    </row>
    <row r="10" spans="1:13">
      <c r="B10" s="96" t="s">
        <v>417</v>
      </c>
      <c r="C10" s="547">
        <v>28</v>
      </c>
      <c r="D10" s="549" t="str">
        <f t="shared" si="1"/>
        <v>Not Applicable</v>
      </c>
      <c r="E10" s="550" t="str">
        <f>IF($C10&gt;33,VLOOKUP($B10,$K$6:$M$11,MATCH(E$6,$K$6:$M$6,0),FALSE),"Not Applicable")</f>
        <v>Not Applicable</v>
      </c>
      <c r="K10" s="99" t="s">
        <v>422</v>
      </c>
      <c r="L10" s="541" t="s">
        <v>421</v>
      </c>
      <c r="M10" s="540">
        <v>9.5</v>
      </c>
    </row>
    <row r="11" spans="1:13" ht="13.5" thickBot="1">
      <c r="B11" s="96" t="s">
        <v>417</v>
      </c>
      <c r="C11" s="547">
        <v>34</v>
      </c>
      <c r="D11" s="549">
        <f t="shared" si="1"/>
        <v>8.6999999999999993</v>
      </c>
      <c r="E11" s="292" t="str">
        <f t="shared" si="0"/>
        <v>P1</v>
      </c>
      <c r="K11" s="100" t="s">
        <v>426</v>
      </c>
      <c r="L11" s="543" t="s">
        <v>425</v>
      </c>
      <c r="M11" s="542">
        <v>12.75</v>
      </c>
    </row>
    <row r="12" spans="1:13">
      <c r="B12" s="96" t="s">
        <v>417</v>
      </c>
      <c r="C12" s="547">
        <v>35</v>
      </c>
      <c r="D12" s="549">
        <f t="shared" si="1"/>
        <v>8.6999999999999993</v>
      </c>
      <c r="E12" s="292" t="str">
        <f t="shared" si="0"/>
        <v>P1</v>
      </c>
    </row>
    <row r="13" spans="1:13">
      <c r="B13" s="96" t="s">
        <v>417</v>
      </c>
      <c r="C13" s="547">
        <v>34</v>
      </c>
      <c r="D13" s="549">
        <f t="shared" si="1"/>
        <v>8.6999999999999993</v>
      </c>
      <c r="E13" s="292" t="str">
        <f t="shared" si="0"/>
        <v>P1</v>
      </c>
    </row>
    <row r="14" spans="1:13">
      <c r="B14" s="96" t="s">
        <v>420</v>
      </c>
      <c r="C14" s="547">
        <v>23</v>
      </c>
      <c r="D14" s="549" t="str">
        <f t="shared" si="1"/>
        <v>Not Applicable</v>
      </c>
      <c r="E14" s="292" t="str">
        <f t="shared" si="0"/>
        <v>Not Applicable</v>
      </c>
    </row>
    <row r="15" spans="1:13" ht="12.75" customHeight="1">
      <c r="B15" s="96" t="s">
        <v>420</v>
      </c>
      <c r="C15" s="547">
        <v>34</v>
      </c>
      <c r="D15" s="549">
        <f t="shared" si="1"/>
        <v>14.8</v>
      </c>
      <c r="E15" s="292" t="str">
        <f t="shared" si="0"/>
        <v>P2</v>
      </c>
      <c r="G15" s="101"/>
      <c r="H15" s="101"/>
      <c r="I15" s="101"/>
    </row>
    <row r="16" spans="1:13">
      <c r="B16" s="96" t="s">
        <v>420</v>
      </c>
      <c r="C16" s="547">
        <v>34</v>
      </c>
      <c r="D16" s="549">
        <f t="shared" si="1"/>
        <v>14.8</v>
      </c>
      <c r="E16" s="292" t="str">
        <f t="shared" si="0"/>
        <v>P2</v>
      </c>
      <c r="G16" s="101"/>
      <c r="H16" s="101"/>
      <c r="I16" s="101"/>
    </row>
    <row r="17" spans="2:9">
      <c r="B17" s="96" t="s">
        <v>420</v>
      </c>
      <c r="C17" s="547">
        <v>30</v>
      </c>
      <c r="D17" s="549" t="str">
        <f t="shared" si="1"/>
        <v>Not Applicable</v>
      </c>
      <c r="E17" s="292" t="str">
        <f t="shared" si="0"/>
        <v>Not Applicable</v>
      </c>
      <c r="G17" s="101"/>
      <c r="H17" s="101"/>
      <c r="I17" s="101"/>
    </row>
    <row r="18" spans="2:9">
      <c r="B18" s="96" t="s">
        <v>420</v>
      </c>
      <c r="C18" s="547">
        <v>34</v>
      </c>
      <c r="D18" s="549">
        <f t="shared" si="1"/>
        <v>14.8</v>
      </c>
      <c r="E18" s="292" t="str">
        <f t="shared" si="0"/>
        <v>P2</v>
      </c>
    </row>
    <row r="19" spans="2:9">
      <c r="B19" s="96" t="s">
        <v>420</v>
      </c>
      <c r="C19" s="547">
        <v>34</v>
      </c>
      <c r="D19" s="549">
        <f t="shared" si="1"/>
        <v>14.8</v>
      </c>
      <c r="E19" s="292" t="str">
        <f t="shared" si="0"/>
        <v>P2</v>
      </c>
    </row>
    <row r="20" spans="2:9">
      <c r="B20" s="96" t="s">
        <v>420</v>
      </c>
      <c r="C20" s="547">
        <v>34</v>
      </c>
      <c r="D20" s="549">
        <f t="shared" si="1"/>
        <v>14.8</v>
      </c>
      <c r="E20" s="292" t="str">
        <f t="shared" si="0"/>
        <v>P2</v>
      </c>
    </row>
    <row r="21" spans="2:9">
      <c r="B21" s="96" t="s">
        <v>420</v>
      </c>
      <c r="C21" s="547">
        <v>34</v>
      </c>
      <c r="D21" s="549">
        <f t="shared" si="1"/>
        <v>14.8</v>
      </c>
      <c r="E21" s="292" t="str">
        <f t="shared" si="0"/>
        <v>P2</v>
      </c>
    </row>
    <row r="22" spans="2:9">
      <c r="B22" s="96" t="s">
        <v>420</v>
      </c>
      <c r="C22" s="547">
        <v>34</v>
      </c>
      <c r="D22" s="549">
        <f t="shared" si="1"/>
        <v>14.8</v>
      </c>
      <c r="E22" s="292" t="str">
        <f t="shared" si="0"/>
        <v>P2</v>
      </c>
    </row>
    <row r="23" spans="2:9">
      <c r="B23" s="96" t="s">
        <v>420</v>
      </c>
      <c r="C23" s="547">
        <v>34</v>
      </c>
      <c r="D23" s="549">
        <f t="shared" si="1"/>
        <v>14.8</v>
      </c>
      <c r="E23" s="292" t="str">
        <f t="shared" si="0"/>
        <v>P2</v>
      </c>
    </row>
    <row r="24" spans="2:9">
      <c r="B24" s="96" t="s">
        <v>420</v>
      </c>
      <c r="C24" s="547">
        <v>34</v>
      </c>
      <c r="D24" s="549">
        <f t="shared" si="1"/>
        <v>14.8</v>
      </c>
      <c r="E24" s="292" t="str">
        <f t="shared" si="0"/>
        <v>P2</v>
      </c>
    </row>
    <row r="25" spans="2:9">
      <c r="B25" s="96" t="s">
        <v>420</v>
      </c>
      <c r="C25" s="547">
        <v>34</v>
      </c>
      <c r="D25" s="549">
        <f t="shared" si="1"/>
        <v>14.8</v>
      </c>
      <c r="E25" s="292" t="str">
        <f t="shared" si="0"/>
        <v>P2</v>
      </c>
    </row>
    <row r="26" spans="2:9">
      <c r="B26" s="96" t="s">
        <v>420</v>
      </c>
      <c r="C26" s="547">
        <v>30</v>
      </c>
      <c r="D26" s="549" t="str">
        <f t="shared" si="1"/>
        <v>Not Applicable</v>
      </c>
      <c r="E26" s="292" t="str">
        <f t="shared" si="0"/>
        <v>Not Applicable</v>
      </c>
    </row>
    <row r="27" spans="2:9">
      <c r="B27" s="96" t="s">
        <v>420</v>
      </c>
      <c r="C27" s="547">
        <v>34</v>
      </c>
      <c r="D27" s="549">
        <f t="shared" si="1"/>
        <v>14.8</v>
      </c>
      <c r="E27" s="292" t="str">
        <f t="shared" si="0"/>
        <v>P2</v>
      </c>
    </row>
    <row r="28" spans="2:9">
      <c r="B28" s="96" t="s">
        <v>420</v>
      </c>
      <c r="C28" s="547">
        <v>34</v>
      </c>
      <c r="D28" s="549">
        <f t="shared" ref="D28:D44" si="2">IF($C28&gt;33,VLOOKUP($B28,$K$6:$M$11,MATCH(D$6,$K$6:$M$6,0),FALSE),"Not Applicable")</f>
        <v>14.8</v>
      </c>
      <c r="E28" s="292" t="str">
        <f t="shared" si="0"/>
        <v>P2</v>
      </c>
    </row>
    <row r="29" spans="2:9">
      <c r="B29" s="96" t="s">
        <v>424</v>
      </c>
      <c r="C29" s="547">
        <v>31</v>
      </c>
      <c r="D29" s="549" t="str">
        <f t="shared" si="2"/>
        <v>Not Applicable</v>
      </c>
      <c r="E29" s="292" t="str">
        <f t="shared" si="0"/>
        <v>Not Applicable</v>
      </c>
      <c r="G29" s="102"/>
      <c r="H29" s="102"/>
    </row>
    <row r="30" spans="2:9">
      <c r="B30" s="96" t="s">
        <v>424</v>
      </c>
      <c r="C30" s="547">
        <v>31</v>
      </c>
      <c r="D30" s="549" t="str">
        <f t="shared" si="2"/>
        <v>Not Applicable</v>
      </c>
      <c r="E30" s="292" t="str">
        <f t="shared" si="0"/>
        <v>Not Applicable</v>
      </c>
      <c r="G30" s="102"/>
      <c r="H30" s="102"/>
    </row>
    <row r="31" spans="2:9">
      <c r="B31" s="96" t="s">
        <v>424</v>
      </c>
      <c r="C31" s="547">
        <v>31</v>
      </c>
      <c r="D31" s="549" t="str">
        <f t="shared" si="2"/>
        <v>Not Applicable</v>
      </c>
      <c r="E31" s="292" t="str">
        <f t="shared" si="0"/>
        <v>Not Applicable</v>
      </c>
    </row>
    <row r="32" spans="2:9">
      <c r="B32" s="96" t="s">
        <v>424</v>
      </c>
      <c r="C32" s="547">
        <v>31</v>
      </c>
      <c r="D32" s="549" t="str">
        <f t="shared" si="2"/>
        <v>Not Applicable</v>
      </c>
      <c r="E32" s="292" t="str">
        <f t="shared" si="0"/>
        <v>Not Applicable</v>
      </c>
    </row>
    <row r="33" spans="2:5">
      <c r="B33" s="96" t="s">
        <v>424</v>
      </c>
      <c r="C33" s="547">
        <v>34</v>
      </c>
      <c r="D33" s="549">
        <f t="shared" si="2"/>
        <v>11.3</v>
      </c>
      <c r="E33" s="292" t="str">
        <f t="shared" si="0"/>
        <v>P4</v>
      </c>
    </row>
    <row r="34" spans="2:5">
      <c r="B34" s="96" t="s">
        <v>424</v>
      </c>
      <c r="C34" s="547">
        <v>23</v>
      </c>
      <c r="D34" s="549" t="str">
        <f t="shared" si="2"/>
        <v>Not Applicable</v>
      </c>
      <c r="E34" s="292" t="str">
        <f t="shared" si="0"/>
        <v>Not Applicable</v>
      </c>
    </row>
    <row r="35" spans="2:5">
      <c r="B35" s="96" t="s">
        <v>424</v>
      </c>
      <c r="C35" s="547">
        <v>23</v>
      </c>
      <c r="D35" s="549" t="str">
        <f t="shared" si="2"/>
        <v>Not Applicable</v>
      </c>
      <c r="E35" s="292" t="str">
        <f t="shared" si="0"/>
        <v>Not Applicable</v>
      </c>
    </row>
    <row r="36" spans="2:5">
      <c r="B36" s="96" t="s">
        <v>424</v>
      </c>
      <c r="C36" s="547">
        <v>35</v>
      </c>
      <c r="D36" s="549">
        <f t="shared" si="2"/>
        <v>11.3</v>
      </c>
      <c r="E36" s="292" t="str">
        <f t="shared" si="0"/>
        <v>P4</v>
      </c>
    </row>
    <row r="37" spans="2:5">
      <c r="B37" s="96" t="s">
        <v>424</v>
      </c>
      <c r="C37" s="547">
        <v>34</v>
      </c>
      <c r="D37" s="549">
        <f t="shared" si="2"/>
        <v>11.3</v>
      </c>
      <c r="E37" s="292" t="str">
        <f t="shared" si="0"/>
        <v>P4</v>
      </c>
    </row>
    <row r="38" spans="2:5">
      <c r="B38" s="96" t="s">
        <v>426</v>
      </c>
      <c r="C38" s="547">
        <v>34</v>
      </c>
      <c r="D38" s="549">
        <f t="shared" si="2"/>
        <v>12.75</v>
      </c>
      <c r="E38" s="292" t="str">
        <f t="shared" si="0"/>
        <v>P5</v>
      </c>
    </row>
    <row r="39" spans="2:5">
      <c r="B39" s="96" t="s">
        <v>426</v>
      </c>
      <c r="C39" s="547">
        <v>34</v>
      </c>
      <c r="D39" s="549">
        <f t="shared" si="2"/>
        <v>12.75</v>
      </c>
      <c r="E39" s="292" t="str">
        <f t="shared" si="0"/>
        <v>P5</v>
      </c>
    </row>
    <row r="40" spans="2:5">
      <c r="B40" s="96" t="s">
        <v>426</v>
      </c>
      <c r="C40" s="547">
        <v>34</v>
      </c>
      <c r="D40" s="549">
        <f t="shared" si="2"/>
        <v>12.75</v>
      </c>
      <c r="E40" s="292" t="str">
        <f t="shared" si="0"/>
        <v>P5</v>
      </c>
    </row>
    <row r="41" spans="2:5">
      <c r="B41" s="96" t="s">
        <v>426</v>
      </c>
      <c r="C41" s="547">
        <v>34</v>
      </c>
      <c r="D41" s="549">
        <f t="shared" si="2"/>
        <v>12.75</v>
      </c>
      <c r="E41" s="292" t="str">
        <f t="shared" si="0"/>
        <v>P5</v>
      </c>
    </row>
    <row r="42" spans="2:5">
      <c r="B42" s="96" t="s">
        <v>426</v>
      </c>
      <c r="C42" s="547">
        <v>34</v>
      </c>
      <c r="D42" s="549">
        <f t="shared" si="2"/>
        <v>12.75</v>
      </c>
      <c r="E42" s="292" t="str">
        <f t="shared" si="0"/>
        <v>P5</v>
      </c>
    </row>
    <row r="43" spans="2:5">
      <c r="B43" s="96" t="s">
        <v>426</v>
      </c>
      <c r="C43" s="547">
        <v>34</v>
      </c>
      <c r="D43" s="549">
        <f t="shared" si="2"/>
        <v>12.75</v>
      </c>
      <c r="E43" s="292" t="str">
        <f t="shared" si="0"/>
        <v>P5</v>
      </c>
    </row>
    <row r="44" spans="2:5" ht="13.5" thickBot="1">
      <c r="B44" s="103" t="s">
        <v>426</v>
      </c>
      <c r="C44" s="548">
        <v>34</v>
      </c>
      <c r="D44" s="551">
        <f t="shared" si="2"/>
        <v>12.75</v>
      </c>
      <c r="E44" s="293" t="str">
        <f t="shared" si="0"/>
        <v>P5</v>
      </c>
    </row>
    <row r="49" spans="2:13" ht="13.5" thickBot="1"/>
    <row r="50" spans="2:13">
      <c r="B50" s="670" t="s">
        <v>412</v>
      </c>
      <c r="C50" s="671"/>
      <c r="D50" s="671"/>
      <c r="E50" s="672"/>
    </row>
    <row r="51" spans="2:13" ht="13.5" thickBot="1">
      <c r="B51" s="676"/>
      <c r="C51" s="677"/>
      <c r="D51" s="677"/>
      <c r="E51" s="678"/>
    </row>
    <row r="52" spans="2:13" ht="13.5" thickBot="1">
      <c r="B52" s="92" t="s">
        <v>413</v>
      </c>
      <c r="C52" s="93" t="s">
        <v>414</v>
      </c>
      <c r="D52" s="93" t="s">
        <v>415</v>
      </c>
      <c r="E52" s="94" t="s">
        <v>416</v>
      </c>
      <c r="K52" s="536" t="s">
        <v>413</v>
      </c>
      <c r="L52" s="95" t="s">
        <v>416</v>
      </c>
      <c r="M52" s="537" t="s">
        <v>415</v>
      </c>
    </row>
    <row r="53" spans="2:13">
      <c r="B53" s="96" t="s">
        <v>417</v>
      </c>
      <c r="C53" s="97">
        <v>35</v>
      </c>
      <c r="D53" s="189">
        <f>IF($C53&gt;33,VLOOKUP($B53,$K$52:$M$57,MATCH(D$52,$K$52:$M$52,0),FALSE),"Not Applicable")</f>
        <v>8.6999999999999993</v>
      </c>
      <c r="E53" s="189" t="str">
        <f t="shared" ref="E53:E90" si="3">IF($C53&gt;33,VLOOKUP($B53,$K$52:$M$57,MATCH(E$52,$K$52:$M$52,0),FALSE),"Not Applicable")</f>
        <v>P1</v>
      </c>
      <c r="K53" s="98" t="s">
        <v>417</v>
      </c>
      <c r="L53" s="539" t="s">
        <v>418</v>
      </c>
      <c r="M53" s="538">
        <v>8.6999999999999993</v>
      </c>
    </row>
    <row r="54" spans="2:13">
      <c r="B54" s="96" t="s">
        <v>417</v>
      </c>
      <c r="C54" s="97">
        <v>28</v>
      </c>
      <c r="D54" s="189" t="str">
        <f t="shared" ref="D54:D73" si="4">IF($C54&gt;33,VLOOKUP($B54,$K$52:$M$57,MATCH(D$52,$K$52:$M$52,0),FALSE),"Not Applicable")</f>
        <v>Not Applicable</v>
      </c>
      <c r="E54" s="189" t="str">
        <f t="shared" si="3"/>
        <v>Not Applicable</v>
      </c>
      <c r="K54" s="99" t="s">
        <v>420</v>
      </c>
      <c r="L54" s="541" t="s">
        <v>419</v>
      </c>
      <c r="M54" s="540">
        <v>14.8</v>
      </c>
    </row>
    <row r="55" spans="2:13">
      <c r="B55" s="96" t="s">
        <v>417</v>
      </c>
      <c r="C55" s="97">
        <v>28</v>
      </c>
      <c r="D55" s="189" t="str">
        <f t="shared" si="4"/>
        <v>Not Applicable</v>
      </c>
      <c r="E55" s="189" t="str">
        <f t="shared" si="3"/>
        <v>Not Applicable</v>
      </c>
      <c r="K55" s="99" t="s">
        <v>424</v>
      </c>
      <c r="L55" s="541" t="s">
        <v>423</v>
      </c>
      <c r="M55" s="540">
        <v>11.3</v>
      </c>
    </row>
    <row r="56" spans="2:13">
      <c r="B56" s="96" t="s">
        <v>417</v>
      </c>
      <c r="C56" s="97">
        <v>28</v>
      </c>
      <c r="D56" s="189" t="str">
        <f t="shared" si="4"/>
        <v>Not Applicable</v>
      </c>
      <c r="E56" s="189" t="str">
        <f t="shared" si="3"/>
        <v>Not Applicable</v>
      </c>
      <c r="K56" s="99" t="s">
        <v>422</v>
      </c>
      <c r="L56" s="541" t="s">
        <v>421</v>
      </c>
      <c r="M56" s="540">
        <v>9.5</v>
      </c>
    </row>
    <row r="57" spans="2:13" ht="13.5" thickBot="1">
      <c r="B57" s="96" t="s">
        <v>417</v>
      </c>
      <c r="C57" s="97">
        <v>34</v>
      </c>
      <c r="D57" s="189">
        <f t="shared" si="4"/>
        <v>8.6999999999999993</v>
      </c>
      <c r="E57" s="189" t="str">
        <f t="shared" si="3"/>
        <v>P1</v>
      </c>
      <c r="K57" s="100" t="s">
        <v>426</v>
      </c>
      <c r="L57" s="543" t="s">
        <v>425</v>
      </c>
      <c r="M57" s="542">
        <v>12.75</v>
      </c>
    </row>
    <row r="58" spans="2:13">
      <c r="B58" s="96" t="s">
        <v>417</v>
      </c>
      <c r="C58" s="97">
        <v>35</v>
      </c>
      <c r="D58" s="189">
        <f t="shared" si="4"/>
        <v>8.6999999999999993</v>
      </c>
      <c r="E58" s="189" t="str">
        <f t="shared" si="3"/>
        <v>P1</v>
      </c>
    </row>
    <row r="59" spans="2:13">
      <c r="B59" s="96" t="s">
        <v>417</v>
      </c>
      <c r="C59" s="97">
        <v>34</v>
      </c>
      <c r="D59" s="189">
        <f t="shared" si="4"/>
        <v>8.6999999999999993</v>
      </c>
      <c r="E59" s="189" t="str">
        <f t="shared" si="3"/>
        <v>P1</v>
      </c>
    </row>
    <row r="60" spans="2:13">
      <c r="B60" s="96" t="s">
        <v>420</v>
      </c>
      <c r="C60" s="97">
        <v>23</v>
      </c>
      <c r="D60" s="189" t="str">
        <f t="shared" si="4"/>
        <v>Not Applicable</v>
      </c>
      <c r="E60" s="189" t="str">
        <f t="shared" si="3"/>
        <v>Not Applicable</v>
      </c>
    </row>
    <row r="61" spans="2:13">
      <c r="B61" s="96" t="s">
        <v>420</v>
      </c>
      <c r="C61" s="97">
        <v>34</v>
      </c>
      <c r="D61" s="189">
        <f t="shared" si="4"/>
        <v>14.8</v>
      </c>
      <c r="E61" s="189" t="str">
        <f t="shared" si="3"/>
        <v>P2</v>
      </c>
    </row>
    <row r="62" spans="2:13">
      <c r="B62" s="96" t="s">
        <v>420</v>
      </c>
      <c r="C62" s="97">
        <v>34</v>
      </c>
      <c r="D62" s="189">
        <f t="shared" si="4"/>
        <v>14.8</v>
      </c>
      <c r="E62" s="189" t="str">
        <f t="shared" si="3"/>
        <v>P2</v>
      </c>
    </row>
    <row r="63" spans="2:13">
      <c r="B63" s="96" t="s">
        <v>420</v>
      </c>
      <c r="C63" s="97">
        <v>30</v>
      </c>
      <c r="D63" s="189" t="str">
        <f t="shared" si="4"/>
        <v>Not Applicable</v>
      </c>
      <c r="E63" s="189" t="str">
        <f t="shared" si="3"/>
        <v>Not Applicable</v>
      </c>
    </row>
    <row r="64" spans="2:13">
      <c r="B64" s="96" t="s">
        <v>420</v>
      </c>
      <c r="C64" s="97">
        <v>34</v>
      </c>
      <c r="D64" s="189">
        <f t="shared" si="4"/>
        <v>14.8</v>
      </c>
      <c r="E64" s="189" t="str">
        <f t="shared" si="3"/>
        <v>P2</v>
      </c>
    </row>
    <row r="65" spans="2:5">
      <c r="B65" s="96" t="s">
        <v>420</v>
      </c>
      <c r="C65" s="97">
        <v>34</v>
      </c>
      <c r="D65" s="189">
        <f t="shared" si="4"/>
        <v>14.8</v>
      </c>
      <c r="E65" s="189" t="str">
        <f t="shared" si="3"/>
        <v>P2</v>
      </c>
    </row>
    <row r="66" spans="2:5">
      <c r="B66" s="96" t="s">
        <v>420</v>
      </c>
      <c r="C66" s="97">
        <v>34</v>
      </c>
      <c r="D66" s="189">
        <f t="shared" si="4"/>
        <v>14.8</v>
      </c>
      <c r="E66" s="189" t="str">
        <f t="shared" si="3"/>
        <v>P2</v>
      </c>
    </row>
    <row r="67" spans="2:5">
      <c r="B67" s="96" t="s">
        <v>420</v>
      </c>
      <c r="C67" s="97">
        <v>34</v>
      </c>
      <c r="D67" s="189">
        <f t="shared" si="4"/>
        <v>14.8</v>
      </c>
      <c r="E67" s="189" t="str">
        <f t="shared" si="3"/>
        <v>P2</v>
      </c>
    </row>
    <row r="68" spans="2:5">
      <c r="B68" s="96" t="s">
        <v>420</v>
      </c>
      <c r="C68" s="97">
        <v>34</v>
      </c>
      <c r="D68" s="189">
        <f t="shared" si="4"/>
        <v>14.8</v>
      </c>
      <c r="E68" s="189" t="str">
        <f t="shared" si="3"/>
        <v>P2</v>
      </c>
    </row>
    <row r="69" spans="2:5">
      <c r="B69" s="96" t="s">
        <v>420</v>
      </c>
      <c r="C69" s="97">
        <v>34</v>
      </c>
      <c r="D69" s="189">
        <f t="shared" si="4"/>
        <v>14.8</v>
      </c>
      <c r="E69" s="189" t="str">
        <f t="shared" si="3"/>
        <v>P2</v>
      </c>
    </row>
    <row r="70" spans="2:5">
      <c r="B70" s="96" t="s">
        <v>420</v>
      </c>
      <c r="C70" s="97">
        <v>34</v>
      </c>
      <c r="D70" s="189">
        <f t="shared" si="4"/>
        <v>14.8</v>
      </c>
      <c r="E70" s="189" t="str">
        <f t="shared" si="3"/>
        <v>P2</v>
      </c>
    </row>
    <row r="71" spans="2:5">
      <c r="B71" s="96" t="s">
        <v>420</v>
      </c>
      <c r="C71" s="97">
        <v>34</v>
      </c>
      <c r="D71" s="189">
        <f t="shared" si="4"/>
        <v>14.8</v>
      </c>
      <c r="E71" s="189" t="str">
        <f t="shared" si="3"/>
        <v>P2</v>
      </c>
    </row>
    <row r="72" spans="2:5">
      <c r="B72" s="96" t="s">
        <v>420</v>
      </c>
      <c r="C72" s="97">
        <v>30</v>
      </c>
      <c r="D72" s="189" t="str">
        <f t="shared" si="4"/>
        <v>Not Applicable</v>
      </c>
      <c r="E72" s="189" t="str">
        <f t="shared" si="3"/>
        <v>Not Applicable</v>
      </c>
    </row>
    <row r="73" spans="2:5">
      <c r="B73" s="96" t="s">
        <v>420</v>
      </c>
      <c r="C73" s="97">
        <v>34</v>
      </c>
      <c r="D73" s="189">
        <f t="shared" si="4"/>
        <v>14.8</v>
      </c>
      <c r="E73" s="189" t="str">
        <f t="shared" si="3"/>
        <v>P2</v>
      </c>
    </row>
    <row r="74" spans="2:5">
      <c r="B74" s="96" t="s">
        <v>420</v>
      </c>
      <c r="C74" s="97">
        <v>34</v>
      </c>
      <c r="D74" s="189">
        <f t="shared" ref="D74:D90" si="5">IF($C74&gt;33,VLOOKUP($B74,$K$52:$M$57,MATCH(D$52,$K$52:$M$52,0),FALSE),"Not Applicable")</f>
        <v>14.8</v>
      </c>
      <c r="E74" s="189" t="str">
        <f t="shared" si="3"/>
        <v>P2</v>
      </c>
    </row>
    <row r="75" spans="2:5">
      <c r="B75" s="96" t="s">
        <v>424</v>
      </c>
      <c r="C75" s="97">
        <v>31</v>
      </c>
      <c r="D75" s="189" t="str">
        <f t="shared" si="5"/>
        <v>Not Applicable</v>
      </c>
      <c r="E75" s="189" t="str">
        <f t="shared" si="3"/>
        <v>Not Applicable</v>
      </c>
    </row>
    <row r="76" spans="2:5">
      <c r="B76" s="96" t="s">
        <v>424</v>
      </c>
      <c r="C76" s="97">
        <v>31</v>
      </c>
      <c r="D76" s="189" t="str">
        <f t="shared" si="5"/>
        <v>Not Applicable</v>
      </c>
      <c r="E76" s="189" t="str">
        <f t="shared" si="3"/>
        <v>Not Applicable</v>
      </c>
    </row>
    <row r="77" spans="2:5">
      <c r="B77" s="96" t="s">
        <v>424</v>
      </c>
      <c r="C77" s="97">
        <v>31</v>
      </c>
      <c r="D77" s="189" t="str">
        <f t="shared" si="5"/>
        <v>Not Applicable</v>
      </c>
      <c r="E77" s="189" t="str">
        <f t="shared" si="3"/>
        <v>Not Applicable</v>
      </c>
    </row>
    <row r="78" spans="2:5">
      <c r="B78" s="96" t="s">
        <v>424</v>
      </c>
      <c r="C78" s="97">
        <v>31</v>
      </c>
      <c r="D78" s="189" t="str">
        <f t="shared" si="5"/>
        <v>Not Applicable</v>
      </c>
      <c r="E78" s="189" t="str">
        <f t="shared" si="3"/>
        <v>Not Applicable</v>
      </c>
    </row>
    <row r="79" spans="2:5">
      <c r="B79" s="96" t="s">
        <v>424</v>
      </c>
      <c r="C79" s="97">
        <v>34</v>
      </c>
      <c r="D79" s="189">
        <f t="shared" si="5"/>
        <v>11.3</v>
      </c>
      <c r="E79" s="189" t="str">
        <f t="shared" si="3"/>
        <v>P4</v>
      </c>
    </row>
    <row r="80" spans="2:5">
      <c r="B80" s="96" t="s">
        <v>424</v>
      </c>
      <c r="C80" s="97">
        <v>23</v>
      </c>
      <c r="D80" s="189" t="str">
        <f t="shared" si="5"/>
        <v>Not Applicable</v>
      </c>
      <c r="E80" s="189" t="str">
        <f t="shared" si="3"/>
        <v>Not Applicable</v>
      </c>
    </row>
    <row r="81" spans="2:5">
      <c r="B81" s="96" t="s">
        <v>424</v>
      </c>
      <c r="C81" s="97">
        <v>23</v>
      </c>
      <c r="D81" s="189" t="str">
        <f t="shared" si="5"/>
        <v>Not Applicable</v>
      </c>
      <c r="E81" s="189" t="str">
        <f t="shared" si="3"/>
        <v>Not Applicable</v>
      </c>
    </row>
    <row r="82" spans="2:5">
      <c r="B82" s="96" t="s">
        <v>424</v>
      </c>
      <c r="C82" s="97">
        <v>35</v>
      </c>
      <c r="D82" s="189">
        <f t="shared" si="5"/>
        <v>11.3</v>
      </c>
      <c r="E82" s="189" t="str">
        <f t="shared" si="3"/>
        <v>P4</v>
      </c>
    </row>
    <row r="83" spans="2:5">
      <c r="B83" s="96" t="s">
        <v>424</v>
      </c>
      <c r="C83" s="97">
        <v>34</v>
      </c>
      <c r="D83" s="189">
        <f t="shared" si="5"/>
        <v>11.3</v>
      </c>
      <c r="E83" s="189" t="str">
        <f t="shared" si="3"/>
        <v>P4</v>
      </c>
    </row>
    <row r="84" spans="2:5">
      <c r="B84" s="96" t="s">
        <v>426</v>
      </c>
      <c r="C84" s="97">
        <v>34</v>
      </c>
      <c r="D84" s="189">
        <f t="shared" si="5"/>
        <v>12.75</v>
      </c>
      <c r="E84" s="189" t="str">
        <f t="shared" si="3"/>
        <v>P5</v>
      </c>
    </row>
    <row r="85" spans="2:5">
      <c r="B85" s="96" t="s">
        <v>426</v>
      </c>
      <c r="C85" s="97">
        <v>34</v>
      </c>
      <c r="D85" s="189">
        <f t="shared" si="5"/>
        <v>12.75</v>
      </c>
      <c r="E85" s="189" t="str">
        <f t="shared" si="3"/>
        <v>P5</v>
      </c>
    </row>
    <row r="86" spans="2:5">
      <c r="B86" s="96" t="s">
        <v>426</v>
      </c>
      <c r="C86" s="97">
        <v>34</v>
      </c>
      <c r="D86" s="189">
        <f t="shared" si="5"/>
        <v>12.75</v>
      </c>
      <c r="E86" s="189" t="str">
        <f t="shared" si="3"/>
        <v>P5</v>
      </c>
    </row>
    <row r="87" spans="2:5">
      <c r="B87" s="96" t="s">
        <v>426</v>
      </c>
      <c r="C87" s="97">
        <v>34</v>
      </c>
      <c r="D87" s="189">
        <f t="shared" si="5"/>
        <v>12.75</v>
      </c>
      <c r="E87" s="189" t="str">
        <f t="shared" si="3"/>
        <v>P5</v>
      </c>
    </row>
    <row r="88" spans="2:5">
      <c r="B88" s="96" t="s">
        <v>426</v>
      </c>
      <c r="C88" s="97">
        <v>34</v>
      </c>
      <c r="D88" s="189">
        <f t="shared" si="5"/>
        <v>12.75</v>
      </c>
      <c r="E88" s="189" t="str">
        <f t="shared" si="3"/>
        <v>P5</v>
      </c>
    </row>
    <row r="89" spans="2:5">
      <c r="B89" s="96" t="s">
        <v>426</v>
      </c>
      <c r="C89" s="97">
        <v>34</v>
      </c>
      <c r="D89" s="189">
        <f t="shared" si="5"/>
        <v>12.75</v>
      </c>
      <c r="E89" s="189" t="str">
        <f t="shared" si="3"/>
        <v>P5</v>
      </c>
    </row>
    <row r="90" spans="2:5" ht="13.5" thickBot="1">
      <c r="B90" s="103" t="s">
        <v>426</v>
      </c>
      <c r="C90" s="104">
        <v>34</v>
      </c>
      <c r="D90" s="189">
        <f t="shared" si="5"/>
        <v>12.75</v>
      </c>
      <c r="E90" s="189" t="str">
        <f t="shared" si="3"/>
        <v>P5</v>
      </c>
    </row>
  </sheetData>
  <sortState xmlns:xlrd2="http://schemas.microsoft.com/office/spreadsheetml/2017/richdata2" ref="K7:M11">
    <sortCondition ref="K7:K11"/>
  </sortState>
  <mergeCells count="2">
    <mergeCell ref="B4:E5"/>
    <mergeCell ref="B50:E51"/>
  </mergeCells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2">
    <tabColor theme="9" tint="-0.249977111117893"/>
  </sheetPr>
  <dimension ref="B1:L20"/>
  <sheetViews>
    <sheetView topLeftCell="C1" zoomScale="168" workbookViewId="0">
      <pane ySplit="1" topLeftCell="A3" activePane="bottomLeft" state="frozen"/>
      <selection pane="bottomLeft" activeCell="H10" sqref="H10"/>
    </sheetView>
  </sheetViews>
  <sheetFormatPr defaultColWidth="9.140625" defaultRowHeight="10.5"/>
  <cols>
    <col min="1" max="1" width="9.140625" style="169"/>
    <col min="2" max="2" width="19.42578125" style="169" customWidth="1"/>
    <col min="3" max="3" width="22.7109375" style="169" customWidth="1"/>
    <col min="4" max="4" width="13.42578125" style="169" customWidth="1"/>
    <col min="5" max="5" width="13.28515625" style="169" customWidth="1"/>
    <col min="6" max="6" width="11.28515625" style="169" customWidth="1"/>
    <col min="7" max="7" width="10.140625" style="169" customWidth="1"/>
    <col min="8" max="8" width="10.7109375" style="169" customWidth="1"/>
    <col min="9" max="9" width="11.5703125" style="169" customWidth="1"/>
    <col min="10" max="16384" width="9.140625" style="169"/>
  </cols>
  <sheetData>
    <row r="1" spans="2:12" ht="25.5">
      <c r="B1" s="679" t="s">
        <v>427</v>
      </c>
      <c r="C1" s="679"/>
      <c r="D1" s="170"/>
      <c r="E1" s="170"/>
      <c r="F1" s="170"/>
      <c r="G1" s="170"/>
      <c r="H1" s="170"/>
      <c r="I1" s="170"/>
      <c r="J1" s="170"/>
    </row>
    <row r="2" spans="2:12" ht="15">
      <c r="B2" s="243"/>
    </row>
    <row r="3" spans="2:12" ht="15">
      <c r="B3" s="243"/>
    </row>
    <row r="4" spans="2:12" ht="12.75">
      <c r="B4" s="587" t="s">
        <v>428</v>
      </c>
      <c r="C4" s="592" t="s">
        <v>441</v>
      </c>
      <c r="D4" s="593" t="s">
        <v>691</v>
      </c>
      <c r="E4" s="594" t="s">
        <v>514</v>
      </c>
      <c r="F4" s="595" t="s">
        <v>478</v>
      </c>
      <c r="G4" s="596" t="s">
        <v>452</v>
      </c>
      <c r="H4" s="597" t="s">
        <v>691</v>
      </c>
      <c r="I4" s="598" t="s">
        <v>469</v>
      </c>
      <c r="J4" s="628" t="s">
        <v>466</v>
      </c>
      <c r="K4" s="629" t="s">
        <v>447</v>
      </c>
      <c r="L4" s="590" t="s">
        <v>452</v>
      </c>
    </row>
    <row r="5" spans="2:12" ht="12.75">
      <c r="B5" s="587" t="s">
        <v>429</v>
      </c>
      <c r="C5" s="599" t="str">
        <f>VLOOKUP($C$4,Employees!$A$12:$H$212,MATCH('Emp Details '!$B5,Employees!$A$12:$H$12,0),FALSE)</f>
        <v>Shannon</v>
      </c>
      <c r="D5" s="589" t="str">
        <f>VLOOKUP($D$4,Employees!$A$12:$H$212,MATCH('Emp Details '!$B5,Employees!$A$12:$H$12,0),FALSE)</f>
        <v>Kendra</v>
      </c>
      <c r="E5" s="589" t="str">
        <f>VLOOKUP($E$4,Employees!$A$12:$H$212,MATCH('Emp Details '!$B5,Employees!$A$12:$H$12,0),FALSE)</f>
        <v>Maureen</v>
      </c>
      <c r="F5" s="589" t="str">
        <f>VLOOKUP($F$4,Employees!$A$12:$H$212,MATCH('Emp Details '!$B5,Employees!$A$12:$H$12,0),FALSE)</f>
        <v>Trevor</v>
      </c>
      <c r="G5" s="589" t="str">
        <f>VLOOKUP($G$4,Employees!$A$12:$H$212,MATCH('Emp Details '!$B5,Employees!$A$12:$H$12,0))</f>
        <v>James</v>
      </c>
      <c r="H5" s="589" t="str">
        <f>VLOOKUP($H$4,Employees!$A$12:$H$212,MATCH('Emp Details '!$B5,Employees!$A$12:$H$12,0))</f>
        <v>Kendra</v>
      </c>
      <c r="I5" s="589" t="str">
        <f>VLOOKUP($I$4,Employees!$A$12:$H$212,MATCH('Emp Details '!$B5,Employees!$A$12:$H$12,0),FALSE)</f>
        <v>Mary</v>
      </c>
      <c r="J5" s="589" t="str">
        <f>VLOOKUP($J$4,Employees!$A$12:$H$212,MATCH('Emp Details '!$B5,Employees!$A$12:$H$12,0),FALSE)</f>
        <v>Melissa</v>
      </c>
      <c r="K5" s="589" t="str">
        <f>VLOOKUP($K$4,Employees!$A$12:$H$212,MATCH('Emp Details '!$B5,Employees!$A$12:$H$12,0),FALSE)</f>
        <v>Melinda</v>
      </c>
      <c r="L5" s="590" t="str">
        <f>VLOOKUP($L$4,Employees!$A$12:$H$212,MATCH('Emp Details '!$B5,Employees!$A$12:$H$12,0),FALSE)</f>
        <v>James</v>
      </c>
    </row>
    <row r="6" spans="2:12" ht="12.75">
      <c r="B6" s="587" t="s">
        <v>430</v>
      </c>
      <c r="C6" s="599" t="str">
        <f>VLOOKUP($C$4,Employees!$A$12:$H$212,MATCH('Emp Details '!$B6,Employees!$A$12:$H$12,0),FALSE)</f>
        <v>799-70-8097</v>
      </c>
      <c r="D6" s="589" t="str">
        <f>VLOOKUP($D$4,Employees!$A$12:$H$212,MATCH('Emp Details '!$B6,Employees!$A$12:$H$12,0),FALSE)</f>
        <v>076-10-3383</v>
      </c>
      <c r="E6" s="589" t="str">
        <f>VLOOKUP($E$4,Employees!$A$12:$H$212,MATCH('Emp Details '!$B6,Employees!$A$12:$H$12,0),FALSE)</f>
        <v>189-85-3313</v>
      </c>
      <c r="F6" s="589" t="str">
        <f>VLOOKUP($F$4,Employees!$A$12:$H$212,MATCH('Emp Details '!$B6,Employees!$A$12:$H$12,0),FALSE)</f>
        <v>376-31-3383</v>
      </c>
      <c r="G6" s="589" t="str">
        <f>VLOOKUP($G$4,Employees!$A$12:$H$212,MATCH('Emp Details '!$B6,Employees!$A$12:$H$12,0))</f>
        <v>312-71-3816</v>
      </c>
      <c r="H6" s="589" t="str">
        <f>VLOOKUP($H$4,Employees!$A$12:$H$212,MATCH('Emp Details '!$B6,Employees!$A$12:$H$12,0),FALSE)</f>
        <v>076-10-3383</v>
      </c>
      <c r="I6" s="589" t="str">
        <f>VLOOKUP($I$4,Employees!$A$12:$H$212,MATCH('Emp Details '!$B6,Employees!$A$12:$H$12,0),FALSE)</f>
        <v>654-58-9578</v>
      </c>
      <c r="J6" s="589" t="str">
        <f>VLOOKUP($J$4,Employees!$A$12:$H$212,MATCH('Emp Details '!$B6,Employees!$A$12:$H$12,0),FALSE)</f>
        <v>456-78-8906</v>
      </c>
      <c r="K6" s="589" t="str">
        <f>VLOOKUP($K$4,Employees!$A$12:$H$212,MATCH('Emp Details '!$B6,Employees!$A$12:$H$12,0),FALSE)</f>
        <v>336-68-4467</v>
      </c>
      <c r="L6" s="590" t="str">
        <f>VLOOKUP($L$4,Employees!$A$12:$H$212,MATCH('Emp Details '!$B6,Employees!$A$12:$H$12,0),FALSE)</f>
        <v>312-71-3816</v>
      </c>
    </row>
    <row r="7" spans="2:12" ht="12.75">
      <c r="B7" s="587" t="s">
        <v>87</v>
      </c>
      <c r="C7" s="599" t="str">
        <f>VLOOKUP($C$4,Employees!$A$12:$H$212,MATCH('Emp Details '!$B7,Employees!$A$12:$H$12,0),FALSE)</f>
        <v>South</v>
      </c>
      <c r="D7" s="589" t="str">
        <f>VLOOKUP($D$4,Employees!$A$12:$H$212,MATCH('Emp Details '!$B7,Employees!$A$12:$H$12,0),FALSE)</f>
        <v>South</v>
      </c>
      <c r="E7" s="589" t="str">
        <f>VLOOKUP($E$4,Employees!$A$12:$H$212,MATCH('Emp Details '!$B7,Employees!$A$12:$H$12,0),FALSE)</f>
        <v>East</v>
      </c>
      <c r="F7" s="589" t="str">
        <f>VLOOKUP($F$4,Employees!$A$12:$H$212,MATCH('Emp Details '!$B7,Employees!$A$12:$H$12,0),FALSE)</f>
        <v>North</v>
      </c>
      <c r="G7" s="589" t="str">
        <f>VLOOKUP($G$4,Employees!$A$12:$H$212,MATCH('Emp Details '!$B7,Employees!$A$12:$H$12,0))</f>
        <v>South</v>
      </c>
      <c r="H7" s="589" t="str">
        <f>VLOOKUP($H$4,Employees!$A$12:$H$212,MATCH('Emp Details '!$B7,Employees!$A$12:$H$12,0),FALSE)</f>
        <v>South</v>
      </c>
      <c r="I7" s="589" t="str">
        <f>VLOOKUP($I$4,Employees!$A$12:$H$212,MATCH('Emp Details '!$B7,Employees!$A$12:$H$12,0),FALSE)</f>
        <v>North</v>
      </c>
      <c r="J7" s="589" t="str">
        <f>VLOOKUP($J$4,Employees!$A$12:$HF$212,MATCH('Emp Details '!$B7,Employees!$A$12:$H$12,0),FALSE)</f>
        <v>East</v>
      </c>
      <c r="K7" s="589" t="str">
        <f>VLOOKUP($K$4,Employees!$A$12:$H$212,MATCH('Emp Details '!$B7,Employees!$A$12:$H$12,0),FALSE)</f>
        <v>South</v>
      </c>
      <c r="L7" s="590" t="str">
        <f>VLOOKUP($L$4,Employees!$A$12:$H$212,MATCH('Emp Details '!$B7,Employees!$A$12:$H$12,0),FALSE)</f>
        <v>South</v>
      </c>
    </row>
    <row r="8" spans="2:12" ht="12.75">
      <c r="B8" s="587" t="s">
        <v>431</v>
      </c>
      <c r="C8" s="599">
        <f>VLOOKUP($C$4,Employees!$A$12:$H$212,MATCH('Emp Details '!$B8,Employees!$A$12:$H$12,0),FALSE)</f>
        <v>80000</v>
      </c>
      <c r="D8" s="589">
        <f>VLOOKUP($D$4,Employees!$A$12:$H$212,MATCH('Emp Details '!$B8,Employees!$A$12:$H$12,0),FALSE)</f>
        <v>32000</v>
      </c>
      <c r="E8" s="589">
        <f>VLOOKUP($E$4,Employees!$A$12:$H$212,MATCH('Emp Details '!$B8,Employees!$A$12:$H$12,0),FALSE)</f>
        <v>72000</v>
      </c>
      <c r="F8" s="589">
        <f>VLOOKUP($F$4,Employees!$A$12:$H$212,MATCH('Emp Details '!$B8,Employees!$A$12:$H$12,0),FALSE)</f>
        <v>85000</v>
      </c>
      <c r="G8" s="589">
        <f>VLOOKUP($G$4,Employees!$A$12:$H$212,MATCH('Emp Details '!$B8,Employees!$A$12:$H$12,0))</f>
        <v>90000</v>
      </c>
      <c r="H8" s="589">
        <f>VLOOKUP($H$4,Employees!$A$12:$H$212,MATCH('Emp Details '!$B8,Employees!$A$12:$H$12,0),FALSE)</f>
        <v>32000</v>
      </c>
      <c r="I8" s="589">
        <f>VLOOKUP($I$4,Employees!$A$12:$H$212,MATCH('Emp Details '!$B8,Employees!$A$12:$H$12,0),FALSE)</f>
        <v>95000</v>
      </c>
      <c r="J8" s="589">
        <f>VLOOKUP($J$4,Employees!$A$12:$H$212,MATCH('Emp Details '!$B8,Employees!$A$12:$H$12,0),FALSE)</f>
        <v>80000</v>
      </c>
      <c r="K8" s="589">
        <f>VLOOKUP($K$4,Employees!$A$12:$H$212,MATCH('Emp Details '!$B8,Employees!$A$12:$H$12,0),FALSE)</f>
        <v>100000</v>
      </c>
      <c r="L8" s="590"/>
    </row>
    <row r="9" spans="2:12" ht="12.75">
      <c r="B9" s="587" t="s">
        <v>432</v>
      </c>
      <c r="C9" s="599" t="str">
        <f>VLOOKUP($C$4,Employees!$A$12:$H$212,MATCH('Emp Details '!$B9,Employees!$A$12:$H$12,0),FALSE)</f>
        <v>Accounts</v>
      </c>
      <c r="D9" s="589" t="str">
        <f>VLOOKUP($D$4,Employees!$A$12:$H$212,MATCH('Emp Details '!$B9,Employees!$A$12:$H$12,0),FALSE)</f>
        <v>Sales</v>
      </c>
      <c r="E9" s="589" t="str">
        <f>VLOOKUP($E$4,Employees!$A$12:$H$212,MATCH('Emp Details '!$B9,Employees!$A$12:$H$12,0),FALSE)</f>
        <v>Human resources</v>
      </c>
      <c r="F9" s="589" t="str">
        <f>VLOOKUP($F$4,Employees!$A$12:$H$212,MATCH('Emp Details '!$B9,Employees!$A$12:$H$12,0),FALSE)</f>
        <v>Sales</v>
      </c>
      <c r="G9" s="589" t="str">
        <f>VLOOKUP($G$4,Employees!$A$12:$H$212,MATCH('Emp Details '!$B9,Employees!$A$12:$H$12,0))</f>
        <v>Administration</v>
      </c>
      <c r="H9" s="589" t="str">
        <f>VLOOKUP($H$4,Employees!$A$12:$H$212,MATCH('Emp Details '!$B9,Employees!$A$12:$H$12,0),FALSE)</f>
        <v>Sales</v>
      </c>
      <c r="I9" s="589" t="str">
        <f>VLOOKUP($I$4,Employees!$A$12:$H$212,MATCH('Emp Details '!$B9,Employees!$A$12:$H$12,0),FALSE)</f>
        <v>Administration</v>
      </c>
      <c r="J9" s="589" t="str">
        <f>VLOOKUP($J$4,Employees!$A$12:$H$212,MATCH('Emp Details '!$B9,Employees!$A$12:$H$12,0),FALSE)</f>
        <v>Accounts</v>
      </c>
      <c r="K9" s="589" t="str">
        <f>VLOOKUP($K$4,Employees!$A$12:$H$212,MATCH('Emp Details '!$B9,Employees!$A$12:$H$12,0),FALSE)</f>
        <v>Administration</v>
      </c>
      <c r="L9" s="590"/>
    </row>
    <row r="10" spans="2:12" ht="12.75">
      <c r="B10" s="587" t="s">
        <v>433</v>
      </c>
      <c r="C10" s="599">
        <f>VLOOKUP($C$4,Employees!$A$12:$H$212,MATCH('Emp Details '!$B10,Employees!$A$12:$H$12,0),FALSE)</f>
        <v>37352</v>
      </c>
      <c r="D10" s="589">
        <f>VLOOKUP($D$4,Employees!$A$12:$H$212,MATCH('Emp Details '!$B10,Employees!$A$12:$H$12,0),FALSE)</f>
        <v>38200</v>
      </c>
      <c r="E10" s="589">
        <f>VLOOKUP($E$4,Employees!$A$12:$H$212,MATCH('Emp Details '!$B10,Employees!$A$12:$H$12,0),FALSE)</f>
        <v>37820</v>
      </c>
      <c r="F10" s="589">
        <f>VLOOKUP($F$4,Employees!$A$12:$H$212,MATCH('Emp Details '!$B10,Employees!$A$12:$H$12,0),FALSE)</f>
        <v>35883</v>
      </c>
      <c r="G10" s="589">
        <f>VLOOKUP($G$4,Employees!$A$12:$H$212,MATCH('Emp Details '!$B10,Employees!$A$12:$H$12,0))</f>
        <v>35705</v>
      </c>
      <c r="H10" s="589"/>
      <c r="I10" s="589">
        <f>VLOOKUP($I$4,Employees!$A$12:$H$212,MATCH('Emp Details '!$B10,Employees!$A$12:$H$12,0),FALSE)</f>
        <v>36209</v>
      </c>
      <c r="J10" s="589"/>
      <c r="K10" s="589">
        <f>VLOOKUP($K$4,Employees!$A$12:$H$212,MATCH('Emp Details '!$B10,Employees!$A$12:$H$12,0),FALSE)</f>
        <v>36360</v>
      </c>
      <c r="L10" s="590"/>
    </row>
    <row r="11" spans="2:12">
      <c r="B11" s="169" t="s">
        <v>3957</v>
      </c>
    </row>
    <row r="14" spans="2:12" ht="12.75">
      <c r="B14" s="587" t="s">
        <v>428</v>
      </c>
      <c r="C14" s="588" t="s">
        <v>461</v>
      </c>
      <c r="D14" s="607" t="s">
        <v>514</v>
      </c>
      <c r="E14" s="595" t="s">
        <v>507</v>
      </c>
      <c r="F14" s="606" t="s">
        <v>452</v>
      </c>
      <c r="G14" s="591" t="s">
        <v>474</v>
      </c>
      <c r="H14" s="608" t="s">
        <v>938</v>
      </c>
      <c r="I14" s="590" t="s">
        <v>461</v>
      </c>
    </row>
    <row r="15" spans="2:12" ht="12.75">
      <c r="B15" s="587" t="s">
        <v>429</v>
      </c>
      <c r="C15" s="589" t="str">
        <f>VLOOKUP($C$14,Employees!$A$12:$H$212,MATCH('Emp Details '!$B15,Employees!$A$12:$H$12,0),FALSE)</f>
        <v>Annie</v>
      </c>
      <c r="D15" s="589" t="str">
        <f>VLOOKUP($D$14,Employees!$A$12:$H$212,MATCH($B15,Employees!$A$12:$H$12,0),FALSE)</f>
        <v>Maureen</v>
      </c>
      <c r="E15" s="590" t="str">
        <f>VLOOKUP($E$14,Employees!$A$12:$H$212,MATCH('Emp Details '!$B15,Employees!$A$12:$H$12,0),FALSE)</f>
        <v>Adam</v>
      </c>
      <c r="F15" s="590" t="str">
        <f>VLOOKUP($F$14,Employees!$A$12:$H$212,MATCH('Emp Details '!$B15,Employees!$A$12:$H$12,0),FALSE)</f>
        <v>James</v>
      </c>
      <c r="G15" s="589" t="str">
        <f>VLOOKUP($G$14,Employees!$A$12:$H$212,MATCH('Emp Details '!$B15,Employees!$A$12:$H$12,0),FALSE)</f>
        <v>Rita</v>
      </c>
      <c r="H15" s="589" t="str">
        <f>VLOOKUP($H$14,Employees!$A$12:$H$212,MATCH('Emp Details '!$B15,Employees!$A$12:$H$12,0),FALSE)</f>
        <v>Maureen</v>
      </c>
      <c r="I15" s="589" t="str">
        <f>VLOOKUP($I$14,Employees!$A$12:$H$212,MATCH('Emp Details '!$B15,Employees!$A$12:$H$12,0),FALSE)</f>
        <v>Annie</v>
      </c>
    </row>
    <row r="16" spans="2:12" ht="12.75">
      <c r="B16" s="587" t="s">
        <v>430</v>
      </c>
      <c r="C16" s="589" t="str">
        <f>VLOOKUP($C$14,Employees!$A$12:$H$212,MATCH('Emp Details '!$B16,Employees!$A$12:$H$12,0),FALSE)</f>
        <v>856-85-8586</v>
      </c>
      <c r="D16" s="589" t="str">
        <f>VLOOKUP($D$14,Employees!$A$12:$H$212,MATCH($B16,Employees!$A$12:$H$12,0),FALSE)</f>
        <v>189-85-3313</v>
      </c>
      <c r="E16" s="590" t="str">
        <f>VLOOKUP($E$14,Employees!$A$12:$H$212,MATCH('Emp Details '!$B$16,Employees!A12:$H$12,1))</f>
        <v>343-27-6567</v>
      </c>
      <c r="F16" s="590" t="str">
        <f>VLOOKUP($F$14,Employees!$A$12:$H$212,MATCH('Emp Details '!$B16,Employees!$A$12:$H$12,0),FALSE)</f>
        <v>312-71-3816</v>
      </c>
      <c r="G16" s="589" t="str">
        <f>VLOOKUP($G$14,Employees!$A$12:$H$212,MATCH('Emp Details '!$B16,Employees!$A$12:$H$12,0),FALSE)</f>
        <v>986-07-5705</v>
      </c>
      <c r="H16" s="589" t="str">
        <f>VLOOKUP($H$14,Employees!$A$12:$H$212,MATCH('Emp Details '!$B16,Employees!$A$12:$H$12,0),FALSE)</f>
        <v>391-93-3940</v>
      </c>
      <c r="I16" s="589" t="str">
        <f>VLOOKUP($I$14,Employees!$A$12:$H$212,MATCH('Emp Details '!$B16,Employees!$A$12:$H$12,0),FALSE)</f>
        <v>856-85-8586</v>
      </c>
    </row>
    <row r="17" spans="2:9" ht="12.75">
      <c r="B17" s="587" t="s">
        <v>87</v>
      </c>
      <c r="C17" s="589" t="str">
        <f>VLOOKUP($C$14,Employees!$A$12:$H$212,MATCH('Emp Details '!$B17,Employees!$A$12:$H$12,0),FALSE)</f>
        <v>West</v>
      </c>
      <c r="D17" s="589" t="str">
        <f>VLOOKUP($D$14,Employees!$A$12:$H$212,MATCH($B17,Employees!$A$12:$H$12,0),FALSE)</f>
        <v>East</v>
      </c>
      <c r="E17" s="590" t="str">
        <f>VLOOKUP($E$14,Employees!$A$12:$H$212,MATCH('Emp Details '!$B17,Employees!$A$12:$H$12,0),FALSE)</f>
        <v>North</v>
      </c>
      <c r="F17" s="590" t="str">
        <f>VLOOKUP($F$14,Employees!$A$12:$H$212,MATCH('Emp Details '!$B17,Employees!$A$12:$H$12,0),FALSE)</f>
        <v>South</v>
      </c>
      <c r="G17" s="589" t="str">
        <f>VLOOKUP($G$14,Employees!$A$12:$H$212,MATCH('Emp Details '!$B17,Employees!$A$12:$H$12,0),FALSE)</f>
        <v>East</v>
      </c>
      <c r="H17" s="589" t="str">
        <f>VLOOKUP($H$14,Employees!$A$12:$H$212,MATCH('Emp Details '!$B17,Employees!$A$12:$H$12,0),FALSE)</f>
        <v>North</v>
      </c>
      <c r="I17" s="589" t="str">
        <f>VLOOKUP($I$14,Employees!$A$12:$H$212,MATCH('Emp Details '!$B17,Employees!$A$12:$H$12,0),FALSE)</f>
        <v>West</v>
      </c>
    </row>
    <row r="18" spans="2:9" ht="12.75">
      <c r="B18" s="587" t="s">
        <v>431</v>
      </c>
      <c r="C18" s="589">
        <f>VLOOKUP($C$14,Employees!$A$12:$H$212,MATCH('Emp Details '!$B18,Employees!$A$12:$H$12,0),FALSE)</f>
        <v>98000</v>
      </c>
      <c r="D18" s="589">
        <f>VLOOKUP($D$14,Employees!$A$12:$H$212,MATCH($B18,Employees!$A$12:$H$12,0),FALSE)</f>
        <v>72000</v>
      </c>
      <c r="E18" s="590">
        <f>VLOOKUP($E$14,Employees!$A$12:$H$212,MATCH('Emp Details '!$B18,Employees!$A$12:$H$12,0),FALSE)</f>
        <v>95000</v>
      </c>
      <c r="F18" s="590"/>
      <c r="G18" s="589">
        <f>VLOOKUP($G$14,Employees!$A$12:$H$212,MATCH('Emp Details '!$B18,Employees!$A$12:$H$12,0),FALSE)</f>
        <v>85000</v>
      </c>
      <c r="H18" s="589">
        <f>VLOOKUP($H$14,Employees!$A$12:$H$212,MATCH('Emp Details '!$B18,Employees!$A$12:$H$12,0),FALSE)</f>
        <v>85000</v>
      </c>
      <c r="I18" s="589">
        <f>VLOOKUP($I$14,Employees!$A$12:$H$212,MATCH('Emp Details '!$B18,Employees!$A$12:$H$12,0),FALSE)</f>
        <v>98000</v>
      </c>
    </row>
    <row r="19" spans="2:9" ht="12.75">
      <c r="B19" s="587" t="s">
        <v>432</v>
      </c>
      <c r="C19" s="589" t="str">
        <f>VLOOKUP($C$14,Employees!$A$12:$H$212,MATCH('Emp Details '!$B19,Employees!$A$12:$H$12,0),FALSE)</f>
        <v>Human resources</v>
      </c>
      <c r="D19" s="589" t="str">
        <f>VLOOKUP($D$14,Employees!$A$12:$H$212,MATCH($B19,Employees!$A$12:$H$12,0),FALSE)</f>
        <v>Human resources</v>
      </c>
      <c r="E19" s="590" t="str">
        <f>VLOOKUP($E$14,Employees!$A$12:$H$212,MATCH('Emp Details '!$B19,Employees!$A$12:$H$12,0),FALSE)</f>
        <v>Administration</v>
      </c>
      <c r="F19" s="590"/>
      <c r="G19" s="589" t="str">
        <f>VLOOKUP($G$14,Employees!$A$12:$H$212,MATCH('Emp Details '!$B19,Employees!$A$12:$H$12,0),FALSE)</f>
        <v>Sales</v>
      </c>
      <c r="H19" s="589"/>
      <c r="I19" s="589" t="str">
        <f>VLOOKUP($I$14,Employees!$A$12:$H$212,MATCH('Emp Details '!$B19,Employees!$A$12:$H$12,0),FALSE)</f>
        <v>Human resources</v>
      </c>
    </row>
    <row r="20" spans="2:9" ht="12.75">
      <c r="B20" s="587" t="s">
        <v>433</v>
      </c>
      <c r="C20" s="589">
        <f>VLOOKUP($C$14,Employees!$A$12:$H$212,MATCH('Emp Details '!$B20,Employees!$A$12:$H$12,0),FALSE)</f>
        <v>37565</v>
      </c>
      <c r="D20" s="589">
        <f>VLOOKUP($D$14,Employees!$A$12:$H$212,MATCH($B20,Employees!$A$12:$H$12,0),FALSE)</f>
        <v>37820</v>
      </c>
      <c r="E20" s="590">
        <f>VLOOKUP($E$14,Employees!$A$12:$H$212,MATCH('Emp Details '!$B20,Employees!$A$12:$H$12,0),FALSE)</f>
        <v>37045</v>
      </c>
      <c r="F20" s="590"/>
      <c r="G20" s="589"/>
      <c r="H20" s="589"/>
      <c r="I20" s="589"/>
    </row>
  </sheetData>
  <mergeCells count="1">
    <mergeCell ref="B1:C1"/>
  </mergeCells>
  <pageMargins left="0.75" right="0.75" top="1" bottom="1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6C68BF-E1E5-42A0-A013-16E5BAE88DF4}">
          <x14:formula1>
            <xm:f>Employees!$A$13:$A$212</xm:f>
          </x14:formula1>
          <xm:sqref>C14:E14 G14:I14 C4:M4</xm:sqref>
        </x14:dataValidation>
        <x14:dataValidation type="list" allowBlank="1" showInputMessage="1" showErrorMessage="1" xr:uid="{D68C5E94-4DA8-47B8-9914-40C7EDB4FC13}">
          <x14:formula1>
            <xm:f>Employees!$A$12:$A$212</xm:f>
          </x14:formula1>
          <xm:sqref>F14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3">
    <tabColor theme="9" tint="-0.249977111117893"/>
  </sheetPr>
  <dimension ref="A2:L218"/>
  <sheetViews>
    <sheetView topLeftCell="A12" zoomScale="160" zoomScaleNormal="130" workbookViewId="0">
      <selection activeCell="E8" sqref="E8"/>
    </sheetView>
  </sheetViews>
  <sheetFormatPr defaultColWidth="9.140625" defaultRowHeight="12.75"/>
  <cols>
    <col min="1" max="1" width="15.140625" style="172" customWidth="1"/>
    <col min="2" max="5" width="14" style="172" customWidth="1"/>
    <col min="6" max="6" width="19" style="172" customWidth="1"/>
    <col min="7" max="7" width="15.140625" style="172" customWidth="1"/>
    <col min="8" max="8" width="18" style="172" customWidth="1"/>
    <col min="9" max="16384" width="9.140625" style="172"/>
  </cols>
  <sheetData>
    <row r="2" spans="1:12">
      <c r="B2" s="555" t="s">
        <v>3960</v>
      </c>
      <c r="C2" s="555" t="s">
        <v>3960</v>
      </c>
      <c r="D2" s="555" t="s">
        <v>3961</v>
      </c>
      <c r="E2" s="555" t="s">
        <v>3960</v>
      </c>
      <c r="G2" s="609" t="s">
        <v>4057</v>
      </c>
      <c r="H2" s="611" t="s">
        <v>4058</v>
      </c>
    </row>
    <row r="3" spans="1:12">
      <c r="B3" s="172" t="str">
        <f ca="1">OFFSET(B12,8,0)</f>
        <v>Mary</v>
      </c>
      <c r="C3" s="172" t="str">
        <f ca="1">OFFSET(C22,-3,0)</f>
        <v>James</v>
      </c>
      <c r="D3" s="172" t="str">
        <f>INDEX($B$12:$D$27,6,2)</f>
        <v>Williams</v>
      </c>
      <c r="E3" s="172" t="str">
        <f ca="1">OFFSET(B12,6,0)</f>
        <v>Annie</v>
      </c>
      <c r="G3" s="610" t="s">
        <v>518</v>
      </c>
      <c r="H3" s="612" t="str" cm="1">
        <f t="array" ref="H3">LOOKUP($G$3,$A$13:$A$212,$B$13:$B$212&amp;"-"&amp;$G$13:$G$212)</f>
        <v>Stuart-86000</v>
      </c>
    </row>
    <row r="4" spans="1:12">
      <c r="B4" s="172" t="str">
        <f ca="1">OFFSET(B12,8,1)</f>
        <v>Smith</v>
      </c>
      <c r="C4" s="172" t="str">
        <f ca="1">OFFSET(C22,-5,0)</f>
        <v>Williams</v>
      </c>
      <c r="D4" s="172" t="str">
        <f>INDEX($B$12:$D$27,12,2)</f>
        <v>Anderson</v>
      </c>
      <c r="E4" s="172" t="str">
        <f ca="1">OFFSET(C21,0,-1)</f>
        <v>Rita</v>
      </c>
      <c r="G4" s="610" t="s">
        <v>466</v>
      </c>
      <c r="H4" s="612" t="str" cm="1">
        <f t="array" ref="H4">LOOKUP($G$4,$A$13:$A$212,$B$13:$B$212&amp;"-"&amp;$G$13:$G$212)</f>
        <v>Melissa-80000</v>
      </c>
    </row>
    <row r="5" spans="1:12">
      <c r="B5" s="172" t="str">
        <f ca="1">OFFSET(B12,10,1)</f>
        <v>Johnson</v>
      </c>
      <c r="C5" s="172" t="str">
        <f ca="1">OFFSET(C18,-3,0)</f>
        <v>McGregor</v>
      </c>
      <c r="D5" s="172" t="str">
        <f>INDEX(B12:D25,4,2)</f>
        <v>McGregor</v>
      </c>
      <c r="E5" s="172" t="str">
        <f ca="1">OFFSET(C22,-4,0)</f>
        <v>Philips</v>
      </c>
    </row>
    <row r="6" spans="1:12">
      <c r="B6" s="172" t="str">
        <f ca="1">OFFSET(B12,10,0)</f>
        <v>Trevor</v>
      </c>
      <c r="C6" s="172" t="str">
        <f ca="1">OFFSET(C23,-3,0)</f>
        <v>Smith</v>
      </c>
      <c r="D6" s="172" t="str">
        <f>INDEX(B12:E21,4,4)</f>
        <v>South</v>
      </c>
      <c r="E6" s="172" t="str">
        <f ca="1">OFFSET(C25,0,-1)</f>
        <v>Cynthia</v>
      </c>
    </row>
    <row r="7" spans="1:12">
      <c r="B7" s="172" t="str">
        <f ca="1">OFFSET(B12,4,1)</f>
        <v>Overmire</v>
      </c>
      <c r="C7" s="172" t="str">
        <f ca="1">OFFSET(C20,-5,-1)</f>
        <v>Melinda</v>
      </c>
      <c r="D7" s="172" t="str">
        <f>INDEX(B12:D27,7,2)</f>
        <v>Philips</v>
      </c>
      <c r="E7" s="172" t="str">
        <f ca="1">OFFSET(C17,0,-1)</f>
        <v>Roger</v>
      </c>
    </row>
    <row r="8" spans="1:12">
      <c r="B8" s="172" t="str">
        <f ca="1">OFFSET(C19,-3,-1)</f>
        <v>James</v>
      </c>
      <c r="C8" s="172" t="str">
        <f ca="1">OFFSET(C18,3,1)</f>
        <v>986-07-5705</v>
      </c>
      <c r="D8" s="172" t="str">
        <f>INDEX(B12:D22,9,1)</f>
        <v>Mary</v>
      </c>
      <c r="E8" s="172" t="str">
        <f ca="1">OFFSET(C14,0,-1)</f>
        <v>Shannon</v>
      </c>
    </row>
    <row r="9" spans="1:12">
      <c r="C9" s="172" t="str">
        <f ca="1">OFFSET(B16,4,2)</f>
        <v>654-58-9578</v>
      </c>
      <c r="D9" s="172" t="str">
        <f>INDEX($B$12:$D$27,5,3)</f>
        <v>312-71-3816</v>
      </c>
    </row>
    <row r="10" spans="1:12">
      <c r="D10" s="172" t="str">
        <f>INDEX(B12:D22,11,2)</f>
        <v>Johnson</v>
      </c>
    </row>
    <row r="12" spans="1:12" ht="13.5" customHeight="1">
      <c r="A12" s="171" t="s">
        <v>428</v>
      </c>
      <c r="B12" s="553" t="s">
        <v>429</v>
      </c>
      <c r="C12" s="553" t="s">
        <v>434</v>
      </c>
      <c r="D12" s="553" t="s">
        <v>430</v>
      </c>
      <c r="E12" s="171" t="s">
        <v>87</v>
      </c>
      <c r="F12" s="171" t="s">
        <v>432</v>
      </c>
      <c r="G12" s="171" t="s">
        <v>431</v>
      </c>
      <c r="H12" s="171" t="s">
        <v>433</v>
      </c>
    </row>
    <row r="13" spans="1:12" ht="13.5" customHeight="1">
      <c r="A13" s="173" t="s">
        <v>435</v>
      </c>
      <c r="B13" s="554" t="s">
        <v>436</v>
      </c>
      <c r="C13" s="554" t="s">
        <v>437</v>
      </c>
      <c r="D13" s="554" t="s">
        <v>438</v>
      </c>
      <c r="E13" s="173" t="s">
        <v>439</v>
      </c>
      <c r="F13" s="173" t="s">
        <v>440</v>
      </c>
      <c r="G13" s="174">
        <v>72000</v>
      </c>
      <c r="H13" s="175">
        <v>34719</v>
      </c>
      <c r="L13" s="172" t="s">
        <v>3936</v>
      </c>
    </row>
    <row r="14" spans="1:12" ht="13.5" customHeight="1">
      <c r="A14" s="173" t="s">
        <v>441</v>
      </c>
      <c r="B14" s="554" t="s">
        <v>442</v>
      </c>
      <c r="C14" s="554" t="s">
        <v>443</v>
      </c>
      <c r="D14" s="554" t="s">
        <v>444</v>
      </c>
      <c r="E14" s="173" t="s">
        <v>445</v>
      </c>
      <c r="F14" s="173" t="s">
        <v>446</v>
      </c>
      <c r="G14" s="174">
        <v>80000</v>
      </c>
      <c r="H14" s="175">
        <v>37352</v>
      </c>
    </row>
    <row r="15" spans="1:12" ht="13.5" customHeight="1">
      <c r="A15" s="173" t="s">
        <v>447</v>
      </c>
      <c r="B15" s="554" t="s">
        <v>448</v>
      </c>
      <c r="C15" s="554" t="s">
        <v>449</v>
      </c>
      <c r="D15" s="554" t="s">
        <v>450</v>
      </c>
      <c r="E15" s="173" t="s">
        <v>445</v>
      </c>
      <c r="F15" s="173" t="s">
        <v>451</v>
      </c>
      <c r="G15" s="174">
        <v>100000</v>
      </c>
      <c r="H15" s="175">
        <v>36360</v>
      </c>
    </row>
    <row r="16" spans="1:12" ht="13.5" customHeight="1">
      <c r="A16" s="173" t="s">
        <v>452</v>
      </c>
      <c r="B16" s="554" t="s">
        <v>453</v>
      </c>
      <c r="C16" s="554" t="s">
        <v>454</v>
      </c>
      <c r="D16" s="554" t="s">
        <v>455</v>
      </c>
      <c r="E16" s="173" t="s">
        <v>445</v>
      </c>
      <c r="F16" s="173" t="s">
        <v>451</v>
      </c>
      <c r="G16" s="174">
        <v>90000</v>
      </c>
      <c r="H16" s="175">
        <v>35705</v>
      </c>
    </row>
    <row r="17" spans="1:8" ht="13.5" customHeight="1">
      <c r="A17" s="173" t="s">
        <v>456</v>
      </c>
      <c r="B17" s="554" t="s">
        <v>457</v>
      </c>
      <c r="C17" s="554" t="s">
        <v>458</v>
      </c>
      <c r="D17" s="554" t="s">
        <v>459</v>
      </c>
      <c r="E17" s="173" t="s">
        <v>439</v>
      </c>
      <c r="F17" s="173" t="s">
        <v>460</v>
      </c>
      <c r="G17" s="174">
        <v>78000</v>
      </c>
      <c r="H17" s="175">
        <v>38167</v>
      </c>
    </row>
    <row r="18" spans="1:8" ht="13.5" customHeight="1">
      <c r="A18" s="173" t="s">
        <v>461</v>
      </c>
      <c r="B18" s="554" t="s">
        <v>462</v>
      </c>
      <c r="C18" s="554" t="s">
        <v>463</v>
      </c>
      <c r="D18" s="554" t="s">
        <v>464</v>
      </c>
      <c r="E18" s="173" t="s">
        <v>465</v>
      </c>
      <c r="F18" s="173" t="s">
        <v>440</v>
      </c>
      <c r="G18" s="174">
        <v>98000</v>
      </c>
      <c r="H18" s="175">
        <v>37565</v>
      </c>
    </row>
    <row r="19" spans="1:8" ht="13.5" customHeight="1">
      <c r="A19" s="173" t="s">
        <v>466</v>
      </c>
      <c r="B19" s="554" t="s">
        <v>467</v>
      </c>
      <c r="C19" s="554" t="s">
        <v>453</v>
      </c>
      <c r="D19" s="554" t="s">
        <v>468</v>
      </c>
      <c r="E19" s="173" t="s">
        <v>439</v>
      </c>
      <c r="F19" s="173" t="s">
        <v>446</v>
      </c>
      <c r="G19" s="174">
        <v>80000</v>
      </c>
      <c r="H19" s="175">
        <v>32676</v>
      </c>
    </row>
    <row r="20" spans="1:8" ht="13.5" customHeight="1">
      <c r="A20" s="173" t="s">
        <v>469</v>
      </c>
      <c r="B20" s="554" t="s">
        <v>470</v>
      </c>
      <c r="C20" s="554" t="s">
        <v>471</v>
      </c>
      <c r="D20" s="554" t="s">
        <v>472</v>
      </c>
      <c r="E20" s="173" t="s">
        <v>473</v>
      </c>
      <c r="F20" s="173" t="s">
        <v>451</v>
      </c>
      <c r="G20" s="174">
        <v>95000</v>
      </c>
      <c r="H20" s="175">
        <v>36209</v>
      </c>
    </row>
    <row r="21" spans="1:8" ht="13.5" customHeight="1">
      <c r="A21" s="173" t="s">
        <v>474</v>
      </c>
      <c r="B21" s="554" t="s">
        <v>475</v>
      </c>
      <c r="C21" s="554" t="s">
        <v>476</v>
      </c>
      <c r="D21" s="554" t="s">
        <v>477</v>
      </c>
      <c r="E21" s="173" t="s">
        <v>439</v>
      </c>
      <c r="F21" s="173" t="s">
        <v>76</v>
      </c>
      <c r="G21" s="174">
        <v>85000</v>
      </c>
      <c r="H21" s="175">
        <v>37715</v>
      </c>
    </row>
    <row r="22" spans="1:8" ht="13.5" customHeight="1">
      <c r="A22" s="173" t="s">
        <v>478</v>
      </c>
      <c r="B22" s="554" t="s">
        <v>479</v>
      </c>
      <c r="C22" s="554" t="s">
        <v>285</v>
      </c>
      <c r="D22" s="554" t="s">
        <v>480</v>
      </c>
      <c r="E22" s="173" t="s">
        <v>473</v>
      </c>
      <c r="F22" s="173" t="s">
        <v>76</v>
      </c>
      <c r="G22" s="174">
        <v>85000</v>
      </c>
      <c r="H22" s="175">
        <v>35883</v>
      </c>
    </row>
    <row r="23" spans="1:8" ht="13.5" customHeight="1">
      <c r="A23" s="173" t="s">
        <v>481</v>
      </c>
      <c r="B23" s="554" t="s">
        <v>482</v>
      </c>
      <c r="C23" s="554" t="s">
        <v>483</v>
      </c>
      <c r="D23" s="554" t="s">
        <v>484</v>
      </c>
      <c r="E23" s="173" t="s">
        <v>439</v>
      </c>
      <c r="F23" s="173" t="s">
        <v>440</v>
      </c>
      <c r="G23" s="174">
        <v>72000</v>
      </c>
      <c r="H23" s="175">
        <v>36913</v>
      </c>
    </row>
    <row r="24" spans="1:8" ht="13.5" customHeight="1">
      <c r="A24" s="173" t="s">
        <v>485</v>
      </c>
      <c r="B24" s="554" t="s">
        <v>486</v>
      </c>
      <c r="C24" s="554" t="s">
        <v>487</v>
      </c>
      <c r="D24" s="554" t="s">
        <v>488</v>
      </c>
      <c r="E24" s="173" t="s">
        <v>445</v>
      </c>
      <c r="F24" s="173" t="s">
        <v>460</v>
      </c>
      <c r="G24" s="174">
        <v>78000</v>
      </c>
      <c r="H24" s="175">
        <v>37505</v>
      </c>
    </row>
    <row r="25" spans="1:8" ht="13.5" customHeight="1">
      <c r="A25" s="173" t="s">
        <v>489</v>
      </c>
      <c r="B25" s="554" t="s">
        <v>490</v>
      </c>
      <c r="C25" s="554" t="s">
        <v>491</v>
      </c>
      <c r="D25" s="554" t="s">
        <v>492</v>
      </c>
      <c r="E25" s="173" t="s">
        <v>473</v>
      </c>
      <c r="F25" s="173" t="s">
        <v>76</v>
      </c>
      <c r="G25" s="174">
        <v>85000</v>
      </c>
      <c r="H25" s="175">
        <v>36654</v>
      </c>
    </row>
    <row r="26" spans="1:8" ht="13.5" customHeight="1">
      <c r="A26" s="173" t="s">
        <v>489</v>
      </c>
      <c r="B26" s="554" t="s">
        <v>490</v>
      </c>
      <c r="C26" s="554" t="s">
        <v>491</v>
      </c>
      <c r="D26" s="554" t="s">
        <v>492</v>
      </c>
      <c r="E26" s="173" t="s">
        <v>473</v>
      </c>
      <c r="F26" s="173" t="s">
        <v>76</v>
      </c>
      <c r="G26" s="174">
        <v>85000</v>
      </c>
      <c r="H26" s="175">
        <v>36654</v>
      </c>
    </row>
    <row r="27" spans="1:8" ht="13.5" customHeight="1">
      <c r="A27" s="173" t="s">
        <v>493</v>
      </c>
      <c r="B27" s="554" t="s">
        <v>494</v>
      </c>
      <c r="C27" s="554" t="s">
        <v>443</v>
      </c>
      <c r="D27" s="554" t="s">
        <v>495</v>
      </c>
      <c r="E27" s="173" t="s">
        <v>465</v>
      </c>
      <c r="F27" s="173" t="s">
        <v>76</v>
      </c>
      <c r="G27" s="174">
        <v>85000</v>
      </c>
      <c r="H27" s="175">
        <v>38366</v>
      </c>
    </row>
    <row r="28" spans="1:8" ht="13.5" customHeight="1">
      <c r="A28" s="173" t="s">
        <v>496</v>
      </c>
      <c r="B28" s="173" t="s">
        <v>497</v>
      </c>
      <c r="C28" s="173" t="s">
        <v>498</v>
      </c>
      <c r="D28" s="173" t="s">
        <v>499</v>
      </c>
      <c r="E28" s="173" t="s">
        <v>473</v>
      </c>
      <c r="F28" s="173" t="s">
        <v>76</v>
      </c>
      <c r="G28" s="174">
        <v>85000</v>
      </c>
      <c r="H28" s="175">
        <v>37840</v>
      </c>
    </row>
    <row r="29" spans="1:8" ht="13.5" customHeight="1">
      <c r="A29" s="173" t="s">
        <v>500</v>
      </c>
      <c r="B29" s="173" t="s">
        <v>501</v>
      </c>
      <c r="C29" s="173" t="s">
        <v>453</v>
      </c>
      <c r="D29" s="173" t="s">
        <v>502</v>
      </c>
      <c r="E29" s="173" t="s">
        <v>473</v>
      </c>
      <c r="F29" s="173" t="s">
        <v>446</v>
      </c>
      <c r="G29" s="174">
        <v>80000</v>
      </c>
      <c r="H29" s="175">
        <v>37191</v>
      </c>
    </row>
    <row r="30" spans="1:8" ht="13.5" customHeight="1">
      <c r="A30" s="173" t="s">
        <v>503</v>
      </c>
      <c r="B30" s="173" t="s">
        <v>504</v>
      </c>
      <c r="C30" s="173" t="s">
        <v>505</v>
      </c>
      <c r="D30" s="173" t="s">
        <v>506</v>
      </c>
      <c r="E30" s="173" t="s">
        <v>473</v>
      </c>
      <c r="F30" s="173" t="s">
        <v>451</v>
      </c>
      <c r="G30" s="174">
        <v>95000</v>
      </c>
      <c r="H30" s="175">
        <v>36504</v>
      </c>
    </row>
    <row r="31" spans="1:8" ht="13.5" customHeight="1">
      <c r="A31" s="173" t="s">
        <v>507</v>
      </c>
      <c r="B31" s="173" t="s">
        <v>508</v>
      </c>
      <c r="C31" s="173" t="s">
        <v>509</v>
      </c>
      <c r="D31" s="173" t="s">
        <v>510</v>
      </c>
      <c r="E31" s="173" t="s">
        <v>473</v>
      </c>
      <c r="F31" s="173" t="s">
        <v>451</v>
      </c>
      <c r="G31" s="174">
        <v>95000</v>
      </c>
      <c r="H31" s="175">
        <v>37045</v>
      </c>
    </row>
    <row r="32" spans="1:8" ht="13.5" customHeight="1">
      <c r="A32" s="173" t="s">
        <v>511</v>
      </c>
      <c r="B32" s="173" t="s">
        <v>282</v>
      </c>
      <c r="C32" s="173" t="s">
        <v>512</v>
      </c>
      <c r="D32" s="173" t="s">
        <v>513</v>
      </c>
      <c r="E32" s="173" t="s">
        <v>439</v>
      </c>
      <c r="F32" s="173" t="s">
        <v>440</v>
      </c>
      <c r="G32" s="174">
        <v>72000</v>
      </c>
      <c r="H32" s="175">
        <v>35022</v>
      </c>
    </row>
    <row r="33" spans="1:8" ht="13.5" customHeight="1">
      <c r="A33" s="173" t="s">
        <v>514</v>
      </c>
      <c r="B33" s="173" t="s">
        <v>515</v>
      </c>
      <c r="C33" s="173" t="s">
        <v>516</v>
      </c>
      <c r="D33" s="173" t="s">
        <v>517</v>
      </c>
      <c r="E33" s="173" t="s">
        <v>439</v>
      </c>
      <c r="F33" s="173" t="s">
        <v>440</v>
      </c>
      <c r="G33" s="174">
        <v>72000</v>
      </c>
      <c r="H33" s="175">
        <v>37820</v>
      </c>
    </row>
    <row r="34" spans="1:8" ht="13.5" customHeight="1">
      <c r="A34" s="173" t="s">
        <v>518</v>
      </c>
      <c r="B34" s="173" t="s">
        <v>519</v>
      </c>
      <c r="C34" s="173" t="s">
        <v>520</v>
      </c>
      <c r="D34" s="173" t="s">
        <v>521</v>
      </c>
      <c r="E34" s="173" t="s">
        <v>473</v>
      </c>
      <c r="F34" s="173" t="s">
        <v>522</v>
      </c>
      <c r="G34" s="174">
        <v>86000</v>
      </c>
      <c r="H34" s="175">
        <v>35470</v>
      </c>
    </row>
    <row r="35" spans="1:8" ht="13.5" customHeight="1">
      <c r="A35" s="173" t="s">
        <v>523</v>
      </c>
      <c r="B35" s="173" t="s">
        <v>524</v>
      </c>
      <c r="C35" s="173" t="s">
        <v>525</v>
      </c>
      <c r="D35" s="173" t="s">
        <v>526</v>
      </c>
      <c r="E35" s="173" t="s">
        <v>445</v>
      </c>
      <c r="F35" s="173" t="s">
        <v>76</v>
      </c>
      <c r="G35" s="174">
        <v>85000</v>
      </c>
      <c r="H35" s="175">
        <v>37545</v>
      </c>
    </row>
    <row r="36" spans="1:8" ht="13.5" customHeight="1">
      <c r="A36" s="173" t="s">
        <v>527</v>
      </c>
      <c r="B36" s="173" t="s">
        <v>453</v>
      </c>
      <c r="C36" s="173" t="s">
        <v>528</v>
      </c>
      <c r="D36" s="173" t="s">
        <v>529</v>
      </c>
      <c r="E36" s="173" t="s">
        <v>465</v>
      </c>
      <c r="F36" s="173" t="s">
        <v>460</v>
      </c>
      <c r="G36" s="174">
        <v>78000</v>
      </c>
      <c r="H36" s="175">
        <v>37104</v>
      </c>
    </row>
    <row r="37" spans="1:8" ht="13.5" customHeight="1">
      <c r="A37" s="173" t="s">
        <v>530</v>
      </c>
      <c r="B37" s="173" t="s">
        <v>531</v>
      </c>
      <c r="C37" s="173" t="s">
        <v>532</v>
      </c>
      <c r="D37" s="173" t="s">
        <v>533</v>
      </c>
      <c r="E37" s="173" t="s">
        <v>465</v>
      </c>
      <c r="F37" s="173" t="s">
        <v>446</v>
      </c>
      <c r="G37" s="174">
        <v>80000</v>
      </c>
      <c r="H37" s="175">
        <v>35824</v>
      </c>
    </row>
    <row r="38" spans="1:8" ht="13.5" customHeight="1">
      <c r="A38" s="173" t="s">
        <v>534</v>
      </c>
      <c r="B38" s="173" t="s">
        <v>535</v>
      </c>
      <c r="C38" s="173" t="s">
        <v>536</v>
      </c>
      <c r="D38" s="173" t="s">
        <v>537</v>
      </c>
      <c r="E38" s="173" t="s">
        <v>465</v>
      </c>
      <c r="F38" s="173" t="s">
        <v>446</v>
      </c>
      <c r="G38" s="174">
        <v>80000</v>
      </c>
      <c r="H38" s="175">
        <v>38049</v>
      </c>
    </row>
    <row r="39" spans="1:8" ht="13.5" customHeight="1">
      <c r="A39" s="173" t="s">
        <v>538</v>
      </c>
      <c r="B39" s="173" t="s">
        <v>539</v>
      </c>
      <c r="C39" s="173" t="s">
        <v>540</v>
      </c>
      <c r="D39" s="173" t="s">
        <v>541</v>
      </c>
      <c r="E39" s="173" t="s">
        <v>473</v>
      </c>
      <c r="F39" s="173" t="s">
        <v>76</v>
      </c>
      <c r="G39" s="174">
        <v>60000</v>
      </c>
      <c r="H39" s="175">
        <v>36678</v>
      </c>
    </row>
    <row r="40" spans="1:8" ht="13.5" customHeight="1">
      <c r="A40" s="173" t="s">
        <v>542</v>
      </c>
      <c r="B40" s="173" t="s">
        <v>494</v>
      </c>
      <c r="C40" s="173" t="s">
        <v>543</v>
      </c>
      <c r="D40" s="173" t="s">
        <v>544</v>
      </c>
      <c r="E40" s="173" t="s">
        <v>439</v>
      </c>
      <c r="F40" s="173" t="s">
        <v>460</v>
      </c>
      <c r="G40" s="174">
        <v>45000</v>
      </c>
      <c r="H40" s="175">
        <v>36708</v>
      </c>
    </row>
    <row r="41" spans="1:8" ht="13.5" customHeight="1">
      <c r="A41" s="173" t="s">
        <v>545</v>
      </c>
      <c r="B41" s="173" t="s">
        <v>546</v>
      </c>
      <c r="C41" s="173" t="s">
        <v>483</v>
      </c>
      <c r="D41" s="173" t="s">
        <v>547</v>
      </c>
      <c r="E41" s="173" t="s">
        <v>445</v>
      </c>
      <c r="F41" s="173" t="s">
        <v>446</v>
      </c>
      <c r="G41" s="174">
        <v>45000</v>
      </c>
      <c r="H41" s="175">
        <v>36739</v>
      </c>
    </row>
    <row r="42" spans="1:8" ht="13.5" customHeight="1">
      <c r="A42" s="173" t="s">
        <v>548</v>
      </c>
      <c r="B42" s="173" t="s">
        <v>549</v>
      </c>
      <c r="C42" s="173" t="s">
        <v>528</v>
      </c>
      <c r="D42" s="173" t="s">
        <v>550</v>
      </c>
      <c r="E42" s="173" t="s">
        <v>465</v>
      </c>
      <c r="F42" s="173" t="s">
        <v>451</v>
      </c>
      <c r="G42" s="174">
        <v>34000</v>
      </c>
      <c r="H42" s="175">
        <v>36770</v>
      </c>
    </row>
    <row r="43" spans="1:8" ht="13.5" customHeight="1">
      <c r="A43" s="173" t="s">
        <v>551</v>
      </c>
      <c r="B43" s="173" t="s">
        <v>552</v>
      </c>
      <c r="C43" s="173" t="s">
        <v>553</v>
      </c>
      <c r="D43" s="173" t="s">
        <v>554</v>
      </c>
      <c r="E43" s="173" t="s">
        <v>473</v>
      </c>
      <c r="F43" s="173" t="s">
        <v>440</v>
      </c>
      <c r="G43" s="174">
        <v>56000</v>
      </c>
      <c r="H43" s="175">
        <v>36800</v>
      </c>
    </row>
    <row r="44" spans="1:8" ht="13.5" customHeight="1">
      <c r="A44" s="173" t="s">
        <v>555</v>
      </c>
      <c r="B44" s="173" t="s">
        <v>556</v>
      </c>
      <c r="C44" s="173" t="s">
        <v>557</v>
      </c>
      <c r="D44" s="173" t="s">
        <v>558</v>
      </c>
      <c r="E44" s="173" t="s">
        <v>439</v>
      </c>
      <c r="F44" s="173" t="s">
        <v>76</v>
      </c>
      <c r="G44" s="174">
        <v>84000</v>
      </c>
      <c r="H44" s="175">
        <v>36831</v>
      </c>
    </row>
    <row r="45" spans="1:8" ht="13.5" customHeight="1">
      <c r="A45" s="173" t="s">
        <v>559</v>
      </c>
      <c r="B45" s="173" t="s">
        <v>470</v>
      </c>
      <c r="C45" s="173" t="s">
        <v>560</v>
      </c>
      <c r="D45" s="173" t="s">
        <v>561</v>
      </c>
      <c r="E45" s="173" t="s">
        <v>445</v>
      </c>
      <c r="F45" s="173" t="s">
        <v>460</v>
      </c>
      <c r="G45" s="174">
        <v>45000</v>
      </c>
      <c r="H45" s="175">
        <v>36861</v>
      </c>
    </row>
    <row r="46" spans="1:8" ht="13.5" customHeight="1">
      <c r="A46" s="173" t="s">
        <v>562</v>
      </c>
      <c r="B46" s="173" t="s">
        <v>405</v>
      </c>
      <c r="C46" s="173" t="s">
        <v>563</v>
      </c>
      <c r="D46" s="173" t="s">
        <v>564</v>
      </c>
      <c r="E46" s="173" t="s">
        <v>465</v>
      </c>
      <c r="F46" s="173" t="s">
        <v>446</v>
      </c>
      <c r="G46" s="174">
        <v>32000</v>
      </c>
      <c r="H46" s="175">
        <v>36892</v>
      </c>
    </row>
    <row r="47" spans="1:8" ht="13.5" customHeight="1">
      <c r="A47" s="173" t="s">
        <v>565</v>
      </c>
      <c r="B47" s="173" t="s">
        <v>566</v>
      </c>
      <c r="C47" s="173" t="s">
        <v>563</v>
      </c>
      <c r="D47" s="173" t="s">
        <v>567</v>
      </c>
      <c r="E47" s="173" t="s">
        <v>473</v>
      </c>
      <c r="F47" s="173" t="s">
        <v>451</v>
      </c>
      <c r="G47" s="174">
        <v>34000</v>
      </c>
      <c r="H47" s="175">
        <v>36923</v>
      </c>
    </row>
    <row r="48" spans="1:8" ht="13.5" customHeight="1">
      <c r="A48" s="173" t="s">
        <v>568</v>
      </c>
      <c r="B48" s="173" t="s">
        <v>569</v>
      </c>
      <c r="C48" s="173" t="s">
        <v>570</v>
      </c>
      <c r="D48" s="173" t="s">
        <v>571</v>
      </c>
      <c r="E48" s="173" t="s">
        <v>439</v>
      </c>
      <c r="F48" s="173" t="s">
        <v>440</v>
      </c>
      <c r="G48" s="174">
        <v>56000</v>
      </c>
      <c r="H48" s="175">
        <v>36951</v>
      </c>
    </row>
    <row r="49" spans="1:8" ht="13.5" customHeight="1">
      <c r="A49" s="173" t="s">
        <v>572</v>
      </c>
      <c r="B49" s="173" t="s">
        <v>573</v>
      </c>
      <c r="C49" s="173" t="s">
        <v>574</v>
      </c>
      <c r="D49" s="173" t="s">
        <v>575</v>
      </c>
      <c r="E49" s="173" t="s">
        <v>445</v>
      </c>
      <c r="F49" s="173" t="s">
        <v>76</v>
      </c>
      <c r="G49" s="174">
        <v>84000</v>
      </c>
      <c r="H49" s="175">
        <v>36982</v>
      </c>
    </row>
    <row r="50" spans="1:8" ht="13.5" customHeight="1">
      <c r="A50" s="173" t="s">
        <v>576</v>
      </c>
      <c r="B50" s="173" t="s">
        <v>546</v>
      </c>
      <c r="C50" s="173" t="s">
        <v>570</v>
      </c>
      <c r="D50" s="173" t="s">
        <v>577</v>
      </c>
      <c r="E50" s="173" t="s">
        <v>465</v>
      </c>
      <c r="F50" s="173" t="s">
        <v>460</v>
      </c>
      <c r="G50" s="174">
        <v>45000</v>
      </c>
      <c r="H50" s="175">
        <v>37012</v>
      </c>
    </row>
    <row r="51" spans="1:8" ht="13.5" customHeight="1">
      <c r="A51" s="173" t="s">
        <v>578</v>
      </c>
      <c r="B51" s="173" t="s">
        <v>579</v>
      </c>
      <c r="C51" s="173" t="s">
        <v>443</v>
      </c>
      <c r="D51" s="173" t="s">
        <v>580</v>
      </c>
      <c r="E51" s="173" t="s">
        <v>473</v>
      </c>
      <c r="F51" s="173" t="s">
        <v>446</v>
      </c>
      <c r="G51" s="174">
        <v>32000</v>
      </c>
      <c r="H51" s="175">
        <v>37043</v>
      </c>
    </row>
    <row r="52" spans="1:8" ht="13.5" customHeight="1">
      <c r="A52" s="173" t="s">
        <v>581</v>
      </c>
      <c r="B52" s="173" t="s">
        <v>582</v>
      </c>
      <c r="C52" s="173" t="s">
        <v>583</v>
      </c>
      <c r="D52" s="173" t="s">
        <v>584</v>
      </c>
      <c r="E52" s="173" t="s">
        <v>439</v>
      </c>
      <c r="F52" s="173" t="s">
        <v>451</v>
      </c>
      <c r="G52" s="174">
        <v>34000</v>
      </c>
      <c r="H52" s="175">
        <v>37073</v>
      </c>
    </row>
    <row r="53" spans="1:8" ht="13.5" customHeight="1">
      <c r="A53" s="173" t="s">
        <v>585</v>
      </c>
      <c r="B53" s="173" t="s">
        <v>586</v>
      </c>
      <c r="C53" s="173" t="s">
        <v>587</v>
      </c>
      <c r="D53" s="173" t="s">
        <v>588</v>
      </c>
      <c r="E53" s="173" t="s">
        <v>445</v>
      </c>
      <c r="F53" s="173" t="s">
        <v>440</v>
      </c>
      <c r="G53" s="174">
        <v>56000</v>
      </c>
      <c r="H53" s="175">
        <v>37104</v>
      </c>
    </row>
    <row r="54" spans="1:8" ht="13.5" customHeight="1">
      <c r="A54" s="173" t="s">
        <v>589</v>
      </c>
      <c r="B54" s="173" t="s">
        <v>590</v>
      </c>
      <c r="C54" s="173" t="s">
        <v>591</v>
      </c>
      <c r="D54" s="173" t="s">
        <v>592</v>
      </c>
      <c r="E54" s="173" t="s">
        <v>465</v>
      </c>
      <c r="F54" s="173" t="s">
        <v>76</v>
      </c>
      <c r="G54" s="174">
        <v>84000</v>
      </c>
      <c r="H54" s="175">
        <v>37135</v>
      </c>
    </row>
    <row r="55" spans="1:8" ht="13.5" customHeight="1">
      <c r="A55" s="173" t="s">
        <v>593</v>
      </c>
      <c r="B55" s="173" t="s">
        <v>408</v>
      </c>
      <c r="C55" s="173" t="s">
        <v>491</v>
      </c>
      <c r="D55" s="173" t="s">
        <v>594</v>
      </c>
      <c r="E55" s="173" t="s">
        <v>473</v>
      </c>
      <c r="F55" s="173" t="s">
        <v>460</v>
      </c>
      <c r="G55" s="174">
        <v>45000</v>
      </c>
      <c r="H55" s="175">
        <v>37165</v>
      </c>
    </row>
    <row r="56" spans="1:8" ht="13.5" customHeight="1">
      <c r="A56" s="173" t="s">
        <v>595</v>
      </c>
      <c r="B56" s="173" t="s">
        <v>596</v>
      </c>
      <c r="C56" s="173" t="s">
        <v>597</v>
      </c>
      <c r="D56" s="173" t="s">
        <v>598</v>
      </c>
      <c r="E56" s="173" t="s">
        <v>439</v>
      </c>
      <c r="F56" s="173" t="s">
        <v>446</v>
      </c>
      <c r="G56" s="174">
        <v>32000</v>
      </c>
      <c r="H56" s="175">
        <v>37196</v>
      </c>
    </row>
    <row r="57" spans="1:8" ht="13.5" customHeight="1">
      <c r="A57" s="173" t="s">
        <v>599</v>
      </c>
      <c r="B57" s="173" t="s">
        <v>600</v>
      </c>
      <c r="C57" s="173" t="s">
        <v>601</v>
      </c>
      <c r="D57" s="173" t="s">
        <v>602</v>
      </c>
      <c r="E57" s="173" t="s">
        <v>445</v>
      </c>
      <c r="F57" s="173" t="s">
        <v>451</v>
      </c>
      <c r="G57" s="174">
        <v>34000</v>
      </c>
      <c r="H57" s="175">
        <v>37226</v>
      </c>
    </row>
    <row r="58" spans="1:8" ht="13.5" customHeight="1">
      <c r="A58" s="173" t="s">
        <v>603</v>
      </c>
      <c r="B58" s="173" t="s">
        <v>284</v>
      </c>
      <c r="C58" s="173" t="s">
        <v>540</v>
      </c>
      <c r="D58" s="173" t="s">
        <v>604</v>
      </c>
      <c r="E58" s="173" t="s">
        <v>465</v>
      </c>
      <c r="F58" s="173" t="s">
        <v>440</v>
      </c>
      <c r="G58" s="174">
        <v>56000</v>
      </c>
      <c r="H58" s="175">
        <v>37257</v>
      </c>
    </row>
    <row r="59" spans="1:8" ht="13.5" customHeight="1">
      <c r="A59" s="173" t="s">
        <v>605</v>
      </c>
      <c r="B59" s="173" t="s">
        <v>606</v>
      </c>
      <c r="C59" s="173" t="s">
        <v>607</v>
      </c>
      <c r="D59" s="173" t="s">
        <v>608</v>
      </c>
      <c r="E59" s="173" t="s">
        <v>473</v>
      </c>
      <c r="F59" s="173" t="s">
        <v>76</v>
      </c>
      <c r="G59" s="174">
        <v>84000</v>
      </c>
      <c r="H59" s="175">
        <v>37288</v>
      </c>
    </row>
    <row r="60" spans="1:8" ht="13.5" customHeight="1">
      <c r="A60" s="173" t="s">
        <v>609</v>
      </c>
      <c r="B60" s="173" t="s">
        <v>610</v>
      </c>
      <c r="C60" s="173" t="s">
        <v>611</v>
      </c>
      <c r="D60" s="173" t="s">
        <v>612</v>
      </c>
      <c r="E60" s="173" t="s">
        <v>439</v>
      </c>
      <c r="F60" s="173" t="s">
        <v>460</v>
      </c>
      <c r="G60" s="174">
        <v>45000</v>
      </c>
      <c r="H60" s="175">
        <v>37316</v>
      </c>
    </row>
    <row r="61" spans="1:8" ht="13.5" customHeight="1">
      <c r="A61" s="173" t="s">
        <v>613</v>
      </c>
      <c r="B61" s="173" t="s">
        <v>614</v>
      </c>
      <c r="C61" s="173" t="s">
        <v>615</v>
      </c>
      <c r="D61" s="173" t="s">
        <v>616</v>
      </c>
      <c r="E61" s="173" t="s">
        <v>445</v>
      </c>
      <c r="F61" s="173" t="s">
        <v>446</v>
      </c>
      <c r="G61" s="174">
        <v>32000</v>
      </c>
      <c r="H61" s="175">
        <v>37347</v>
      </c>
    </row>
    <row r="62" spans="1:8" ht="13.5" customHeight="1">
      <c r="A62" s="173" t="s">
        <v>617</v>
      </c>
      <c r="B62" s="173" t="s">
        <v>618</v>
      </c>
      <c r="C62" s="173" t="s">
        <v>619</v>
      </c>
      <c r="D62" s="173" t="s">
        <v>620</v>
      </c>
      <c r="E62" s="173" t="s">
        <v>465</v>
      </c>
      <c r="F62" s="173" t="s">
        <v>451</v>
      </c>
      <c r="G62" s="174">
        <v>34000</v>
      </c>
      <c r="H62" s="175">
        <v>37377</v>
      </c>
    </row>
    <row r="63" spans="1:8" ht="13.5" customHeight="1">
      <c r="A63" s="173" t="s">
        <v>621</v>
      </c>
      <c r="B63" s="173" t="s">
        <v>539</v>
      </c>
      <c r="C63" s="173" t="s">
        <v>622</v>
      </c>
      <c r="D63" s="173" t="s">
        <v>623</v>
      </c>
      <c r="E63" s="173" t="s">
        <v>473</v>
      </c>
      <c r="F63" s="173" t="s">
        <v>440</v>
      </c>
      <c r="G63" s="174">
        <v>56000</v>
      </c>
      <c r="H63" s="175">
        <v>37408</v>
      </c>
    </row>
    <row r="64" spans="1:8" ht="13.5" customHeight="1">
      <c r="A64" s="173" t="s">
        <v>624</v>
      </c>
      <c r="B64" s="173" t="s">
        <v>476</v>
      </c>
      <c r="C64" s="173" t="s">
        <v>625</v>
      </c>
      <c r="D64" s="173" t="s">
        <v>626</v>
      </c>
      <c r="E64" s="173" t="s">
        <v>439</v>
      </c>
      <c r="F64" s="173" t="s">
        <v>76</v>
      </c>
      <c r="G64" s="174">
        <v>84000</v>
      </c>
      <c r="H64" s="175">
        <v>37438</v>
      </c>
    </row>
    <row r="65" spans="1:8" ht="13.5" customHeight="1">
      <c r="A65" s="173" t="s">
        <v>627</v>
      </c>
      <c r="B65" s="173" t="s">
        <v>628</v>
      </c>
      <c r="C65" s="173" t="s">
        <v>629</v>
      </c>
      <c r="D65" s="173" t="s">
        <v>630</v>
      </c>
      <c r="E65" s="173" t="s">
        <v>445</v>
      </c>
      <c r="F65" s="173" t="s">
        <v>460</v>
      </c>
      <c r="G65" s="174">
        <v>45000</v>
      </c>
      <c r="H65" s="175">
        <v>37469</v>
      </c>
    </row>
    <row r="66" spans="1:8" ht="13.5" customHeight="1">
      <c r="A66" s="173" t="s">
        <v>631</v>
      </c>
      <c r="B66" s="173" t="s">
        <v>632</v>
      </c>
      <c r="C66" s="173" t="s">
        <v>633</v>
      </c>
      <c r="D66" s="173" t="s">
        <v>634</v>
      </c>
      <c r="E66" s="173" t="s">
        <v>465</v>
      </c>
      <c r="F66" s="173" t="s">
        <v>446</v>
      </c>
      <c r="G66" s="174">
        <v>32000</v>
      </c>
      <c r="H66" s="175">
        <v>37500</v>
      </c>
    </row>
    <row r="67" spans="1:8" ht="13.5" customHeight="1">
      <c r="A67" s="173" t="s">
        <v>635</v>
      </c>
      <c r="B67" s="173" t="s">
        <v>636</v>
      </c>
      <c r="C67" s="173" t="s">
        <v>637</v>
      </c>
      <c r="D67" s="173" t="s">
        <v>638</v>
      </c>
      <c r="E67" s="173" t="s">
        <v>473</v>
      </c>
      <c r="F67" s="173" t="s">
        <v>451</v>
      </c>
      <c r="G67" s="174">
        <v>34000</v>
      </c>
      <c r="H67" s="175">
        <v>37530</v>
      </c>
    </row>
    <row r="68" spans="1:8" ht="13.5" customHeight="1">
      <c r="A68" s="173" t="s">
        <v>639</v>
      </c>
      <c r="B68" s="173" t="s">
        <v>640</v>
      </c>
      <c r="C68" s="173" t="s">
        <v>641</v>
      </c>
      <c r="D68" s="173" t="s">
        <v>642</v>
      </c>
      <c r="E68" s="173" t="s">
        <v>439</v>
      </c>
      <c r="F68" s="173" t="s">
        <v>440</v>
      </c>
      <c r="G68" s="174">
        <v>56000</v>
      </c>
      <c r="H68" s="175">
        <v>37561</v>
      </c>
    </row>
    <row r="69" spans="1:8" ht="13.5" customHeight="1">
      <c r="A69" s="173" t="s">
        <v>643</v>
      </c>
      <c r="B69" s="173" t="s">
        <v>644</v>
      </c>
      <c r="C69" s="173" t="s">
        <v>645</v>
      </c>
      <c r="D69" s="173" t="s">
        <v>646</v>
      </c>
      <c r="E69" s="173" t="s">
        <v>445</v>
      </c>
      <c r="F69" s="173" t="s">
        <v>76</v>
      </c>
      <c r="G69" s="174">
        <v>84000</v>
      </c>
      <c r="H69" s="175">
        <v>37591</v>
      </c>
    </row>
    <row r="70" spans="1:8" ht="13.5" customHeight="1">
      <c r="A70" s="173" t="s">
        <v>647</v>
      </c>
      <c r="B70" s="173" t="s">
        <v>648</v>
      </c>
      <c r="C70" s="173" t="s">
        <v>285</v>
      </c>
      <c r="D70" s="173" t="s">
        <v>649</v>
      </c>
      <c r="E70" s="173" t="s">
        <v>465</v>
      </c>
      <c r="F70" s="173" t="s">
        <v>460</v>
      </c>
      <c r="G70" s="174">
        <v>45000</v>
      </c>
      <c r="H70" s="175">
        <v>37622</v>
      </c>
    </row>
    <row r="71" spans="1:8" ht="13.5" customHeight="1">
      <c r="A71" s="173" t="s">
        <v>650</v>
      </c>
      <c r="B71" s="173" t="s">
        <v>651</v>
      </c>
      <c r="C71" s="173" t="s">
        <v>652</v>
      </c>
      <c r="D71" s="173" t="s">
        <v>653</v>
      </c>
      <c r="E71" s="173" t="s">
        <v>473</v>
      </c>
      <c r="F71" s="173" t="s">
        <v>446</v>
      </c>
      <c r="G71" s="174">
        <v>32000</v>
      </c>
      <c r="H71" s="175">
        <v>37653</v>
      </c>
    </row>
    <row r="72" spans="1:8" ht="13.5" customHeight="1">
      <c r="A72" s="173" t="s">
        <v>654</v>
      </c>
      <c r="B72" s="173" t="s">
        <v>655</v>
      </c>
      <c r="C72" s="173" t="s">
        <v>563</v>
      </c>
      <c r="D72" s="173" t="s">
        <v>656</v>
      </c>
      <c r="E72" s="173" t="s">
        <v>439</v>
      </c>
      <c r="F72" s="173" t="s">
        <v>451</v>
      </c>
      <c r="G72" s="174">
        <v>34000</v>
      </c>
      <c r="H72" s="175">
        <v>37681</v>
      </c>
    </row>
    <row r="73" spans="1:8" ht="13.5" customHeight="1">
      <c r="A73" s="173" t="s">
        <v>657</v>
      </c>
      <c r="B73" s="173" t="s">
        <v>570</v>
      </c>
      <c r="C73" s="173" t="s">
        <v>658</v>
      </c>
      <c r="D73" s="173" t="s">
        <v>659</v>
      </c>
      <c r="E73" s="173" t="s">
        <v>445</v>
      </c>
      <c r="F73" s="173" t="s">
        <v>440</v>
      </c>
      <c r="G73" s="174">
        <v>56000</v>
      </c>
      <c r="H73" s="175">
        <v>37712</v>
      </c>
    </row>
    <row r="74" spans="1:8" ht="13.5" customHeight="1">
      <c r="A74" s="173" t="s">
        <v>660</v>
      </c>
      <c r="B74" s="173" t="s">
        <v>563</v>
      </c>
      <c r="C74" s="173" t="s">
        <v>661</v>
      </c>
      <c r="D74" s="173" t="s">
        <v>662</v>
      </c>
      <c r="E74" s="173" t="s">
        <v>465</v>
      </c>
      <c r="F74" s="173" t="s">
        <v>76</v>
      </c>
      <c r="G74" s="174">
        <v>84000</v>
      </c>
      <c r="H74" s="175">
        <v>37742</v>
      </c>
    </row>
    <row r="75" spans="1:8" ht="13.5" customHeight="1">
      <c r="A75" s="173" t="s">
        <v>663</v>
      </c>
      <c r="B75" s="173" t="s">
        <v>442</v>
      </c>
      <c r="C75" s="173" t="s">
        <v>405</v>
      </c>
      <c r="D75" s="173" t="s">
        <v>664</v>
      </c>
      <c r="E75" s="173" t="s">
        <v>473</v>
      </c>
      <c r="F75" s="173" t="s">
        <v>460</v>
      </c>
      <c r="G75" s="174">
        <v>45000</v>
      </c>
      <c r="H75" s="175">
        <v>37773</v>
      </c>
    </row>
    <row r="76" spans="1:8" ht="13.5" customHeight="1">
      <c r="A76" s="173" t="s">
        <v>665</v>
      </c>
      <c r="B76" s="173" t="s">
        <v>448</v>
      </c>
      <c r="C76" s="173" t="s">
        <v>597</v>
      </c>
      <c r="D76" s="173" t="s">
        <v>666</v>
      </c>
      <c r="E76" s="173" t="s">
        <v>439</v>
      </c>
      <c r="F76" s="173" t="s">
        <v>446</v>
      </c>
      <c r="G76" s="174">
        <v>32000</v>
      </c>
      <c r="H76" s="175">
        <v>37803</v>
      </c>
    </row>
    <row r="77" spans="1:8" ht="13.5" customHeight="1">
      <c r="A77" s="173" t="s">
        <v>667</v>
      </c>
      <c r="B77" s="173" t="s">
        <v>453</v>
      </c>
      <c r="C77" s="173" t="s">
        <v>601</v>
      </c>
      <c r="D77" s="173" t="s">
        <v>668</v>
      </c>
      <c r="E77" s="173" t="s">
        <v>445</v>
      </c>
      <c r="F77" s="173" t="s">
        <v>451</v>
      </c>
      <c r="G77" s="174">
        <v>34000</v>
      </c>
      <c r="H77" s="175">
        <v>37834</v>
      </c>
    </row>
    <row r="78" spans="1:8" ht="13.5" customHeight="1">
      <c r="A78" s="173" t="s">
        <v>669</v>
      </c>
      <c r="B78" s="173" t="s">
        <v>457</v>
      </c>
      <c r="C78" s="173" t="s">
        <v>540</v>
      </c>
      <c r="D78" s="173" t="s">
        <v>670</v>
      </c>
      <c r="E78" s="173" t="s">
        <v>465</v>
      </c>
      <c r="F78" s="173" t="s">
        <v>440</v>
      </c>
      <c r="G78" s="174">
        <v>56000</v>
      </c>
      <c r="H78" s="175">
        <v>37865</v>
      </c>
    </row>
    <row r="79" spans="1:8" ht="13.5" customHeight="1">
      <c r="A79" s="173" t="s">
        <v>671</v>
      </c>
      <c r="B79" s="173" t="s">
        <v>462</v>
      </c>
      <c r="C79" s="173" t="s">
        <v>607</v>
      </c>
      <c r="D79" s="173" t="s">
        <v>672</v>
      </c>
      <c r="E79" s="173" t="s">
        <v>473</v>
      </c>
      <c r="F79" s="173" t="s">
        <v>76</v>
      </c>
      <c r="G79" s="174">
        <v>84000</v>
      </c>
      <c r="H79" s="175">
        <v>37895</v>
      </c>
    </row>
    <row r="80" spans="1:8" ht="13.5" customHeight="1">
      <c r="A80" s="173" t="s">
        <v>673</v>
      </c>
      <c r="B80" s="173" t="s">
        <v>467</v>
      </c>
      <c r="C80" s="173" t="s">
        <v>611</v>
      </c>
      <c r="D80" s="173" t="s">
        <v>674</v>
      </c>
      <c r="E80" s="173" t="s">
        <v>439</v>
      </c>
      <c r="F80" s="173" t="s">
        <v>460</v>
      </c>
      <c r="G80" s="174">
        <v>45000</v>
      </c>
      <c r="H80" s="175">
        <v>37926</v>
      </c>
    </row>
    <row r="81" spans="1:8" ht="13.5" customHeight="1">
      <c r="A81" s="173" t="s">
        <v>675</v>
      </c>
      <c r="B81" s="173" t="s">
        <v>470</v>
      </c>
      <c r="C81" s="173" t="s">
        <v>615</v>
      </c>
      <c r="D81" s="173" t="s">
        <v>676</v>
      </c>
      <c r="E81" s="173" t="s">
        <v>445</v>
      </c>
      <c r="F81" s="173" t="s">
        <v>446</v>
      </c>
      <c r="G81" s="174">
        <v>32000</v>
      </c>
      <c r="H81" s="175">
        <v>37956</v>
      </c>
    </row>
    <row r="82" spans="1:8" ht="13.5" customHeight="1">
      <c r="A82" s="173" t="s">
        <v>677</v>
      </c>
      <c r="B82" s="173" t="s">
        <v>475</v>
      </c>
      <c r="C82" s="173" t="s">
        <v>619</v>
      </c>
      <c r="D82" s="173" t="s">
        <v>678</v>
      </c>
      <c r="E82" s="173" t="s">
        <v>465</v>
      </c>
      <c r="F82" s="173" t="s">
        <v>451</v>
      </c>
      <c r="G82" s="174">
        <v>34000</v>
      </c>
      <c r="H82" s="175">
        <v>37987</v>
      </c>
    </row>
    <row r="83" spans="1:8" ht="13.5" customHeight="1">
      <c r="A83" s="173" t="s">
        <v>679</v>
      </c>
      <c r="B83" s="173" t="s">
        <v>479</v>
      </c>
      <c r="C83" s="173" t="s">
        <v>622</v>
      </c>
      <c r="D83" s="173" t="s">
        <v>680</v>
      </c>
      <c r="E83" s="173" t="s">
        <v>473</v>
      </c>
      <c r="F83" s="173" t="s">
        <v>440</v>
      </c>
      <c r="G83" s="174">
        <v>56000</v>
      </c>
      <c r="H83" s="175">
        <v>38018</v>
      </c>
    </row>
    <row r="84" spans="1:8" ht="13.5" customHeight="1">
      <c r="A84" s="173" t="s">
        <v>681</v>
      </c>
      <c r="B84" s="173" t="s">
        <v>482</v>
      </c>
      <c r="C84" s="173" t="s">
        <v>625</v>
      </c>
      <c r="D84" s="173" t="s">
        <v>682</v>
      </c>
      <c r="E84" s="173" t="s">
        <v>439</v>
      </c>
      <c r="F84" s="173" t="s">
        <v>76</v>
      </c>
      <c r="G84" s="174">
        <v>45000</v>
      </c>
      <c r="H84" s="175">
        <v>38047</v>
      </c>
    </row>
    <row r="85" spans="1:8" ht="13.5" customHeight="1">
      <c r="A85" s="173" t="s">
        <v>683</v>
      </c>
      <c r="B85" s="173" t="s">
        <v>486</v>
      </c>
      <c r="C85" s="173" t="s">
        <v>629</v>
      </c>
      <c r="D85" s="173" t="s">
        <v>684</v>
      </c>
      <c r="E85" s="173" t="s">
        <v>445</v>
      </c>
      <c r="F85" s="173" t="s">
        <v>460</v>
      </c>
      <c r="G85" s="174">
        <v>32000</v>
      </c>
      <c r="H85" s="175">
        <v>38078</v>
      </c>
    </row>
    <row r="86" spans="1:8" ht="13.5" customHeight="1">
      <c r="A86" s="173" t="s">
        <v>685</v>
      </c>
      <c r="B86" s="173" t="s">
        <v>490</v>
      </c>
      <c r="C86" s="173" t="s">
        <v>633</v>
      </c>
      <c r="D86" s="173" t="s">
        <v>686</v>
      </c>
      <c r="E86" s="173" t="s">
        <v>465</v>
      </c>
      <c r="F86" s="173" t="s">
        <v>446</v>
      </c>
      <c r="G86" s="174">
        <v>34000</v>
      </c>
      <c r="H86" s="175">
        <v>38108</v>
      </c>
    </row>
    <row r="87" spans="1:8" ht="13.5" customHeight="1">
      <c r="A87" s="173" t="s">
        <v>687</v>
      </c>
      <c r="B87" s="173" t="s">
        <v>494</v>
      </c>
      <c r="C87" s="173" t="s">
        <v>637</v>
      </c>
      <c r="D87" s="173" t="s">
        <v>688</v>
      </c>
      <c r="E87" s="173" t="s">
        <v>473</v>
      </c>
      <c r="F87" s="173" t="s">
        <v>451</v>
      </c>
      <c r="G87" s="174">
        <v>56000</v>
      </c>
      <c r="H87" s="175">
        <v>38139</v>
      </c>
    </row>
    <row r="88" spans="1:8" ht="13.5" customHeight="1">
      <c r="A88" s="173" t="s">
        <v>689</v>
      </c>
      <c r="B88" s="173" t="s">
        <v>497</v>
      </c>
      <c r="C88" s="173" t="s">
        <v>641</v>
      </c>
      <c r="D88" s="173" t="s">
        <v>690</v>
      </c>
      <c r="E88" s="173" t="s">
        <v>439</v>
      </c>
      <c r="F88" s="173" t="s">
        <v>440</v>
      </c>
      <c r="G88" s="174">
        <v>45000</v>
      </c>
      <c r="H88" s="175">
        <v>38169</v>
      </c>
    </row>
    <row r="89" spans="1:8" ht="13.5" customHeight="1">
      <c r="A89" s="173" t="s">
        <v>691</v>
      </c>
      <c r="B89" s="173" t="s">
        <v>501</v>
      </c>
      <c r="C89" s="173" t="s">
        <v>645</v>
      </c>
      <c r="D89" s="173" t="s">
        <v>692</v>
      </c>
      <c r="E89" s="173" t="s">
        <v>445</v>
      </c>
      <c r="F89" s="173" t="s">
        <v>76</v>
      </c>
      <c r="G89" s="174">
        <v>32000</v>
      </c>
      <c r="H89" s="175">
        <v>38200</v>
      </c>
    </row>
    <row r="90" spans="1:8" ht="13.5" customHeight="1">
      <c r="A90" s="173" t="s">
        <v>693</v>
      </c>
      <c r="B90" s="173" t="s">
        <v>504</v>
      </c>
      <c r="C90" s="173" t="s">
        <v>285</v>
      </c>
      <c r="D90" s="173" t="s">
        <v>694</v>
      </c>
      <c r="E90" s="173" t="s">
        <v>465</v>
      </c>
      <c r="F90" s="173" t="s">
        <v>460</v>
      </c>
      <c r="G90" s="174">
        <v>34000</v>
      </c>
      <c r="H90" s="175">
        <v>38231</v>
      </c>
    </row>
    <row r="91" spans="1:8" ht="13.5" customHeight="1">
      <c r="A91" s="173" t="s">
        <v>695</v>
      </c>
      <c r="B91" s="173" t="s">
        <v>508</v>
      </c>
      <c r="C91" s="173" t="s">
        <v>652</v>
      </c>
      <c r="D91" s="173" t="s">
        <v>696</v>
      </c>
      <c r="E91" s="173" t="s">
        <v>473</v>
      </c>
      <c r="F91" s="173" t="s">
        <v>446</v>
      </c>
      <c r="G91" s="174">
        <v>56000</v>
      </c>
      <c r="H91" s="175">
        <v>38261</v>
      </c>
    </row>
    <row r="92" spans="1:8" ht="13.5" customHeight="1">
      <c r="A92" s="173" t="s">
        <v>697</v>
      </c>
      <c r="B92" s="173" t="s">
        <v>282</v>
      </c>
      <c r="C92" s="173" t="s">
        <v>563</v>
      </c>
      <c r="D92" s="173" t="s">
        <v>698</v>
      </c>
      <c r="E92" s="173" t="s">
        <v>439</v>
      </c>
      <c r="F92" s="173" t="s">
        <v>451</v>
      </c>
      <c r="G92" s="174">
        <v>45000</v>
      </c>
      <c r="H92" s="175">
        <v>38292</v>
      </c>
    </row>
    <row r="93" spans="1:8" ht="13.5" customHeight="1">
      <c r="A93" s="173" t="s">
        <v>699</v>
      </c>
      <c r="B93" s="173" t="s">
        <v>515</v>
      </c>
      <c r="C93" s="173" t="s">
        <v>658</v>
      </c>
      <c r="D93" s="173" t="s">
        <v>700</v>
      </c>
      <c r="E93" s="173" t="s">
        <v>445</v>
      </c>
      <c r="F93" s="173" t="s">
        <v>440</v>
      </c>
      <c r="G93" s="174">
        <v>32000</v>
      </c>
      <c r="H93" s="175">
        <v>38322</v>
      </c>
    </row>
    <row r="94" spans="1:8" ht="13.5" customHeight="1">
      <c r="A94" s="173" t="s">
        <v>701</v>
      </c>
      <c r="B94" s="173" t="s">
        <v>519</v>
      </c>
      <c r="C94" s="173" t="s">
        <v>453</v>
      </c>
      <c r="D94" s="173" t="s">
        <v>702</v>
      </c>
      <c r="E94" s="173" t="s">
        <v>465</v>
      </c>
      <c r="F94" s="173" t="s">
        <v>76</v>
      </c>
      <c r="G94" s="174">
        <v>34000</v>
      </c>
      <c r="H94" s="175">
        <v>38353</v>
      </c>
    </row>
    <row r="95" spans="1:8" ht="13.5" customHeight="1">
      <c r="A95" s="173" t="s">
        <v>703</v>
      </c>
      <c r="B95" s="173" t="s">
        <v>524</v>
      </c>
      <c r="C95" s="173" t="s">
        <v>704</v>
      </c>
      <c r="D95" s="173" t="s">
        <v>705</v>
      </c>
      <c r="E95" s="173" t="s">
        <v>473</v>
      </c>
      <c r="F95" s="173" t="s">
        <v>460</v>
      </c>
      <c r="G95" s="174">
        <v>56000</v>
      </c>
      <c r="H95" s="175">
        <v>38384</v>
      </c>
    </row>
    <row r="96" spans="1:8" ht="13.5" customHeight="1">
      <c r="A96" s="173" t="s">
        <v>706</v>
      </c>
      <c r="B96" s="173" t="s">
        <v>610</v>
      </c>
      <c r="C96" s="173" t="s">
        <v>509</v>
      </c>
      <c r="D96" s="173" t="s">
        <v>707</v>
      </c>
      <c r="E96" s="173" t="s">
        <v>439</v>
      </c>
      <c r="F96" s="173" t="s">
        <v>446</v>
      </c>
      <c r="G96" s="174">
        <v>45000</v>
      </c>
      <c r="H96" s="175">
        <v>38412</v>
      </c>
    </row>
    <row r="97" spans="1:8" ht="13.5" customHeight="1">
      <c r="A97" s="173" t="s">
        <v>708</v>
      </c>
      <c r="B97" s="173" t="s">
        <v>614</v>
      </c>
      <c r="C97" s="173" t="s">
        <v>512</v>
      </c>
      <c r="D97" s="173" t="s">
        <v>709</v>
      </c>
      <c r="E97" s="173" t="s">
        <v>445</v>
      </c>
      <c r="F97" s="173" t="s">
        <v>451</v>
      </c>
      <c r="G97" s="174">
        <v>32000</v>
      </c>
      <c r="H97" s="175">
        <v>38443</v>
      </c>
    </row>
    <row r="98" spans="1:8" ht="13.5" customHeight="1">
      <c r="A98" s="173" t="s">
        <v>710</v>
      </c>
      <c r="B98" s="173" t="s">
        <v>618</v>
      </c>
      <c r="C98" s="173" t="s">
        <v>516</v>
      </c>
      <c r="D98" s="173" t="s">
        <v>711</v>
      </c>
      <c r="E98" s="173" t="s">
        <v>465</v>
      </c>
      <c r="F98" s="173" t="s">
        <v>440</v>
      </c>
      <c r="G98" s="174">
        <v>34000</v>
      </c>
      <c r="H98" s="175">
        <v>38473</v>
      </c>
    </row>
    <row r="99" spans="1:8" ht="13.5" customHeight="1">
      <c r="A99" s="173" t="s">
        <v>712</v>
      </c>
      <c r="B99" s="173" t="s">
        <v>539</v>
      </c>
      <c r="C99" s="173" t="s">
        <v>520</v>
      </c>
      <c r="D99" s="173" t="s">
        <v>713</v>
      </c>
      <c r="E99" s="173" t="s">
        <v>473</v>
      </c>
      <c r="F99" s="173" t="s">
        <v>76</v>
      </c>
      <c r="G99" s="174">
        <v>56000</v>
      </c>
      <c r="H99" s="175">
        <v>38504</v>
      </c>
    </row>
    <row r="100" spans="1:8" ht="13.5" customHeight="1">
      <c r="A100" s="173" t="s">
        <v>714</v>
      </c>
      <c r="B100" s="173" t="s">
        <v>476</v>
      </c>
      <c r="C100" s="173" t="s">
        <v>525</v>
      </c>
      <c r="D100" s="173" t="s">
        <v>715</v>
      </c>
      <c r="E100" s="173" t="s">
        <v>439</v>
      </c>
      <c r="F100" s="173" t="s">
        <v>460</v>
      </c>
      <c r="G100" s="174">
        <v>45000</v>
      </c>
      <c r="H100" s="175">
        <v>38534</v>
      </c>
    </row>
    <row r="101" spans="1:8" ht="13.5" customHeight="1">
      <c r="A101" s="173" t="s">
        <v>716</v>
      </c>
      <c r="B101" s="173" t="s">
        <v>628</v>
      </c>
      <c r="C101" s="173" t="s">
        <v>528</v>
      </c>
      <c r="D101" s="173" t="s">
        <v>717</v>
      </c>
      <c r="E101" s="173" t="s">
        <v>445</v>
      </c>
      <c r="F101" s="173" t="s">
        <v>446</v>
      </c>
      <c r="G101" s="174">
        <v>32000</v>
      </c>
      <c r="H101" s="175">
        <v>38565</v>
      </c>
    </row>
    <row r="102" spans="1:8" ht="13.5" customHeight="1">
      <c r="A102" s="173" t="s">
        <v>718</v>
      </c>
      <c r="B102" s="173" t="s">
        <v>632</v>
      </c>
      <c r="C102" s="173" t="s">
        <v>532</v>
      </c>
      <c r="D102" s="173" t="s">
        <v>719</v>
      </c>
      <c r="E102" s="173" t="s">
        <v>465</v>
      </c>
      <c r="F102" s="173" t="s">
        <v>451</v>
      </c>
      <c r="G102" s="174">
        <v>34000</v>
      </c>
      <c r="H102" s="175">
        <v>38596</v>
      </c>
    </row>
    <row r="103" spans="1:8" ht="13.5" customHeight="1">
      <c r="A103" s="173" t="s">
        <v>720</v>
      </c>
      <c r="B103" s="173" t="s">
        <v>636</v>
      </c>
      <c r="C103" s="173" t="s">
        <v>536</v>
      </c>
      <c r="D103" s="173" t="s">
        <v>721</v>
      </c>
      <c r="E103" s="173" t="s">
        <v>473</v>
      </c>
      <c r="F103" s="173" t="s">
        <v>440</v>
      </c>
      <c r="G103" s="174">
        <v>56000</v>
      </c>
      <c r="H103" s="175">
        <v>38626</v>
      </c>
    </row>
    <row r="104" spans="1:8" ht="13.5" customHeight="1">
      <c r="A104" s="173" t="s">
        <v>722</v>
      </c>
      <c r="B104" s="173" t="s">
        <v>640</v>
      </c>
      <c r="C104" s="173" t="s">
        <v>540</v>
      </c>
      <c r="D104" s="173" t="s">
        <v>723</v>
      </c>
      <c r="E104" s="173" t="s">
        <v>439</v>
      </c>
      <c r="F104" s="173" t="s">
        <v>76</v>
      </c>
      <c r="G104" s="174">
        <v>45000</v>
      </c>
      <c r="H104" s="175">
        <v>38657</v>
      </c>
    </row>
    <row r="105" spans="1:8" ht="13.5" customHeight="1">
      <c r="A105" s="173" t="s">
        <v>724</v>
      </c>
      <c r="B105" s="173" t="s">
        <v>644</v>
      </c>
      <c r="C105" s="173" t="s">
        <v>543</v>
      </c>
      <c r="D105" s="173" t="s">
        <v>725</v>
      </c>
      <c r="E105" s="173" t="s">
        <v>445</v>
      </c>
      <c r="F105" s="173" t="s">
        <v>460</v>
      </c>
      <c r="G105" s="174">
        <v>32000</v>
      </c>
      <c r="H105" s="175">
        <v>38687</v>
      </c>
    </row>
    <row r="106" spans="1:8" ht="13.5" customHeight="1">
      <c r="A106" s="173" t="s">
        <v>726</v>
      </c>
      <c r="B106" s="173" t="s">
        <v>648</v>
      </c>
      <c r="C106" s="173" t="s">
        <v>483</v>
      </c>
      <c r="D106" s="173" t="s">
        <v>727</v>
      </c>
      <c r="E106" s="173" t="s">
        <v>465</v>
      </c>
      <c r="F106" s="173" t="s">
        <v>446</v>
      </c>
      <c r="G106" s="174">
        <v>34000</v>
      </c>
      <c r="H106" s="175">
        <v>35805</v>
      </c>
    </row>
    <row r="107" spans="1:8" ht="13.5" customHeight="1">
      <c r="A107" s="173" t="s">
        <v>728</v>
      </c>
      <c r="B107" s="173" t="s">
        <v>651</v>
      </c>
      <c r="C107" s="173" t="s">
        <v>528</v>
      </c>
      <c r="D107" s="173" t="s">
        <v>729</v>
      </c>
      <c r="E107" s="173" t="s">
        <v>473</v>
      </c>
      <c r="F107" s="173" t="s">
        <v>451</v>
      </c>
      <c r="G107" s="174">
        <v>56000</v>
      </c>
      <c r="H107" s="175">
        <v>35836</v>
      </c>
    </row>
    <row r="108" spans="1:8" ht="13.5" customHeight="1">
      <c r="A108" s="173" t="s">
        <v>730</v>
      </c>
      <c r="B108" s="173" t="s">
        <v>655</v>
      </c>
      <c r="C108" s="173" t="s">
        <v>553</v>
      </c>
      <c r="D108" s="173" t="s">
        <v>731</v>
      </c>
      <c r="E108" s="173" t="s">
        <v>439</v>
      </c>
      <c r="F108" s="173" t="s">
        <v>440</v>
      </c>
      <c r="G108" s="174">
        <v>45000</v>
      </c>
      <c r="H108" s="175">
        <v>35864</v>
      </c>
    </row>
    <row r="109" spans="1:8" ht="13.5" customHeight="1">
      <c r="A109" s="173" t="s">
        <v>732</v>
      </c>
      <c r="B109" s="173" t="s">
        <v>570</v>
      </c>
      <c r="C109" s="173" t="s">
        <v>557</v>
      </c>
      <c r="D109" s="173" t="s">
        <v>733</v>
      </c>
      <c r="E109" s="173" t="s">
        <v>445</v>
      </c>
      <c r="F109" s="173" t="s">
        <v>76</v>
      </c>
      <c r="G109" s="174">
        <v>32000</v>
      </c>
      <c r="H109" s="175">
        <v>35895</v>
      </c>
    </row>
    <row r="110" spans="1:8" ht="13.5" customHeight="1">
      <c r="A110" s="173" t="s">
        <v>734</v>
      </c>
      <c r="B110" s="173" t="s">
        <v>563</v>
      </c>
      <c r="C110" s="173" t="s">
        <v>560</v>
      </c>
      <c r="D110" s="173" t="s">
        <v>735</v>
      </c>
      <c r="E110" s="173" t="s">
        <v>465</v>
      </c>
      <c r="F110" s="173" t="s">
        <v>460</v>
      </c>
      <c r="G110" s="174">
        <v>34000</v>
      </c>
      <c r="H110" s="175">
        <v>35925</v>
      </c>
    </row>
    <row r="111" spans="1:8" ht="13.5" customHeight="1">
      <c r="A111" s="173" t="s">
        <v>736</v>
      </c>
      <c r="B111" s="173" t="s">
        <v>442</v>
      </c>
      <c r="C111" s="173" t="s">
        <v>563</v>
      </c>
      <c r="D111" s="173" t="s">
        <v>737</v>
      </c>
      <c r="E111" s="173" t="s">
        <v>473</v>
      </c>
      <c r="F111" s="173" t="s">
        <v>446</v>
      </c>
      <c r="G111" s="174">
        <v>56000</v>
      </c>
      <c r="H111" s="175">
        <v>35956</v>
      </c>
    </row>
    <row r="112" spans="1:8" ht="13.5" customHeight="1">
      <c r="A112" s="173" t="s">
        <v>738</v>
      </c>
      <c r="B112" s="173" t="s">
        <v>448</v>
      </c>
      <c r="C112" s="173" t="s">
        <v>563</v>
      </c>
      <c r="D112" s="173" t="s">
        <v>739</v>
      </c>
      <c r="E112" s="173" t="s">
        <v>439</v>
      </c>
      <c r="F112" s="173" t="s">
        <v>451</v>
      </c>
      <c r="G112" s="174">
        <v>45000</v>
      </c>
      <c r="H112" s="175">
        <v>35986</v>
      </c>
    </row>
    <row r="113" spans="1:8" ht="13.5" customHeight="1">
      <c r="A113" s="173" t="s">
        <v>740</v>
      </c>
      <c r="B113" s="173" t="s">
        <v>453</v>
      </c>
      <c r="C113" s="173" t="s">
        <v>570</v>
      </c>
      <c r="D113" s="173" t="s">
        <v>741</v>
      </c>
      <c r="E113" s="173" t="s">
        <v>445</v>
      </c>
      <c r="F113" s="173" t="s">
        <v>440</v>
      </c>
      <c r="G113" s="174">
        <v>32000</v>
      </c>
      <c r="H113" s="175">
        <v>36017</v>
      </c>
    </row>
    <row r="114" spans="1:8" ht="13.5" customHeight="1">
      <c r="A114" s="173" t="s">
        <v>742</v>
      </c>
      <c r="B114" s="173" t="s">
        <v>457</v>
      </c>
      <c r="C114" s="173" t="s">
        <v>574</v>
      </c>
      <c r="D114" s="173" t="s">
        <v>743</v>
      </c>
      <c r="E114" s="173" t="s">
        <v>465</v>
      </c>
      <c r="F114" s="173" t="s">
        <v>76</v>
      </c>
      <c r="G114" s="174">
        <v>34000</v>
      </c>
      <c r="H114" s="175">
        <v>36048</v>
      </c>
    </row>
    <row r="115" spans="1:8" ht="13.5" customHeight="1">
      <c r="A115" s="173" t="s">
        <v>744</v>
      </c>
      <c r="B115" s="173" t="s">
        <v>462</v>
      </c>
      <c r="C115" s="173" t="s">
        <v>570</v>
      </c>
      <c r="D115" s="173" t="s">
        <v>745</v>
      </c>
      <c r="E115" s="173" t="s">
        <v>473</v>
      </c>
      <c r="F115" s="173" t="s">
        <v>460</v>
      </c>
      <c r="G115" s="174">
        <v>56000</v>
      </c>
      <c r="H115" s="175">
        <v>36078</v>
      </c>
    </row>
    <row r="116" spans="1:8" ht="13.5" customHeight="1">
      <c r="A116" s="173" t="s">
        <v>746</v>
      </c>
      <c r="B116" s="173" t="s">
        <v>467</v>
      </c>
      <c r="C116" s="173" t="s">
        <v>443</v>
      </c>
      <c r="D116" s="173" t="s">
        <v>747</v>
      </c>
      <c r="E116" s="173" t="s">
        <v>439</v>
      </c>
      <c r="F116" s="173" t="s">
        <v>446</v>
      </c>
      <c r="G116" s="174">
        <v>85000</v>
      </c>
      <c r="H116" s="175">
        <v>36109</v>
      </c>
    </row>
    <row r="117" spans="1:8" ht="13.5" customHeight="1">
      <c r="A117" s="173" t="s">
        <v>748</v>
      </c>
      <c r="B117" s="173" t="s">
        <v>470</v>
      </c>
      <c r="C117" s="173" t="s">
        <v>583</v>
      </c>
      <c r="D117" s="173" t="s">
        <v>749</v>
      </c>
      <c r="E117" s="173" t="s">
        <v>445</v>
      </c>
      <c r="F117" s="173" t="s">
        <v>451</v>
      </c>
      <c r="G117" s="174">
        <v>32000</v>
      </c>
      <c r="H117" s="175">
        <v>36139</v>
      </c>
    </row>
    <row r="118" spans="1:8" ht="13.5" customHeight="1">
      <c r="A118" s="173" t="s">
        <v>750</v>
      </c>
      <c r="B118" s="173" t="s">
        <v>475</v>
      </c>
      <c r="C118" s="173" t="s">
        <v>751</v>
      </c>
      <c r="D118" s="173" t="s">
        <v>752</v>
      </c>
      <c r="E118" s="173" t="s">
        <v>465</v>
      </c>
      <c r="F118" s="173" t="s">
        <v>440</v>
      </c>
      <c r="G118" s="174">
        <v>34000</v>
      </c>
      <c r="H118" s="175">
        <v>36170</v>
      </c>
    </row>
    <row r="119" spans="1:8" ht="13.5" customHeight="1">
      <c r="A119" s="173" t="s">
        <v>753</v>
      </c>
      <c r="B119" s="173" t="s">
        <v>479</v>
      </c>
      <c r="C119" s="173" t="s">
        <v>591</v>
      </c>
      <c r="D119" s="173" t="s">
        <v>754</v>
      </c>
      <c r="E119" s="173" t="s">
        <v>473</v>
      </c>
      <c r="F119" s="173" t="s">
        <v>76</v>
      </c>
      <c r="G119" s="174">
        <v>56000</v>
      </c>
      <c r="H119" s="175">
        <v>36201</v>
      </c>
    </row>
    <row r="120" spans="1:8" ht="13.5" customHeight="1">
      <c r="A120" s="173" t="s">
        <v>755</v>
      </c>
      <c r="B120" s="173" t="s">
        <v>482</v>
      </c>
      <c r="C120" s="173" t="s">
        <v>491</v>
      </c>
      <c r="D120" s="173" t="s">
        <v>756</v>
      </c>
      <c r="E120" s="173" t="s">
        <v>439</v>
      </c>
      <c r="F120" s="173" t="s">
        <v>460</v>
      </c>
      <c r="G120" s="174">
        <v>72000</v>
      </c>
      <c r="H120" s="175">
        <v>36229</v>
      </c>
    </row>
    <row r="121" spans="1:8" ht="13.5" customHeight="1">
      <c r="A121" s="173" t="s">
        <v>757</v>
      </c>
      <c r="B121" s="173" t="s">
        <v>486</v>
      </c>
      <c r="C121" s="173" t="s">
        <v>597</v>
      </c>
      <c r="D121" s="173" t="s">
        <v>758</v>
      </c>
      <c r="E121" s="173" t="s">
        <v>445</v>
      </c>
      <c r="F121" s="173" t="s">
        <v>446</v>
      </c>
      <c r="G121" s="174">
        <v>80000</v>
      </c>
      <c r="H121" s="175">
        <v>36260</v>
      </c>
    </row>
    <row r="122" spans="1:8" ht="13.5" customHeight="1">
      <c r="A122" s="173" t="s">
        <v>759</v>
      </c>
      <c r="B122" s="173" t="s">
        <v>490</v>
      </c>
      <c r="C122" s="173" t="s">
        <v>601</v>
      </c>
      <c r="D122" s="173" t="s">
        <v>760</v>
      </c>
      <c r="E122" s="173" t="s">
        <v>465</v>
      </c>
      <c r="F122" s="173" t="s">
        <v>451</v>
      </c>
      <c r="G122" s="174">
        <v>95000</v>
      </c>
      <c r="H122" s="175">
        <v>36290</v>
      </c>
    </row>
    <row r="123" spans="1:8" ht="13.5" customHeight="1">
      <c r="A123" s="173" t="s">
        <v>761</v>
      </c>
      <c r="B123" s="173" t="s">
        <v>494</v>
      </c>
      <c r="C123" s="173" t="s">
        <v>540</v>
      </c>
      <c r="D123" s="173" t="s">
        <v>762</v>
      </c>
      <c r="E123" s="173" t="s">
        <v>473</v>
      </c>
      <c r="F123" s="173" t="s">
        <v>440</v>
      </c>
      <c r="G123" s="174">
        <v>90000</v>
      </c>
      <c r="H123" s="175">
        <v>36321</v>
      </c>
    </row>
    <row r="124" spans="1:8" ht="13.5" customHeight="1">
      <c r="A124" s="173" t="s">
        <v>763</v>
      </c>
      <c r="B124" s="173" t="s">
        <v>497</v>
      </c>
      <c r="C124" s="173" t="s">
        <v>607</v>
      </c>
      <c r="D124" s="173" t="s">
        <v>764</v>
      </c>
      <c r="E124" s="173" t="s">
        <v>439</v>
      </c>
      <c r="F124" s="173" t="s">
        <v>76</v>
      </c>
      <c r="G124" s="174">
        <v>78000</v>
      </c>
      <c r="H124" s="175">
        <v>36351</v>
      </c>
    </row>
    <row r="125" spans="1:8" ht="13.5" customHeight="1">
      <c r="A125" s="173" t="s">
        <v>765</v>
      </c>
      <c r="B125" s="173" t="s">
        <v>501</v>
      </c>
      <c r="C125" s="173" t="s">
        <v>509</v>
      </c>
      <c r="D125" s="173" t="s">
        <v>766</v>
      </c>
      <c r="E125" s="173" t="s">
        <v>445</v>
      </c>
      <c r="F125" s="173" t="s">
        <v>460</v>
      </c>
      <c r="G125" s="174">
        <v>98000</v>
      </c>
      <c r="H125" s="175">
        <v>36382</v>
      </c>
    </row>
    <row r="126" spans="1:8" ht="13.5" customHeight="1">
      <c r="A126" s="173" t="s">
        <v>767</v>
      </c>
      <c r="B126" s="173" t="s">
        <v>504</v>
      </c>
      <c r="C126" s="173" t="s">
        <v>512</v>
      </c>
      <c r="D126" s="173" t="s">
        <v>768</v>
      </c>
      <c r="E126" s="173" t="s">
        <v>465</v>
      </c>
      <c r="F126" s="173" t="s">
        <v>446</v>
      </c>
      <c r="G126" s="174">
        <v>80000</v>
      </c>
      <c r="H126" s="175">
        <v>36413</v>
      </c>
    </row>
    <row r="127" spans="1:8" ht="13.5" customHeight="1">
      <c r="A127" s="173" t="s">
        <v>769</v>
      </c>
      <c r="B127" s="173" t="s">
        <v>508</v>
      </c>
      <c r="C127" s="173" t="s">
        <v>516</v>
      </c>
      <c r="D127" s="173" t="s">
        <v>770</v>
      </c>
      <c r="E127" s="173" t="s">
        <v>473</v>
      </c>
      <c r="F127" s="173" t="s">
        <v>451</v>
      </c>
      <c r="G127" s="174">
        <v>95000</v>
      </c>
      <c r="H127" s="175">
        <v>36443</v>
      </c>
    </row>
    <row r="128" spans="1:8" ht="13.5" customHeight="1">
      <c r="A128" s="173" t="s">
        <v>771</v>
      </c>
      <c r="B128" s="173" t="s">
        <v>282</v>
      </c>
      <c r="C128" s="173" t="s">
        <v>520</v>
      </c>
      <c r="D128" s="173" t="s">
        <v>772</v>
      </c>
      <c r="E128" s="173" t="s">
        <v>439</v>
      </c>
      <c r="F128" s="173" t="s">
        <v>440</v>
      </c>
      <c r="G128" s="174">
        <v>85000</v>
      </c>
      <c r="H128" s="175">
        <v>36474</v>
      </c>
    </row>
    <row r="129" spans="1:8" ht="13.5" customHeight="1">
      <c r="A129" s="173" t="s">
        <v>773</v>
      </c>
      <c r="B129" s="173" t="s">
        <v>515</v>
      </c>
      <c r="C129" s="173" t="s">
        <v>525</v>
      </c>
      <c r="D129" s="173" t="s">
        <v>774</v>
      </c>
      <c r="E129" s="173" t="s">
        <v>445</v>
      </c>
      <c r="F129" s="173" t="s">
        <v>76</v>
      </c>
      <c r="G129" s="174">
        <v>72000</v>
      </c>
      <c r="H129" s="175">
        <v>36504</v>
      </c>
    </row>
    <row r="130" spans="1:8" ht="13.5" customHeight="1">
      <c r="A130" s="173" t="s">
        <v>775</v>
      </c>
      <c r="B130" s="173" t="s">
        <v>519</v>
      </c>
      <c r="C130" s="173" t="s">
        <v>528</v>
      </c>
      <c r="D130" s="173" t="s">
        <v>776</v>
      </c>
      <c r="E130" s="173" t="s">
        <v>465</v>
      </c>
      <c r="F130" s="173" t="s">
        <v>460</v>
      </c>
      <c r="G130" s="174">
        <v>80000</v>
      </c>
      <c r="H130" s="175">
        <v>37725</v>
      </c>
    </row>
    <row r="131" spans="1:8" ht="13.5" customHeight="1">
      <c r="A131" s="173" t="s">
        <v>777</v>
      </c>
      <c r="B131" s="173" t="s">
        <v>524</v>
      </c>
      <c r="C131" s="173" t="s">
        <v>532</v>
      </c>
      <c r="D131" s="173" t="s">
        <v>778</v>
      </c>
      <c r="E131" s="173" t="s">
        <v>473</v>
      </c>
      <c r="F131" s="173" t="s">
        <v>446</v>
      </c>
      <c r="G131" s="174">
        <v>95000</v>
      </c>
      <c r="H131" s="175">
        <v>37739</v>
      </c>
    </row>
    <row r="132" spans="1:8" ht="13.5" customHeight="1">
      <c r="A132" s="173" t="s">
        <v>779</v>
      </c>
      <c r="B132" s="173" t="s">
        <v>436</v>
      </c>
      <c r="C132" s="173" t="s">
        <v>536</v>
      </c>
      <c r="D132" s="173" t="s">
        <v>780</v>
      </c>
      <c r="E132" s="173" t="s">
        <v>439</v>
      </c>
      <c r="F132" s="173" t="s">
        <v>451</v>
      </c>
      <c r="G132" s="174">
        <v>90000</v>
      </c>
      <c r="H132" s="175">
        <v>37753</v>
      </c>
    </row>
    <row r="133" spans="1:8" ht="13.5" customHeight="1">
      <c r="A133" s="173" t="s">
        <v>781</v>
      </c>
      <c r="B133" s="173" t="s">
        <v>442</v>
      </c>
      <c r="C133" s="173" t="s">
        <v>540</v>
      </c>
      <c r="D133" s="173" t="s">
        <v>782</v>
      </c>
      <c r="E133" s="173" t="s">
        <v>445</v>
      </c>
      <c r="F133" s="173" t="s">
        <v>440</v>
      </c>
      <c r="G133" s="174">
        <v>78000</v>
      </c>
      <c r="H133" s="175">
        <v>37767</v>
      </c>
    </row>
    <row r="134" spans="1:8" ht="13.5" customHeight="1">
      <c r="A134" s="173" t="s">
        <v>783</v>
      </c>
      <c r="B134" s="173" t="s">
        <v>640</v>
      </c>
      <c r="C134" s="173" t="s">
        <v>560</v>
      </c>
      <c r="D134" s="173" t="s">
        <v>784</v>
      </c>
      <c r="E134" s="173" t="s">
        <v>445</v>
      </c>
      <c r="F134" s="173" t="s">
        <v>446</v>
      </c>
      <c r="G134" s="174">
        <v>65000</v>
      </c>
      <c r="H134" s="175">
        <v>38493</v>
      </c>
    </row>
    <row r="135" spans="1:8" ht="13.5" customHeight="1">
      <c r="A135" s="173" t="s">
        <v>785</v>
      </c>
      <c r="B135" s="173" t="s">
        <v>448</v>
      </c>
      <c r="C135" s="173" t="s">
        <v>543</v>
      </c>
      <c r="D135" s="173" t="s">
        <v>786</v>
      </c>
      <c r="E135" s="173" t="s">
        <v>465</v>
      </c>
      <c r="F135" s="173" t="s">
        <v>76</v>
      </c>
      <c r="G135" s="174">
        <v>98000</v>
      </c>
      <c r="H135" s="175">
        <v>37781</v>
      </c>
    </row>
    <row r="136" spans="1:8" ht="13.5" customHeight="1">
      <c r="A136" s="173" t="s">
        <v>787</v>
      </c>
      <c r="B136" s="173" t="s">
        <v>453</v>
      </c>
      <c r="C136" s="173" t="s">
        <v>483</v>
      </c>
      <c r="D136" s="173" t="s">
        <v>788</v>
      </c>
      <c r="E136" s="173" t="s">
        <v>473</v>
      </c>
      <c r="F136" s="173" t="s">
        <v>460</v>
      </c>
      <c r="G136" s="174">
        <v>80000</v>
      </c>
      <c r="H136" s="175">
        <v>37795</v>
      </c>
    </row>
    <row r="137" spans="1:8" ht="13.5" customHeight="1">
      <c r="A137" s="173" t="s">
        <v>789</v>
      </c>
      <c r="B137" s="173" t="s">
        <v>457</v>
      </c>
      <c r="C137" s="173" t="s">
        <v>528</v>
      </c>
      <c r="D137" s="173" t="s">
        <v>790</v>
      </c>
      <c r="E137" s="173" t="s">
        <v>439</v>
      </c>
      <c r="F137" s="173" t="s">
        <v>446</v>
      </c>
      <c r="G137" s="174">
        <v>95000</v>
      </c>
      <c r="H137" s="175">
        <v>37809</v>
      </c>
    </row>
    <row r="138" spans="1:8" ht="13.5" customHeight="1">
      <c r="A138" s="173" t="s">
        <v>791</v>
      </c>
      <c r="B138" s="173" t="s">
        <v>462</v>
      </c>
      <c r="C138" s="173" t="s">
        <v>553</v>
      </c>
      <c r="D138" s="173" t="s">
        <v>792</v>
      </c>
      <c r="E138" s="173" t="s">
        <v>445</v>
      </c>
      <c r="F138" s="173" t="s">
        <v>451</v>
      </c>
      <c r="G138" s="174">
        <v>85000</v>
      </c>
      <c r="H138" s="175">
        <v>37823</v>
      </c>
    </row>
    <row r="139" spans="1:8" ht="13.5" customHeight="1">
      <c r="A139" s="173" t="s">
        <v>793</v>
      </c>
      <c r="B139" s="173" t="s">
        <v>467</v>
      </c>
      <c r="C139" s="173" t="s">
        <v>557</v>
      </c>
      <c r="D139" s="173" t="s">
        <v>794</v>
      </c>
      <c r="E139" s="173" t="s">
        <v>465</v>
      </c>
      <c r="F139" s="173" t="s">
        <v>440</v>
      </c>
      <c r="G139" s="174">
        <v>72000</v>
      </c>
      <c r="H139" s="175">
        <v>37837</v>
      </c>
    </row>
    <row r="140" spans="1:8" ht="13.5" customHeight="1">
      <c r="A140" s="173" t="s">
        <v>795</v>
      </c>
      <c r="B140" s="173" t="s">
        <v>470</v>
      </c>
      <c r="C140" s="173" t="s">
        <v>560</v>
      </c>
      <c r="D140" s="173" t="s">
        <v>796</v>
      </c>
      <c r="E140" s="173" t="s">
        <v>473</v>
      </c>
      <c r="F140" s="173" t="s">
        <v>76</v>
      </c>
      <c r="G140" s="174">
        <v>80000</v>
      </c>
      <c r="H140" s="175">
        <v>37851</v>
      </c>
    </row>
    <row r="141" spans="1:8" ht="13.5" customHeight="1">
      <c r="A141" s="173" t="s">
        <v>797</v>
      </c>
      <c r="B141" s="173" t="s">
        <v>475</v>
      </c>
      <c r="C141" s="173" t="s">
        <v>563</v>
      </c>
      <c r="D141" s="173" t="s">
        <v>798</v>
      </c>
      <c r="E141" s="173" t="s">
        <v>439</v>
      </c>
      <c r="F141" s="173" t="s">
        <v>460</v>
      </c>
      <c r="G141" s="174">
        <v>95000</v>
      </c>
      <c r="H141" s="175">
        <v>37865</v>
      </c>
    </row>
    <row r="142" spans="1:8" ht="13.5" customHeight="1">
      <c r="A142" s="173" t="s">
        <v>799</v>
      </c>
      <c r="B142" s="173" t="s">
        <v>479</v>
      </c>
      <c r="C142" s="173" t="s">
        <v>563</v>
      </c>
      <c r="D142" s="173" t="s">
        <v>800</v>
      </c>
      <c r="E142" s="173" t="s">
        <v>445</v>
      </c>
      <c r="F142" s="173" t="s">
        <v>446</v>
      </c>
      <c r="G142" s="174">
        <v>90000</v>
      </c>
      <c r="H142" s="175">
        <v>37879</v>
      </c>
    </row>
    <row r="143" spans="1:8" ht="13.5" customHeight="1">
      <c r="A143" s="173" t="s">
        <v>801</v>
      </c>
      <c r="B143" s="173" t="s">
        <v>482</v>
      </c>
      <c r="C143" s="173" t="s">
        <v>570</v>
      </c>
      <c r="D143" s="173" t="s">
        <v>802</v>
      </c>
      <c r="E143" s="173" t="s">
        <v>465</v>
      </c>
      <c r="F143" s="173" t="s">
        <v>451</v>
      </c>
      <c r="G143" s="174">
        <v>78000</v>
      </c>
      <c r="H143" s="175">
        <v>37893</v>
      </c>
    </row>
    <row r="144" spans="1:8" ht="13.5" customHeight="1">
      <c r="A144" s="173" t="s">
        <v>803</v>
      </c>
      <c r="B144" s="173" t="s">
        <v>486</v>
      </c>
      <c r="C144" s="173" t="s">
        <v>574</v>
      </c>
      <c r="D144" s="173" t="s">
        <v>804</v>
      </c>
      <c r="E144" s="173" t="s">
        <v>473</v>
      </c>
      <c r="F144" s="173" t="s">
        <v>440</v>
      </c>
      <c r="G144" s="174">
        <v>98000</v>
      </c>
      <c r="H144" s="175">
        <v>37907</v>
      </c>
    </row>
    <row r="145" spans="1:8" ht="13.5" customHeight="1">
      <c r="A145" s="173" t="s">
        <v>805</v>
      </c>
      <c r="B145" s="173" t="s">
        <v>490</v>
      </c>
      <c r="C145" s="173" t="s">
        <v>570</v>
      </c>
      <c r="D145" s="173" t="s">
        <v>806</v>
      </c>
      <c r="E145" s="173" t="s">
        <v>439</v>
      </c>
      <c r="F145" s="173" t="s">
        <v>76</v>
      </c>
      <c r="G145" s="174">
        <v>80000</v>
      </c>
      <c r="H145" s="175">
        <v>37921</v>
      </c>
    </row>
    <row r="146" spans="1:8" ht="13.5" customHeight="1">
      <c r="A146" s="173" t="s">
        <v>807</v>
      </c>
      <c r="B146" s="173" t="s">
        <v>494</v>
      </c>
      <c r="C146" s="173" t="s">
        <v>443</v>
      </c>
      <c r="D146" s="173" t="s">
        <v>808</v>
      </c>
      <c r="E146" s="173" t="s">
        <v>445</v>
      </c>
      <c r="F146" s="173" t="s">
        <v>460</v>
      </c>
      <c r="G146" s="174">
        <v>95000</v>
      </c>
      <c r="H146" s="175">
        <v>37935</v>
      </c>
    </row>
    <row r="147" spans="1:8" ht="13.5" customHeight="1">
      <c r="A147" s="173" t="s">
        <v>809</v>
      </c>
      <c r="B147" s="173" t="s">
        <v>497</v>
      </c>
      <c r="C147" s="173" t="s">
        <v>583</v>
      </c>
      <c r="D147" s="173" t="s">
        <v>810</v>
      </c>
      <c r="E147" s="173" t="s">
        <v>465</v>
      </c>
      <c r="F147" s="173" t="s">
        <v>446</v>
      </c>
      <c r="G147" s="174">
        <v>72000</v>
      </c>
      <c r="H147" s="175">
        <v>37949</v>
      </c>
    </row>
    <row r="148" spans="1:8" ht="13.5" customHeight="1">
      <c r="A148" s="173" t="s">
        <v>811</v>
      </c>
      <c r="B148" s="173" t="s">
        <v>501</v>
      </c>
      <c r="C148" s="173" t="s">
        <v>587</v>
      </c>
      <c r="D148" s="173" t="s">
        <v>812</v>
      </c>
      <c r="E148" s="173" t="s">
        <v>473</v>
      </c>
      <c r="F148" s="173" t="s">
        <v>451</v>
      </c>
      <c r="G148" s="174">
        <v>80000</v>
      </c>
      <c r="H148" s="175">
        <v>37963</v>
      </c>
    </row>
    <row r="149" spans="1:8" ht="13.5" customHeight="1">
      <c r="A149" s="173" t="s">
        <v>813</v>
      </c>
      <c r="B149" s="173" t="s">
        <v>504</v>
      </c>
      <c r="C149" s="173" t="s">
        <v>591</v>
      </c>
      <c r="D149" s="173" t="s">
        <v>814</v>
      </c>
      <c r="E149" s="173" t="s">
        <v>439</v>
      </c>
      <c r="F149" s="173" t="s">
        <v>440</v>
      </c>
      <c r="G149" s="174">
        <v>95000</v>
      </c>
      <c r="H149" s="175">
        <v>37977</v>
      </c>
    </row>
    <row r="150" spans="1:8" ht="13.5" customHeight="1">
      <c r="A150" s="173" t="s">
        <v>815</v>
      </c>
      <c r="B150" s="173" t="s">
        <v>508</v>
      </c>
      <c r="C150" s="173" t="s">
        <v>491</v>
      </c>
      <c r="D150" s="173" t="s">
        <v>816</v>
      </c>
      <c r="E150" s="173" t="s">
        <v>445</v>
      </c>
      <c r="F150" s="173" t="s">
        <v>76</v>
      </c>
      <c r="G150" s="174">
        <v>90000</v>
      </c>
      <c r="H150" s="175">
        <v>37991</v>
      </c>
    </row>
    <row r="151" spans="1:8" ht="13.5" customHeight="1">
      <c r="A151" s="173" t="s">
        <v>817</v>
      </c>
      <c r="B151" s="173" t="s">
        <v>282</v>
      </c>
      <c r="C151" s="173" t="s">
        <v>597</v>
      </c>
      <c r="D151" s="173" t="s">
        <v>818</v>
      </c>
      <c r="E151" s="173" t="s">
        <v>465</v>
      </c>
      <c r="F151" s="173" t="s">
        <v>460</v>
      </c>
      <c r="G151" s="174">
        <v>78000</v>
      </c>
      <c r="H151" s="175">
        <v>38005</v>
      </c>
    </row>
    <row r="152" spans="1:8" ht="13.5" customHeight="1">
      <c r="A152" s="173" t="s">
        <v>819</v>
      </c>
      <c r="B152" s="173" t="s">
        <v>515</v>
      </c>
      <c r="C152" s="173" t="s">
        <v>601</v>
      </c>
      <c r="D152" s="173" t="s">
        <v>820</v>
      </c>
      <c r="E152" s="173" t="s">
        <v>473</v>
      </c>
      <c r="F152" s="173" t="s">
        <v>446</v>
      </c>
      <c r="G152" s="174">
        <v>98000</v>
      </c>
      <c r="H152" s="175">
        <v>38019</v>
      </c>
    </row>
    <row r="153" spans="1:8" ht="13.5" customHeight="1">
      <c r="A153" s="173" t="s">
        <v>821</v>
      </c>
      <c r="B153" s="173" t="s">
        <v>519</v>
      </c>
      <c r="C153" s="173" t="s">
        <v>540</v>
      </c>
      <c r="D153" s="173" t="s">
        <v>822</v>
      </c>
      <c r="E153" s="173" t="s">
        <v>439</v>
      </c>
      <c r="F153" s="173" t="s">
        <v>451</v>
      </c>
      <c r="G153" s="174">
        <v>80000</v>
      </c>
      <c r="H153" s="175">
        <v>38033</v>
      </c>
    </row>
    <row r="154" spans="1:8" ht="13.5" customHeight="1">
      <c r="A154" s="173" t="s">
        <v>823</v>
      </c>
      <c r="B154" s="173" t="s">
        <v>524</v>
      </c>
      <c r="C154" s="173" t="s">
        <v>607</v>
      </c>
      <c r="D154" s="173" t="s">
        <v>824</v>
      </c>
      <c r="E154" s="173" t="s">
        <v>445</v>
      </c>
      <c r="F154" s="173" t="s">
        <v>440</v>
      </c>
      <c r="G154" s="174">
        <v>95000</v>
      </c>
      <c r="H154" s="175">
        <v>38047</v>
      </c>
    </row>
    <row r="155" spans="1:8" ht="13.5" customHeight="1">
      <c r="A155" s="173" t="s">
        <v>825</v>
      </c>
      <c r="B155" s="173" t="s">
        <v>453</v>
      </c>
      <c r="C155" s="173" t="s">
        <v>437</v>
      </c>
      <c r="D155" s="173" t="s">
        <v>826</v>
      </c>
      <c r="E155" s="173" t="s">
        <v>465</v>
      </c>
      <c r="F155" s="173" t="s">
        <v>76</v>
      </c>
      <c r="G155" s="174">
        <v>72000</v>
      </c>
      <c r="H155" s="175">
        <v>38061</v>
      </c>
    </row>
    <row r="156" spans="1:8" ht="13.5" customHeight="1">
      <c r="A156" s="173" t="s">
        <v>827</v>
      </c>
      <c r="B156" s="173" t="s">
        <v>531</v>
      </c>
      <c r="C156" s="173" t="s">
        <v>443</v>
      </c>
      <c r="D156" s="173" t="s">
        <v>828</v>
      </c>
      <c r="E156" s="173" t="s">
        <v>473</v>
      </c>
      <c r="F156" s="173" t="s">
        <v>460</v>
      </c>
      <c r="G156" s="174">
        <v>80000</v>
      </c>
      <c r="H156" s="175">
        <v>38075</v>
      </c>
    </row>
    <row r="157" spans="1:8" ht="13.5" customHeight="1">
      <c r="A157" s="173" t="s">
        <v>829</v>
      </c>
      <c r="B157" s="173" t="s">
        <v>535</v>
      </c>
      <c r="C157" s="173" t="s">
        <v>449</v>
      </c>
      <c r="D157" s="173" t="s">
        <v>830</v>
      </c>
      <c r="E157" s="173" t="s">
        <v>439</v>
      </c>
      <c r="F157" s="173" t="s">
        <v>446</v>
      </c>
      <c r="G157" s="174">
        <v>95000</v>
      </c>
      <c r="H157" s="175">
        <v>38089</v>
      </c>
    </row>
    <row r="158" spans="1:8" ht="13.5" customHeight="1">
      <c r="A158" s="173" t="s">
        <v>831</v>
      </c>
      <c r="B158" s="173" t="s">
        <v>539</v>
      </c>
      <c r="C158" s="173" t="s">
        <v>454</v>
      </c>
      <c r="D158" s="173" t="s">
        <v>832</v>
      </c>
      <c r="E158" s="173" t="s">
        <v>445</v>
      </c>
      <c r="F158" s="173" t="s">
        <v>451</v>
      </c>
      <c r="G158" s="174">
        <v>90000</v>
      </c>
      <c r="H158" s="175">
        <v>38103</v>
      </c>
    </row>
    <row r="159" spans="1:8" ht="13.5" customHeight="1">
      <c r="A159" s="173" t="s">
        <v>833</v>
      </c>
      <c r="B159" s="173" t="s">
        <v>494</v>
      </c>
      <c r="C159" s="173" t="s">
        <v>458</v>
      </c>
      <c r="D159" s="173" t="s">
        <v>834</v>
      </c>
      <c r="E159" s="173" t="s">
        <v>465</v>
      </c>
      <c r="F159" s="173" t="s">
        <v>440</v>
      </c>
      <c r="G159" s="174">
        <v>78000</v>
      </c>
      <c r="H159" s="175">
        <v>38117</v>
      </c>
    </row>
    <row r="160" spans="1:8" ht="13.5" customHeight="1">
      <c r="A160" s="173" t="s">
        <v>835</v>
      </c>
      <c r="B160" s="173" t="s">
        <v>836</v>
      </c>
      <c r="C160" s="173" t="s">
        <v>463</v>
      </c>
      <c r="D160" s="173" t="s">
        <v>837</v>
      </c>
      <c r="E160" s="173" t="s">
        <v>473</v>
      </c>
      <c r="F160" s="173" t="s">
        <v>76</v>
      </c>
      <c r="G160" s="174">
        <v>98000</v>
      </c>
      <c r="H160" s="175">
        <v>38131</v>
      </c>
    </row>
    <row r="161" spans="1:8" ht="13.5" customHeight="1">
      <c r="A161" s="173" t="s">
        <v>838</v>
      </c>
      <c r="B161" s="173" t="s">
        <v>549</v>
      </c>
      <c r="C161" s="173" t="s">
        <v>453</v>
      </c>
      <c r="D161" s="173" t="s">
        <v>839</v>
      </c>
      <c r="E161" s="173" t="s">
        <v>439</v>
      </c>
      <c r="F161" s="173" t="s">
        <v>460</v>
      </c>
      <c r="G161" s="174">
        <v>80000</v>
      </c>
      <c r="H161" s="175">
        <v>38145</v>
      </c>
    </row>
    <row r="162" spans="1:8" ht="13.5" customHeight="1">
      <c r="A162" s="173" t="s">
        <v>840</v>
      </c>
      <c r="B162" s="173" t="s">
        <v>552</v>
      </c>
      <c r="C162" s="173" t="s">
        <v>471</v>
      </c>
      <c r="D162" s="173" t="s">
        <v>841</v>
      </c>
      <c r="E162" s="173" t="s">
        <v>445</v>
      </c>
      <c r="F162" s="173" t="s">
        <v>446</v>
      </c>
      <c r="G162" s="174">
        <v>95000</v>
      </c>
      <c r="H162" s="175">
        <v>38159</v>
      </c>
    </row>
    <row r="163" spans="1:8" ht="13.5" customHeight="1">
      <c r="A163" s="173" t="s">
        <v>842</v>
      </c>
      <c r="B163" s="173" t="s">
        <v>556</v>
      </c>
      <c r="C163" s="173" t="s">
        <v>476</v>
      </c>
      <c r="D163" s="173" t="s">
        <v>843</v>
      </c>
      <c r="E163" s="173" t="s">
        <v>465</v>
      </c>
      <c r="F163" s="173" t="s">
        <v>451</v>
      </c>
      <c r="G163" s="174">
        <v>72000</v>
      </c>
      <c r="H163" s="175">
        <v>38173</v>
      </c>
    </row>
    <row r="164" spans="1:8" ht="13.5" customHeight="1">
      <c r="A164" s="173" t="s">
        <v>844</v>
      </c>
      <c r="B164" s="173" t="s">
        <v>470</v>
      </c>
      <c r="C164" s="173" t="s">
        <v>285</v>
      </c>
      <c r="D164" s="173" t="s">
        <v>845</v>
      </c>
      <c r="E164" s="173" t="s">
        <v>473</v>
      </c>
      <c r="F164" s="173" t="s">
        <v>440</v>
      </c>
      <c r="G164" s="174">
        <v>80000</v>
      </c>
      <c r="H164" s="175">
        <v>38187</v>
      </c>
    </row>
    <row r="165" spans="1:8" ht="13.5" customHeight="1">
      <c r="A165" s="173" t="s">
        <v>846</v>
      </c>
      <c r="B165" s="173" t="s">
        <v>405</v>
      </c>
      <c r="C165" s="173" t="s">
        <v>483</v>
      </c>
      <c r="D165" s="173" t="s">
        <v>847</v>
      </c>
      <c r="E165" s="173" t="s">
        <v>439</v>
      </c>
      <c r="F165" s="173" t="s">
        <v>76</v>
      </c>
      <c r="G165" s="174">
        <v>95000</v>
      </c>
      <c r="H165" s="175">
        <v>38201</v>
      </c>
    </row>
    <row r="166" spans="1:8" ht="13.5" customHeight="1">
      <c r="A166" s="173" t="s">
        <v>848</v>
      </c>
      <c r="B166" s="173" t="s">
        <v>566</v>
      </c>
      <c r="C166" s="173" t="s">
        <v>487</v>
      </c>
      <c r="D166" s="173" t="s">
        <v>849</v>
      </c>
      <c r="E166" s="173" t="s">
        <v>445</v>
      </c>
      <c r="F166" s="173" t="s">
        <v>460</v>
      </c>
      <c r="G166" s="174">
        <v>90000</v>
      </c>
      <c r="H166" s="175">
        <v>38215</v>
      </c>
    </row>
    <row r="167" spans="1:8" ht="13.5" customHeight="1">
      <c r="A167" s="173" t="s">
        <v>850</v>
      </c>
      <c r="B167" s="173" t="s">
        <v>569</v>
      </c>
      <c r="C167" s="173" t="s">
        <v>491</v>
      </c>
      <c r="D167" s="173" t="s">
        <v>851</v>
      </c>
      <c r="E167" s="173" t="s">
        <v>465</v>
      </c>
      <c r="F167" s="173" t="s">
        <v>446</v>
      </c>
      <c r="G167" s="174">
        <v>78000</v>
      </c>
      <c r="H167" s="175">
        <v>38229</v>
      </c>
    </row>
    <row r="168" spans="1:8" ht="13.5" customHeight="1">
      <c r="A168" s="173" t="s">
        <v>852</v>
      </c>
      <c r="B168" s="173" t="s">
        <v>573</v>
      </c>
      <c r="C168" s="173" t="s">
        <v>443</v>
      </c>
      <c r="D168" s="173" t="s">
        <v>853</v>
      </c>
      <c r="E168" s="173" t="s">
        <v>473</v>
      </c>
      <c r="F168" s="173" t="s">
        <v>451</v>
      </c>
      <c r="G168" s="174">
        <v>98000</v>
      </c>
      <c r="H168" s="175">
        <v>38243</v>
      </c>
    </row>
    <row r="169" spans="1:8" ht="13.5" customHeight="1">
      <c r="A169" s="173" t="s">
        <v>854</v>
      </c>
      <c r="B169" s="173" t="s">
        <v>546</v>
      </c>
      <c r="C169" s="173" t="s">
        <v>498</v>
      </c>
      <c r="D169" s="173" t="s">
        <v>855</v>
      </c>
      <c r="E169" s="173" t="s">
        <v>439</v>
      </c>
      <c r="F169" s="173" t="s">
        <v>440</v>
      </c>
      <c r="G169" s="174">
        <v>80000</v>
      </c>
      <c r="H169" s="175">
        <v>38257</v>
      </c>
    </row>
    <row r="170" spans="1:8" ht="13.5" customHeight="1">
      <c r="A170" s="173" t="s">
        <v>856</v>
      </c>
      <c r="B170" s="173" t="s">
        <v>579</v>
      </c>
      <c r="C170" s="173" t="s">
        <v>453</v>
      </c>
      <c r="D170" s="173" t="s">
        <v>857</v>
      </c>
      <c r="E170" s="173" t="s">
        <v>445</v>
      </c>
      <c r="F170" s="173" t="s">
        <v>76</v>
      </c>
      <c r="G170" s="174">
        <v>95000</v>
      </c>
      <c r="H170" s="175">
        <v>38271</v>
      </c>
    </row>
    <row r="171" spans="1:8" ht="13.5" customHeight="1">
      <c r="A171" s="173" t="s">
        <v>858</v>
      </c>
      <c r="B171" s="173" t="s">
        <v>582</v>
      </c>
      <c r="C171" s="173" t="s">
        <v>505</v>
      </c>
      <c r="D171" s="173" t="s">
        <v>859</v>
      </c>
      <c r="E171" s="173" t="s">
        <v>465</v>
      </c>
      <c r="F171" s="173" t="s">
        <v>460</v>
      </c>
      <c r="G171" s="174">
        <v>72000</v>
      </c>
      <c r="H171" s="175">
        <v>38285</v>
      </c>
    </row>
    <row r="172" spans="1:8" ht="13.5" customHeight="1">
      <c r="A172" s="173" t="s">
        <v>860</v>
      </c>
      <c r="B172" s="173" t="s">
        <v>586</v>
      </c>
      <c r="C172" s="173" t="s">
        <v>509</v>
      </c>
      <c r="D172" s="173" t="s">
        <v>861</v>
      </c>
      <c r="E172" s="173" t="s">
        <v>473</v>
      </c>
      <c r="F172" s="173" t="s">
        <v>446</v>
      </c>
      <c r="G172" s="174">
        <v>80000</v>
      </c>
      <c r="H172" s="175">
        <v>38299</v>
      </c>
    </row>
    <row r="173" spans="1:8" ht="13.5" customHeight="1">
      <c r="A173" s="173" t="s">
        <v>862</v>
      </c>
      <c r="B173" s="173" t="s">
        <v>590</v>
      </c>
      <c r="C173" s="173" t="s">
        <v>512</v>
      </c>
      <c r="D173" s="173" t="s">
        <v>863</v>
      </c>
      <c r="E173" s="173" t="s">
        <v>439</v>
      </c>
      <c r="F173" s="173" t="s">
        <v>451</v>
      </c>
      <c r="G173" s="174">
        <v>95000</v>
      </c>
      <c r="H173" s="175">
        <v>38313</v>
      </c>
    </row>
    <row r="174" spans="1:8" ht="13.5" customHeight="1">
      <c r="A174" s="173" t="s">
        <v>864</v>
      </c>
      <c r="B174" s="173" t="s">
        <v>408</v>
      </c>
      <c r="C174" s="173" t="s">
        <v>516</v>
      </c>
      <c r="D174" s="173" t="s">
        <v>865</v>
      </c>
      <c r="E174" s="173" t="s">
        <v>445</v>
      </c>
      <c r="F174" s="173" t="s">
        <v>440</v>
      </c>
      <c r="G174" s="174">
        <v>90000</v>
      </c>
      <c r="H174" s="175">
        <v>38327</v>
      </c>
    </row>
    <row r="175" spans="1:8" ht="13.5" customHeight="1">
      <c r="A175" s="173" t="s">
        <v>866</v>
      </c>
      <c r="B175" s="173" t="s">
        <v>596</v>
      </c>
      <c r="C175" s="173" t="s">
        <v>520</v>
      </c>
      <c r="D175" s="173" t="s">
        <v>867</v>
      </c>
      <c r="E175" s="173" t="s">
        <v>465</v>
      </c>
      <c r="F175" s="173" t="s">
        <v>76</v>
      </c>
      <c r="G175" s="174">
        <v>78000</v>
      </c>
      <c r="H175" s="175">
        <v>38341</v>
      </c>
    </row>
    <row r="176" spans="1:8" ht="13.5" customHeight="1">
      <c r="A176" s="173" t="s">
        <v>868</v>
      </c>
      <c r="B176" s="173" t="s">
        <v>600</v>
      </c>
      <c r="C176" s="173" t="s">
        <v>525</v>
      </c>
      <c r="D176" s="173" t="s">
        <v>869</v>
      </c>
      <c r="E176" s="173" t="s">
        <v>473</v>
      </c>
      <c r="F176" s="173" t="s">
        <v>460</v>
      </c>
      <c r="G176" s="174">
        <v>98000</v>
      </c>
      <c r="H176" s="175">
        <v>38355</v>
      </c>
    </row>
    <row r="177" spans="1:8" ht="13.5" customHeight="1">
      <c r="A177" s="173" t="s">
        <v>870</v>
      </c>
      <c r="B177" s="173" t="s">
        <v>284</v>
      </c>
      <c r="C177" s="173" t="s">
        <v>528</v>
      </c>
      <c r="D177" s="173" t="s">
        <v>871</v>
      </c>
      <c r="E177" s="173" t="s">
        <v>439</v>
      </c>
      <c r="F177" s="173" t="s">
        <v>446</v>
      </c>
      <c r="G177" s="174">
        <v>80000</v>
      </c>
      <c r="H177" s="175">
        <v>38369</v>
      </c>
    </row>
    <row r="178" spans="1:8" ht="13.5" customHeight="1">
      <c r="A178" s="173" t="s">
        <v>872</v>
      </c>
      <c r="B178" s="173" t="s">
        <v>606</v>
      </c>
      <c r="C178" s="173" t="s">
        <v>532</v>
      </c>
      <c r="D178" s="173" t="s">
        <v>873</v>
      </c>
      <c r="E178" s="173" t="s">
        <v>445</v>
      </c>
      <c r="F178" s="173" t="s">
        <v>451</v>
      </c>
      <c r="G178" s="174">
        <v>95000</v>
      </c>
      <c r="H178" s="175">
        <v>38383</v>
      </c>
    </row>
    <row r="179" spans="1:8" ht="13.5" customHeight="1">
      <c r="A179" s="173" t="s">
        <v>874</v>
      </c>
      <c r="B179" s="173" t="s">
        <v>610</v>
      </c>
      <c r="C179" s="173" t="s">
        <v>536</v>
      </c>
      <c r="D179" s="173" t="s">
        <v>875</v>
      </c>
      <c r="E179" s="173" t="s">
        <v>465</v>
      </c>
      <c r="F179" s="173" t="s">
        <v>440</v>
      </c>
      <c r="G179" s="174">
        <v>85000</v>
      </c>
      <c r="H179" s="175">
        <v>38397</v>
      </c>
    </row>
    <row r="180" spans="1:8" ht="13.5" customHeight="1">
      <c r="A180" s="173" t="s">
        <v>876</v>
      </c>
      <c r="B180" s="173" t="s">
        <v>614</v>
      </c>
      <c r="C180" s="173" t="s">
        <v>540</v>
      </c>
      <c r="D180" s="173" t="s">
        <v>877</v>
      </c>
      <c r="E180" s="173" t="s">
        <v>473</v>
      </c>
      <c r="F180" s="173" t="s">
        <v>76</v>
      </c>
      <c r="G180" s="174">
        <v>72000</v>
      </c>
      <c r="H180" s="175">
        <v>38411</v>
      </c>
    </row>
    <row r="181" spans="1:8" ht="13.5" customHeight="1">
      <c r="A181" s="173" t="s">
        <v>878</v>
      </c>
      <c r="B181" s="173" t="s">
        <v>618</v>
      </c>
      <c r="C181" s="173" t="s">
        <v>543</v>
      </c>
      <c r="D181" s="173" t="s">
        <v>879</v>
      </c>
      <c r="E181" s="173" t="s">
        <v>439</v>
      </c>
      <c r="F181" s="173" t="s">
        <v>460</v>
      </c>
      <c r="G181" s="174">
        <v>80000</v>
      </c>
      <c r="H181" s="175">
        <v>38425</v>
      </c>
    </row>
    <row r="182" spans="1:8" ht="13.5" customHeight="1">
      <c r="A182" s="173" t="s">
        <v>880</v>
      </c>
      <c r="B182" s="173" t="s">
        <v>539</v>
      </c>
      <c r="C182" s="173" t="s">
        <v>483</v>
      </c>
      <c r="D182" s="173" t="s">
        <v>881</v>
      </c>
      <c r="E182" s="173" t="s">
        <v>445</v>
      </c>
      <c r="F182" s="173" t="s">
        <v>446</v>
      </c>
      <c r="G182" s="174">
        <v>95000</v>
      </c>
      <c r="H182" s="175">
        <v>38439</v>
      </c>
    </row>
    <row r="183" spans="1:8" ht="13.5" customHeight="1">
      <c r="A183" s="173" t="s">
        <v>882</v>
      </c>
      <c r="B183" s="173" t="s">
        <v>476</v>
      </c>
      <c r="C183" s="173" t="s">
        <v>528</v>
      </c>
      <c r="D183" s="173" t="s">
        <v>883</v>
      </c>
      <c r="E183" s="173" t="s">
        <v>465</v>
      </c>
      <c r="F183" s="173" t="s">
        <v>451</v>
      </c>
      <c r="G183" s="174">
        <v>90000</v>
      </c>
      <c r="H183" s="175">
        <v>38453</v>
      </c>
    </row>
    <row r="184" spans="1:8" ht="13.5" customHeight="1">
      <c r="A184" s="173" t="s">
        <v>884</v>
      </c>
      <c r="B184" s="173" t="s">
        <v>628</v>
      </c>
      <c r="C184" s="173" t="s">
        <v>516</v>
      </c>
      <c r="D184" s="173" t="s">
        <v>885</v>
      </c>
      <c r="E184" s="173" t="s">
        <v>473</v>
      </c>
      <c r="F184" s="173" t="s">
        <v>440</v>
      </c>
      <c r="G184" s="174">
        <v>78000</v>
      </c>
      <c r="H184" s="175">
        <v>38467</v>
      </c>
    </row>
    <row r="185" spans="1:8" ht="13.5" customHeight="1">
      <c r="A185" s="173" t="s">
        <v>886</v>
      </c>
      <c r="B185" s="173" t="s">
        <v>636</v>
      </c>
      <c r="C185" s="173" t="s">
        <v>560</v>
      </c>
      <c r="D185" s="173" t="s">
        <v>887</v>
      </c>
      <c r="E185" s="173" t="s">
        <v>445</v>
      </c>
      <c r="F185" s="173" t="s">
        <v>460</v>
      </c>
      <c r="G185" s="174">
        <v>80000</v>
      </c>
      <c r="H185" s="175">
        <v>38495</v>
      </c>
    </row>
    <row r="186" spans="1:8" ht="13.5" customHeight="1">
      <c r="A186" s="173" t="s">
        <v>888</v>
      </c>
      <c r="B186" s="173" t="s">
        <v>640</v>
      </c>
      <c r="C186" s="173" t="s">
        <v>563</v>
      </c>
      <c r="D186" s="173" t="s">
        <v>889</v>
      </c>
      <c r="E186" s="173" t="s">
        <v>465</v>
      </c>
      <c r="F186" s="173" t="s">
        <v>446</v>
      </c>
      <c r="G186" s="174">
        <v>95000</v>
      </c>
      <c r="H186" s="175">
        <v>38509</v>
      </c>
    </row>
    <row r="187" spans="1:8" ht="13.5" customHeight="1">
      <c r="A187" s="173" t="s">
        <v>890</v>
      </c>
      <c r="B187" s="173" t="s">
        <v>644</v>
      </c>
      <c r="C187" s="173" t="s">
        <v>563</v>
      </c>
      <c r="D187" s="173" t="s">
        <v>891</v>
      </c>
      <c r="E187" s="173" t="s">
        <v>473</v>
      </c>
      <c r="F187" s="173" t="s">
        <v>451</v>
      </c>
      <c r="G187" s="174">
        <v>72000</v>
      </c>
      <c r="H187" s="175">
        <v>38523</v>
      </c>
    </row>
    <row r="188" spans="1:8" ht="13.5" customHeight="1">
      <c r="A188" s="173" t="s">
        <v>892</v>
      </c>
      <c r="B188" s="173" t="s">
        <v>648</v>
      </c>
      <c r="C188" s="173" t="s">
        <v>570</v>
      </c>
      <c r="D188" s="173" t="s">
        <v>893</v>
      </c>
      <c r="E188" s="173" t="s">
        <v>439</v>
      </c>
      <c r="F188" s="173" t="s">
        <v>440</v>
      </c>
      <c r="G188" s="174">
        <v>80000</v>
      </c>
      <c r="H188" s="175">
        <v>38537</v>
      </c>
    </row>
    <row r="189" spans="1:8" ht="13.5" customHeight="1">
      <c r="A189" s="173" t="s">
        <v>894</v>
      </c>
      <c r="B189" s="173" t="s">
        <v>651</v>
      </c>
      <c r="C189" s="173" t="s">
        <v>574</v>
      </c>
      <c r="D189" s="173" t="s">
        <v>895</v>
      </c>
      <c r="E189" s="173" t="s">
        <v>445</v>
      </c>
      <c r="F189" s="173" t="s">
        <v>76</v>
      </c>
      <c r="G189" s="174">
        <v>95000</v>
      </c>
      <c r="H189" s="175">
        <v>38551</v>
      </c>
    </row>
    <row r="190" spans="1:8" ht="13.5" customHeight="1">
      <c r="A190" s="173" t="s">
        <v>896</v>
      </c>
      <c r="B190" s="173" t="s">
        <v>655</v>
      </c>
      <c r="C190" s="173" t="s">
        <v>570</v>
      </c>
      <c r="D190" s="173" t="s">
        <v>897</v>
      </c>
      <c r="E190" s="173" t="s">
        <v>465</v>
      </c>
      <c r="F190" s="173" t="s">
        <v>460</v>
      </c>
      <c r="G190" s="174">
        <v>90000</v>
      </c>
      <c r="H190" s="175">
        <v>35484</v>
      </c>
    </row>
    <row r="191" spans="1:8" ht="13.5" customHeight="1">
      <c r="A191" s="173" t="s">
        <v>898</v>
      </c>
      <c r="B191" s="173" t="s">
        <v>570</v>
      </c>
      <c r="C191" s="173" t="s">
        <v>443</v>
      </c>
      <c r="D191" s="173" t="s">
        <v>899</v>
      </c>
      <c r="E191" s="173" t="s">
        <v>473</v>
      </c>
      <c r="F191" s="173" t="s">
        <v>446</v>
      </c>
      <c r="G191" s="174">
        <v>78000</v>
      </c>
      <c r="H191" s="175">
        <v>35512</v>
      </c>
    </row>
    <row r="192" spans="1:8" ht="13.5" customHeight="1">
      <c r="A192" s="173" t="s">
        <v>900</v>
      </c>
      <c r="B192" s="173" t="s">
        <v>563</v>
      </c>
      <c r="C192" s="173" t="s">
        <v>583</v>
      </c>
      <c r="D192" s="173" t="s">
        <v>901</v>
      </c>
      <c r="E192" s="173" t="s">
        <v>439</v>
      </c>
      <c r="F192" s="173" t="s">
        <v>451</v>
      </c>
      <c r="G192" s="174">
        <v>98000</v>
      </c>
      <c r="H192" s="175">
        <v>35543</v>
      </c>
    </row>
    <row r="193" spans="1:8" ht="13.5" customHeight="1">
      <c r="A193" s="173" t="s">
        <v>902</v>
      </c>
      <c r="B193" s="173" t="s">
        <v>442</v>
      </c>
      <c r="C193" s="173" t="s">
        <v>587</v>
      </c>
      <c r="D193" s="173" t="s">
        <v>903</v>
      </c>
      <c r="E193" s="173" t="s">
        <v>445</v>
      </c>
      <c r="F193" s="173" t="s">
        <v>440</v>
      </c>
      <c r="G193" s="174">
        <v>80000</v>
      </c>
      <c r="H193" s="175">
        <v>35573</v>
      </c>
    </row>
    <row r="194" spans="1:8" ht="13.5" customHeight="1">
      <c r="A194" s="173" t="s">
        <v>904</v>
      </c>
      <c r="B194" s="173" t="s">
        <v>448</v>
      </c>
      <c r="C194" s="173" t="s">
        <v>591</v>
      </c>
      <c r="D194" s="173" t="s">
        <v>905</v>
      </c>
      <c r="E194" s="173" t="s">
        <v>465</v>
      </c>
      <c r="F194" s="173" t="s">
        <v>76</v>
      </c>
      <c r="G194" s="174">
        <v>95000</v>
      </c>
      <c r="H194" s="175">
        <v>35604</v>
      </c>
    </row>
    <row r="195" spans="1:8" ht="13.5" customHeight="1">
      <c r="A195" s="173" t="s">
        <v>906</v>
      </c>
      <c r="B195" s="173" t="s">
        <v>453</v>
      </c>
      <c r="C195" s="173" t="s">
        <v>491</v>
      </c>
      <c r="D195" s="173" t="s">
        <v>907</v>
      </c>
      <c r="E195" s="173" t="s">
        <v>473</v>
      </c>
      <c r="F195" s="173" t="s">
        <v>460</v>
      </c>
      <c r="G195" s="174">
        <v>72000</v>
      </c>
      <c r="H195" s="175">
        <v>35634</v>
      </c>
    </row>
    <row r="196" spans="1:8" ht="13.5" customHeight="1">
      <c r="A196" s="173" t="s">
        <v>908</v>
      </c>
      <c r="B196" s="173" t="s">
        <v>457</v>
      </c>
      <c r="C196" s="173" t="s">
        <v>597</v>
      </c>
      <c r="D196" s="173" t="s">
        <v>909</v>
      </c>
      <c r="E196" s="173" t="s">
        <v>439</v>
      </c>
      <c r="F196" s="173" t="s">
        <v>446</v>
      </c>
      <c r="G196" s="174">
        <v>80000</v>
      </c>
      <c r="H196" s="175">
        <v>35665</v>
      </c>
    </row>
    <row r="197" spans="1:8" ht="13.5" customHeight="1">
      <c r="A197" s="173" t="s">
        <v>910</v>
      </c>
      <c r="B197" s="173" t="s">
        <v>462</v>
      </c>
      <c r="C197" s="173" t="s">
        <v>601</v>
      </c>
      <c r="D197" s="173" t="s">
        <v>911</v>
      </c>
      <c r="E197" s="173" t="s">
        <v>445</v>
      </c>
      <c r="F197" s="173" t="s">
        <v>451</v>
      </c>
      <c r="G197" s="174">
        <v>95000</v>
      </c>
      <c r="H197" s="175">
        <v>35696</v>
      </c>
    </row>
    <row r="198" spans="1:8" ht="13.5" customHeight="1">
      <c r="A198" s="173" t="s">
        <v>912</v>
      </c>
      <c r="B198" s="173" t="s">
        <v>467</v>
      </c>
      <c r="C198" s="173" t="s">
        <v>540</v>
      </c>
      <c r="D198" s="173" t="s">
        <v>913</v>
      </c>
      <c r="E198" s="173" t="s">
        <v>465</v>
      </c>
      <c r="F198" s="173" t="s">
        <v>440</v>
      </c>
      <c r="G198" s="174">
        <v>90000</v>
      </c>
      <c r="H198" s="175">
        <v>35726</v>
      </c>
    </row>
    <row r="199" spans="1:8" ht="13.5" customHeight="1">
      <c r="A199" s="173" t="s">
        <v>914</v>
      </c>
      <c r="B199" s="173" t="s">
        <v>470</v>
      </c>
      <c r="C199" s="173" t="s">
        <v>607</v>
      </c>
      <c r="D199" s="173" t="s">
        <v>915</v>
      </c>
      <c r="E199" s="173" t="s">
        <v>473</v>
      </c>
      <c r="F199" s="173" t="s">
        <v>76</v>
      </c>
      <c r="G199" s="174">
        <v>78000</v>
      </c>
      <c r="H199" s="175">
        <v>35757</v>
      </c>
    </row>
    <row r="200" spans="1:8" ht="13.5" customHeight="1">
      <c r="A200" s="173" t="s">
        <v>916</v>
      </c>
      <c r="B200" s="173" t="s">
        <v>475</v>
      </c>
      <c r="C200" s="173" t="s">
        <v>611</v>
      </c>
      <c r="D200" s="173" t="s">
        <v>917</v>
      </c>
      <c r="E200" s="173" t="s">
        <v>439</v>
      </c>
      <c r="F200" s="173" t="s">
        <v>460</v>
      </c>
      <c r="G200" s="174">
        <v>98000</v>
      </c>
      <c r="H200" s="175">
        <v>35787</v>
      </c>
    </row>
    <row r="201" spans="1:8" ht="13.5" customHeight="1">
      <c r="A201" s="173" t="s">
        <v>918</v>
      </c>
      <c r="B201" s="173" t="s">
        <v>479</v>
      </c>
      <c r="C201" s="173" t="s">
        <v>615</v>
      </c>
      <c r="D201" s="173" t="s">
        <v>919</v>
      </c>
      <c r="E201" s="173" t="s">
        <v>445</v>
      </c>
      <c r="F201" s="173" t="s">
        <v>446</v>
      </c>
      <c r="G201" s="174">
        <v>80000</v>
      </c>
      <c r="H201" s="175">
        <v>35818</v>
      </c>
    </row>
    <row r="202" spans="1:8" ht="13.5" customHeight="1">
      <c r="A202" s="173" t="s">
        <v>920</v>
      </c>
      <c r="B202" s="173" t="s">
        <v>482</v>
      </c>
      <c r="C202" s="173" t="s">
        <v>619</v>
      </c>
      <c r="D202" s="173" t="s">
        <v>921</v>
      </c>
      <c r="E202" s="173" t="s">
        <v>465</v>
      </c>
      <c r="F202" s="173" t="s">
        <v>451</v>
      </c>
      <c r="G202" s="174">
        <v>95000</v>
      </c>
      <c r="H202" s="175">
        <v>35849</v>
      </c>
    </row>
    <row r="203" spans="1:8" ht="13.5" customHeight="1">
      <c r="A203" s="173" t="s">
        <v>922</v>
      </c>
      <c r="B203" s="173" t="s">
        <v>486</v>
      </c>
      <c r="C203" s="173" t="s">
        <v>622</v>
      </c>
      <c r="D203" s="173" t="s">
        <v>923</v>
      </c>
      <c r="E203" s="173" t="s">
        <v>473</v>
      </c>
      <c r="F203" s="173" t="s">
        <v>440</v>
      </c>
      <c r="G203" s="174">
        <v>72000</v>
      </c>
      <c r="H203" s="175">
        <v>35877</v>
      </c>
    </row>
    <row r="204" spans="1:8" ht="13.5" customHeight="1">
      <c r="A204" s="173" t="s">
        <v>924</v>
      </c>
      <c r="B204" s="173" t="s">
        <v>490</v>
      </c>
      <c r="C204" s="173" t="s">
        <v>625</v>
      </c>
      <c r="D204" s="173" t="s">
        <v>925</v>
      </c>
      <c r="E204" s="173" t="s">
        <v>439</v>
      </c>
      <c r="F204" s="173" t="s">
        <v>76</v>
      </c>
      <c r="G204" s="174">
        <v>80000</v>
      </c>
      <c r="H204" s="175">
        <v>35908</v>
      </c>
    </row>
    <row r="205" spans="1:8" ht="13.5" customHeight="1">
      <c r="A205" s="173" t="s">
        <v>926</v>
      </c>
      <c r="B205" s="173" t="s">
        <v>494</v>
      </c>
      <c r="C205" s="173" t="s">
        <v>629</v>
      </c>
      <c r="D205" s="173" t="s">
        <v>927</v>
      </c>
      <c r="E205" s="173" t="s">
        <v>445</v>
      </c>
      <c r="F205" s="173" t="s">
        <v>460</v>
      </c>
      <c r="G205" s="174">
        <v>95000</v>
      </c>
      <c r="H205" s="175">
        <v>35938</v>
      </c>
    </row>
    <row r="206" spans="1:8" ht="13.5" customHeight="1">
      <c r="A206" s="173" t="s">
        <v>928</v>
      </c>
      <c r="B206" s="173" t="s">
        <v>497</v>
      </c>
      <c r="C206" s="173" t="s">
        <v>633</v>
      </c>
      <c r="D206" s="173" t="s">
        <v>929</v>
      </c>
      <c r="E206" s="173" t="s">
        <v>465</v>
      </c>
      <c r="F206" s="173" t="s">
        <v>446</v>
      </c>
      <c r="G206" s="174">
        <v>90000</v>
      </c>
      <c r="H206" s="175">
        <v>35969</v>
      </c>
    </row>
    <row r="207" spans="1:8" ht="13.5" customHeight="1">
      <c r="A207" s="173" t="s">
        <v>930</v>
      </c>
      <c r="B207" s="173" t="s">
        <v>501</v>
      </c>
      <c r="C207" s="173" t="s">
        <v>637</v>
      </c>
      <c r="D207" s="173" t="s">
        <v>931</v>
      </c>
      <c r="E207" s="173" t="s">
        <v>473</v>
      </c>
      <c r="F207" s="173" t="s">
        <v>451</v>
      </c>
      <c r="G207" s="174">
        <v>78000</v>
      </c>
      <c r="H207" s="175">
        <v>35999</v>
      </c>
    </row>
    <row r="208" spans="1:8" ht="13.5" customHeight="1">
      <c r="A208" s="173" t="s">
        <v>932</v>
      </c>
      <c r="B208" s="173" t="s">
        <v>504</v>
      </c>
      <c r="C208" s="173" t="s">
        <v>641</v>
      </c>
      <c r="D208" s="173" t="s">
        <v>933</v>
      </c>
      <c r="E208" s="173" t="s">
        <v>439</v>
      </c>
      <c r="F208" s="173" t="s">
        <v>440</v>
      </c>
      <c r="G208" s="174">
        <v>98000</v>
      </c>
      <c r="H208" s="175">
        <v>36030</v>
      </c>
    </row>
    <row r="209" spans="1:8" ht="13.5" customHeight="1">
      <c r="A209" s="173" t="s">
        <v>934</v>
      </c>
      <c r="B209" s="173" t="s">
        <v>508</v>
      </c>
      <c r="C209" s="173" t="s">
        <v>645</v>
      </c>
      <c r="D209" s="173" t="s">
        <v>935</v>
      </c>
      <c r="E209" s="173" t="s">
        <v>445</v>
      </c>
      <c r="F209" s="173" t="s">
        <v>76</v>
      </c>
      <c r="G209" s="174">
        <v>80000</v>
      </c>
      <c r="H209" s="175">
        <v>36061</v>
      </c>
    </row>
    <row r="210" spans="1:8" ht="13.5" customHeight="1">
      <c r="A210" s="173" t="s">
        <v>936</v>
      </c>
      <c r="B210" s="173" t="s">
        <v>282</v>
      </c>
      <c r="C210" s="173" t="s">
        <v>285</v>
      </c>
      <c r="D210" s="173" t="s">
        <v>937</v>
      </c>
      <c r="E210" s="173" t="s">
        <v>465</v>
      </c>
      <c r="F210" s="173" t="s">
        <v>460</v>
      </c>
      <c r="G210" s="174">
        <v>95000</v>
      </c>
      <c r="H210" s="175">
        <v>36091</v>
      </c>
    </row>
    <row r="211" spans="1:8" ht="13.5" customHeight="1">
      <c r="A211" s="173" t="s">
        <v>938</v>
      </c>
      <c r="B211" s="173" t="s">
        <v>515</v>
      </c>
      <c r="C211" s="173" t="s">
        <v>652</v>
      </c>
      <c r="D211" s="173" t="s">
        <v>939</v>
      </c>
      <c r="E211" s="173" t="s">
        <v>473</v>
      </c>
      <c r="F211" s="173" t="s">
        <v>446</v>
      </c>
      <c r="G211" s="174">
        <v>85000</v>
      </c>
      <c r="H211" s="175">
        <v>36122</v>
      </c>
    </row>
    <row r="212" spans="1:8" ht="13.5" customHeight="1">
      <c r="A212" s="173" t="s">
        <v>940</v>
      </c>
      <c r="B212" s="173" t="s">
        <v>519</v>
      </c>
      <c r="C212" s="173" t="s">
        <v>563</v>
      </c>
      <c r="D212" s="173" t="s">
        <v>941</v>
      </c>
      <c r="E212" s="173" t="s">
        <v>439</v>
      </c>
      <c r="F212" s="173" t="s">
        <v>451</v>
      </c>
      <c r="G212" s="174">
        <v>34000</v>
      </c>
      <c r="H212" s="175">
        <v>36152</v>
      </c>
    </row>
    <row r="213" spans="1:8" ht="13.5" customHeight="1">
      <c r="A213" s="169"/>
      <c r="B213" s="169"/>
      <c r="C213" s="169"/>
      <c r="D213" s="169"/>
      <c r="E213" s="169"/>
      <c r="F213" s="169"/>
      <c r="G213" s="169"/>
      <c r="H213" s="169"/>
    </row>
    <row r="214" spans="1:8" ht="13.5" customHeight="1">
      <c r="A214" s="169"/>
      <c r="B214" s="169"/>
      <c r="C214" s="169"/>
      <c r="D214" s="169"/>
      <c r="E214" s="169"/>
      <c r="F214" s="169"/>
      <c r="G214" s="169"/>
      <c r="H214" s="169"/>
    </row>
    <row r="215" spans="1:8" ht="13.5" customHeight="1">
      <c r="A215" s="173"/>
      <c r="B215" s="173"/>
      <c r="C215" s="173"/>
      <c r="D215" s="173"/>
      <c r="E215" s="173"/>
      <c r="F215" s="173"/>
      <c r="G215" s="176"/>
      <c r="H215" s="175"/>
    </row>
    <row r="216" spans="1:8" ht="13.5" customHeight="1">
      <c r="A216" s="173"/>
      <c r="B216" s="173"/>
      <c r="C216" s="173"/>
      <c r="D216" s="173"/>
      <c r="E216" s="173"/>
      <c r="F216" s="173"/>
      <c r="G216" s="176"/>
      <c r="H216" s="175"/>
    </row>
    <row r="217" spans="1:8" ht="13.5" customHeight="1">
      <c r="A217" s="173"/>
      <c r="B217" s="173"/>
      <c r="C217" s="173"/>
      <c r="D217" s="173"/>
      <c r="E217" s="173"/>
      <c r="F217" s="173"/>
      <c r="G217" s="176"/>
      <c r="H217" s="175"/>
    </row>
    <row r="218" spans="1:8" ht="13.5" customHeight="1">
      <c r="A218" s="173"/>
      <c r="B218" s="173"/>
      <c r="C218" s="173"/>
      <c r="D218" s="173"/>
      <c r="E218" s="173"/>
      <c r="F218" s="173"/>
      <c r="G218" s="176"/>
      <c r="H218" s="175"/>
    </row>
  </sheetData>
  <dataValidations count="1">
    <dataValidation type="list" allowBlank="1" showInputMessage="1" showErrorMessage="1" sqref="G3 G4" xr:uid="{32D5673C-18AF-452A-A554-5CBABC5D8DAE}">
      <formula1>$A$13:$A$212</formula1>
    </dataValidation>
  </dataValidations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4">
    <tabColor theme="9" tint="-0.249977111117893"/>
  </sheetPr>
  <dimension ref="A1:D204"/>
  <sheetViews>
    <sheetView zoomScale="160" zoomScaleNormal="160" workbookViewId="0">
      <pane xSplit="1" ySplit="1" topLeftCell="B188" activePane="bottomRight" state="frozen"/>
      <selection activeCell="J3" sqref="J3"/>
      <selection pane="topRight" activeCell="J3" sqref="J3"/>
      <selection pane="bottomLeft" activeCell="J3" sqref="J3"/>
      <selection pane="bottomRight" activeCell="C193" activeCellId="1" sqref="D204 C193"/>
    </sheetView>
  </sheetViews>
  <sheetFormatPr defaultColWidth="9.140625" defaultRowHeight="12.75"/>
  <cols>
    <col min="1" max="1" width="15.140625" style="172" customWidth="1"/>
    <col min="2" max="16384" width="9.140625" style="172"/>
  </cols>
  <sheetData>
    <row r="1" spans="1:4" ht="13.5" customHeight="1">
      <c r="A1" s="171" t="s">
        <v>428</v>
      </c>
      <c r="B1" s="172" t="s">
        <v>942</v>
      </c>
    </row>
    <row r="2" spans="1:4" ht="13.5" customHeight="1">
      <c r="A2" s="173" t="s">
        <v>466</v>
      </c>
      <c r="B2" s="177">
        <v>0.3</v>
      </c>
      <c r="D2" s="172">
        <f>VLOOKUP(A2,Employees!$A$12:$H$212,7,FALSE)*(1+B2)</f>
        <v>104000</v>
      </c>
    </row>
    <row r="3" spans="1:4" ht="13.5" customHeight="1">
      <c r="A3" s="173" t="s">
        <v>435</v>
      </c>
      <c r="B3" s="177">
        <v>0.2</v>
      </c>
      <c r="D3" s="172">
        <f>VLOOKUP(A3,Employees!$A$12:$H$212,7,FALSE)*(1+B3)</f>
        <v>86400</v>
      </c>
    </row>
    <row r="4" spans="1:4" ht="13.5" customHeight="1">
      <c r="A4" s="173" t="s">
        <v>523</v>
      </c>
      <c r="B4" s="177">
        <v>0.2</v>
      </c>
      <c r="D4" s="172">
        <f>VLOOKUP(A4,Employees!$A$12:$H$212,7,FALSE)*(1+B4)</f>
        <v>102000</v>
      </c>
    </row>
    <row r="5" spans="1:4" ht="13.5" customHeight="1">
      <c r="A5" s="173" t="s">
        <v>452</v>
      </c>
      <c r="B5" s="177">
        <v>0.2</v>
      </c>
      <c r="D5" s="172">
        <f>VLOOKUP(A5,Employees!$A$12:$H$212,7,FALSE)*(1+B5)</f>
        <v>108000</v>
      </c>
    </row>
    <row r="6" spans="1:4" ht="13.5" customHeight="1">
      <c r="A6" s="173" t="s">
        <v>898</v>
      </c>
      <c r="B6" s="177">
        <v>0.2</v>
      </c>
      <c r="D6" s="172">
        <f>VLOOKUP(A6,Employees!$A$12:$H$212,7,FALSE)*(1+B6)</f>
        <v>93600</v>
      </c>
    </row>
    <row r="7" spans="1:4" ht="13.5" customHeight="1">
      <c r="A7" s="173" t="s">
        <v>914</v>
      </c>
      <c r="B7" s="177">
        <v>0.2</v>
      </c>
      <c r="D7" s="172">
        <f>VLOOKUP(A7,Employees!$A$12:$H$212,7,FALSE)*(1+B7)</f>
        <v>93600</v>
      </c>
    </row>
    <row r="8" spans="1:4" ht="13.5" customHeight="1">
      <c r="A8" s="173" t="s">
        <v>906</v>
      </c>
      <c r="B8" s="177">
        <v>0.2</v>
      </c>
      <c r="D8" s="172">
        <f>VLOOKUP(A8,Employees!$A$12:$H$212,7,FALSE)*(1+B8)</f>
        <v>86400</v>
      </c>
    </row>
    <row r="9" spans="1:4" ht="13.5" customHeight="1">
      <c r="A9" s="173" t="s">
        <v>912</v>
      </c>
      <c r="B9" s="177">
        <v>0.2</v>
      </c>
      <c r="D9" s="172">
        <f>VLOOKUP(A9,Employees!$A$12:$H$212,7,FALSE)*(1+B9)</f>
        <v>108000</v>
      </c>
    </row>
    <row r="10" spans="1:4" ht="13.5" customHeight="1">
      <c r="A10" s="173" t="s">
        <v>902</v>
      </c>
      <c r="B10" s="177">
        <v>0.2</v>
      </c>
      <c r="D10" s="172">
        <f>VLOOKUP(A10,Employees!$A$12:$H$212,7,FALSE)*(1+B10)</f>
        <v>96000</v>
      </c>
    </row>
    <row r="11" spans="1:4" ht="13.5" customHeight="1">
      <c r="A11" s="173" t="s">
        <v>734</v>
      </c>
      <c r="B11" s="177">
        <v>0.15</v>
      </c>
      <c r="D11" s="172">
        <f>VLOOKUP(A11,Employees!$A$12:$H$212,7,FALSE)*(1+B11)</f>
        <v>39100</v>
      </c>
    </row>
    <row r="12" spans="1:4" ht="13.5" customHeight="1">
      <c r="A12" s="173" t="s">
        <v>742</v>
      </c>
      <c r="B12" s="177">
        <v>0.2</v>
      </c>
      <c r="D12" s="172">
        <f>VLOOKUP(A12,Employees!$A$12:$H$212,7,FALSE)*(1+B12)</f>
        <v>40800</v>
      </c>
    </row>
    <row r="13" spans="1:4" ht="13.5" customHeight="1">
      <c r="A13" s="173" t="s">
        <v>728</v>
      </c>
      <c r="B13" s="177">
        <v>0.2</v>
      </c>
      <c r="D13" s="172">
        <f>VLOOKUP(A13,Employees!$A$12:$H$212,7,FALSE)*(1+B13)</f>
        <v>67200</v>
      </c>
    </row>
    <row r="14" spans="1:4" ht="13.5" customHeight="1">
      <c r="A14" s="173" t="s">
        <v>736</v>
      </c>
      <c r="B14" s="177">
        <v>0.2</v>
      </c>
      <c r="D14" s="172">
        <f>VLOOKUP(A14,Employees!$A$12:$H$212,7,FALSE)*(1+B14)</f>
        <v>67200</v>
      </c>
    </row>
    <row r="15" spans="1:4" ht="13.5" customHeight="1">
      <c r="A15" s="173" t="s">
        <v>744</v>
      </c>
      <c r="B15" s="177">
        <v>0.2</v>
      </c>
      <c r="D15" s="172">
        <f>VLOOKUP(A15,Employees!$A$12:$H$212,7,FALSE)*(1+B15)</f>
        <v>67200</v>
      </c>
    </row>
    <row r="16" spans="1:4" ht="13.5" customHeight="1">
      <c r="A16" s="173" t="s">
        <v>732</v>
      </c>
      <c r="B16" s="177">
        <v>0.2</v>
      </c>
      <c r="D16" s="172">
        <f>VLOOKUP(A16,Employees!$A$12:$H$212,7,FALSE)*(1+B16)</f>
        <v>38400</v>
      </c>
    </row>
    <row r="17" spans="1:4" ht="13.5" customHeight="1">
      <c r="A17" s="173" t="s">
        <v>748</v>
      </c>
      <c r="B17" s="177">
        <v>0.17</v>
      </c>
      <c r="D17" s="172">
        <f>VLOOKUP(A17,Employees!$A$12:$H$212,7,FALSE)*(1+B17)</f>
        <v>37440</v>
      </c>
    </row>
    <row r="18" spans="1:4" ht="13.5" customHeight="1">
      <c r="A18" s="173" t="s">
        <v>730</v>
      </c>
      <c r="B18" s="177">
        <v>0.2</v>
      </c>
      <c r="D18" s="172">
        <f>VLOOKUP(A18,Employees!$A$12:$H$212,7,FALSE)*(1+B18)</f>
        <v>54000</v>
      </c>
    </row>
    <row r="19" spans="1:4" ht="13.5" customHeight="1">
      <c r="A19" s="173" t="s">
        <v>738</v>
      </c>
      <c r="B19" s="177">
        <v>0.2</v>
      </c>
      <c r="D19" s="172">
        <f>VLOOKUP(A19,Employees!$A$12:$H$212,7,FALSE)*(1+B19)</f>
        <v>54000</v>
      </c>
    </row>
    <row r="20" spans="1:4" ht="13.5" customHeight="1">
      <c r="A20" s="173" t="s">
        <v>746</v>
      </c>
      <c r="B20" s="177">
        <v>0.35</v>
      </c>
      <c r="D20" s="172">
        <f>VLOOKUP(A20,Employees!$A$12:$H$212,7,FALSE)*(1+B20)</f>
        <v>114750.00000000001</v>
      </c>
    </row>
    <row r="21" spans="1:4" ht="13.5" customHeight="1">
      <c r="A21" s="173" t="s">
        <v>924</v>
      </c>
      <c r="B21" s="177">
        <v>0.35</v>
      </c>
      <c r="D21" s="172">
        <f>VLOOKUP(A21,Employees!$A$12:$H$212,7,FALSE)*(1+B21)</f>
        <v>108000</v>
      </c>
    </row>
    <row r="22" spans="1:4" ht="13.5" customHeight="1">
      <c r="A22" s="173" t="s">
        <v>753</v>
      </c>
      <c r="B22" s="177">
        <v>0.17</v>
      </c>
      <c r="D22" s="172">
        <f>VLOOKUP(A22,Employees!$A$12:$H$212,7,FALSE)*(1+B22)</f>
        <v>65519.999999999993</v>
      </c>
    </row>
    <row r="23" spans="1:4" ht="13.5" customHeight="1">
      <c r="A23" s="173" t="s">
        <v>755</v>
      </c>
      <c r="B23" s="177">
        <v>0.2</v>
      </c>
      <c r="D23" s="172">
        <f>VLOOKUP(A23,Employees!$A$12:$H$212,7,FALSE)*(1+B23)</f>
        <v>86400</v>
      </c>
    </row>
    <row r="24" spans="1:4" ht="13.5" customHeight="1">
      <c r="A24" s="173" t="s">
        <v>757</v>
      </c>
      <c r="B24" s="177">
        <v>0.12</v>
      </c>
      <c r="D24" s="172">
        <f>VLOOKUP(A24,Employees!$A$12:$H$212,7,FALSE)*(1+B24)</f>
        <v>89600.000000000015</v>
      </c>
    </row>
    <row r="25" spans="1:4" ht="13.5" customHeight="1">
      <c r="A25" s="173" t="s">
        <v>765</v>
      </c>
      <c r="B25" s="177">
        <v>0.15</v>
      </c>
      <c r="D25" s="172">
        <f>VLOOKUP(A25,Employees!$A$12:$H$212,7,FALSE)*(1+B25)</f>
        <v>112699.99999999999</v>
      </c>
    </row>
    <row r="26" spans="1:4" ht="13.5" customHeight="1">
      <c r="A26" s="173" t="s">
        <v>769</v>
      </c>
      <c r="B26" s="177">
        <v>0.25</v>
      </c>
      <c r="D26" s="172">
        <f>VLOOKUP(A26,Employees!$A$12:$H$212,7,FALSE)*(1+B26)</f>
        <v>118750</v>
      </c>
    </row>
    <row r="27" spans="1:4" ht="13.5" customHeight="1">
      <c r="A27" s="173" t="s">
        <v>773</v>
      </c>
      <c r="B27" s="177">
        <v>0.2</v>
      </c>
      <c r="D27" s="172">
        <f>VLOOKUP(A27,Employees!$A$12:$H$212,7,FALSE)*(1+B27)</f>
        <v>86400</v>
      </c>
    </row>
    <row r="28" spans="1:4" ht="13.5" customHeight="1">
      <c r="A28" s="173" t="s">
        <v>940</v>
      </c>
      <c r="B28" s="177">
        <v>0.2</v>
      </c>
      <c r="D28" s="172">
        <f>VLOOKUP(A28,Employees!$A$12:$H$212,7,FALSE)*(1+B28)</f>
        <v>40800</v>
      </c>
    </row>
    <row r="29" spans="1:4" ht="13.5" customHeight="1">
      <c r="A29" s="173" t="s">
        <v>763</v>
      </c>
      <c r="B29" s="177">
        <v>0.2</v>
      </c>
      <c r="D29" s="172">
        <f>VLOOKUP(A29,Employees!$A$12:$H$212,7,FALSE)*(1+B29)</f>
        <v>93600</v>
      </c>
    </row>
    <row r="30" spans="1:4" ht="13.5" customHeight="1">
      <c r="A30" s="173" t="s">
        <v>447</v>
      </c>
      <c r="B30" s="177">
        <v>0.2</v>
      </c>
      <c r="D30" s="172">
        <f>VLOOKUP(A30,Employees!$A$12:$H$212,7,FALSE)*(1+B30)</f>
        <v>120000</v>
      </c>
    </row>
    <row r="31" spans="1:4" ht="13.5" customHeight="1">
      <c r="A31" s="173" t="s">
        <v>469</v>
      </c>
      <c r="B31" s="177">
        <v>0.2</v>
      </c>
      <c r="D31" s="172">
        <f>VLOOKUP(A31,Employees!$A$12:$H$212,7,FALSE)*(1+B31)</f>
        <v>114000</v>
      </c>
    </row>
    <row r="32" spans="1:4" ht="13.5" customHeight="1">
      <c r="A32" s="173" t="s">
        <v>761</v>
      </c>
      <c r="B32" s="177">
        <v>0.2</v>
      </c>
      <c r="D32" s="172">
        <f>VLOOKUP(A32,Employees!$A$12:$H$212,7,FALSE)*(1+B32)</f>
        <v>108000</v>
      </c>
    </row>
    <row r="33" spans="1:4" ht="13.5" customHeight="1">
      <c r="A33" s="173" t="s">
        <v>771</v>
      </c>
      <c r="B33" s="177">
        <v>0.2</v>
      </c>
      <c r="D33" s="172">
        <f>VLOOKUP(A33,Employees!$A$12:$H$212,7,FALSE)*(1+B33)</f>
        <v>102000</v>
      </c>
    </row>
    <row r="34" spans="1:4" ht="13.5" customHeight="1">
      <c r="A34" s="173" t="s">
        <v>767</v>
      </c>
      <c r="B34" s="177">
        <v>0.2</v>
      </c>
      <c r="D34" s="172">
        <f>VLOOKUP(A34,Employees!$A$12:$H$212,7,FALSE)*(1+B34)</f>
        <v>96000</v>
      </c>
    </row>
    <row r="35" spans="1:4" ht="13.5" customHeight="1">
      <c r="A35" s="173" t="s">
        <v>548</v>
      </c>
      <c r="B35" s="177">
        <v>0.2</v>
      </c>
      <c r="D35" s="172">
        <f>VLOOKUP(A35,Employees!$A$12:$H$212,7,FALSE)*(1+B35)</f>
        <v>40800</v>
      </c>
    </row>
    <row r="36" spans="1:4" ht="13.5" customHeight="1">
      <c r="A36" s="173" t="s">
        <v>551</v>
      </c>
      <c r="B36" s="177">
        <v>0.2</v>
      </c>
      <c r="D36" s="172">
        <f>VLOOKUP(A36,Employees!$A$12:$H$212,7,FALSE)*(1+B36)</f>
        <v>67200</v>
      </c>
    </row>
    <row r="37" spans="1:4" ht="13.5" customHeight="1">
      <c r="A37" s="173" t="s">
        <v>545</v>
      </c>
      <c r="B37" s="177">
        <v>0.2</v>
      </c>
      <c r="D37" s="172">
        <f>VLOOKUP(A37,Employees!$A$12:$H$212,7,FALSE)*(1+B37)</f>
        <v>54000</v>
      </c>
    </row>
    <row r="38" spans="1:4" ht="13.5" customHeight="1">
      <c r="A38" s="173" t="s">
        <v>555</v>
      </c>
      <c r="B38" s="177">
        <v>0.2</v>
      </c>
      <c r="D38" s="172">
        <f>VLOOKUP(A38,Employees!$A$12:$H$212,7,FALSE)*(1+B38)</f>
        <v>100800</v>
      </c>
    </row>
    <row r="39" spans="1:4" ht="13.5" customHeight="1">
      <c r="A39" s="173" t="s">
        <v>542</v>
      </c>
      <c r="B39" s="177">
        <v>0.2</v>
      </c>
      <c r="D39" s="172">
        <f>VLOOKUP(A39,Employees!$A$12:$H$212,7,FALSE)*(1+B39)</f>
        <v>54000</v>
      </c>
    </row>
    <row r="40" spans="1:4" ht="13.5" customHeight="1">
      <c r="A40" s="173" t="s">
        <v>775</v>
      </c>
      <c r="B40" s="177">
        <v>0.2</v>
      </c>
      <c r="D40" s="172">
        <f>VLOOKUP(A40,Employees!$A$12:$H$212,7,FALSE)*(1+B40)</f>
        <v>96000</v>
      </c>
    </row>
    <row r="41" spans="1:4" ht="13.5" customHeight="1">
      <c r="A41" s="173" t="s">
        <v>489</v>
      </c>
      <c r="B41" s="177">
        <v>0.2</v>
      </c>
      <c r="D41" s="172">
        <f>VLOOKUP(A41,Employees!$A$12:$H$212,7,FALSE)*(1+B41)</f>
        <v>102000</v>
      </c>
    </row>
    <row r="42" spans="1:4" ht="13.5" customHeight="1">
      <c r="A42" s="173" t="s">
        <v>503</v>
      </c>
      <c r="B42" s="177">
        <v>0.2</v>
      </c>
      <c r="D42" s="172">
        <f>VLOOKUP(A42,Employees!$A$12:$H$212,7,FALSE)*(1+B42)</f>
        <v>114000</v>
      </c>
    </row>
    <row r="43" spans="1:4" ht="13.5" customHeight="1">
      <c r="A43" s="173" t="s">
        <v>565</v>
      </c>
      <c r="B43" s="177">
        <v>0.2</v>
      </c>
      <c r="D43" s="172">
        <f>VLOOKUP(A43,Employees!$A$12:$H$212,7,FALSE)*(1+B43)</f>
        <v>40800</v>
      </c>
    </row>
    <row r="44" spans="1:4" ht="13.5" customHeight="1">
      <c r="A44" s="173" t="s">
        <v>581</v>
      </c>
      <c r="B44" s="177">
        <v>0.2</v>
      </c>
      <c r="D44" s="172">
        <f>VLOOKUP(A44,Employees!$A$12:$H$212,7,FALSE)*(1+B44)</f>
        <v>40800</v>
      </c>
    </row>
    <row r="45" spans="1:4" ht="13.5" customHeight="1">
      <c r="A45" s="173" t="s">
        <v>599</v>
      </c>
      <c r="B45" s="177">
        <v>0.2</v>
      </c>
      <c r="D45" s="172">
        <f>VLOOKUP(A45,Employees!$A$12:$H$212,7,FALSE)*(1+B45)</f>
        <v>40800</v>
      </c>
    </row>
    <row r="46" spans="1:4" ht="13.5" customHeight="1">
      <c r="A46" s="173" t="s">
        <v>568</v>
      </c>
      <c r="B46" s="177">
        <v>0.2</v>
      </c>
      <c r="D46" s="172">
        <f>VLOOKUP(A46,Employees!$A$12:$H$212,7,FALSE)*(1+B46)</f>
        <v>67200</v>
      </c>
    </row>
    <row r="47" spans="1:4" ht="13.5" customHeight="1">
      <c r="A47" s="173" t="s">
        <v>585</v>
      </c>
      <c r="B47" s="177">
        <v>0.2</v>
      </c>
      <c r="D47" s="172">
        <f>VLOOKUP(A47,Employees!$A$12:$H$212,7,FALSE)*(1+B47)</f>
        <v>67200</v>
      </c>
    </row>
    <row r="48" spans="1:4" ht="13.5" customHeight="1">
      <c r="A48" s="173" t="s">
        <v>562</v>
      </c>
      <c r="B48" s="177">
        <v>0.2</v>
      </c>
      <c r="D48" s="172">
        <f>VLOOKUP(A48,Employees!$A$12:$H$212,7,FALSE)*(1+B48)</f>
        <v>38400</v>
      </c>
    </row>
    <row r="49" spans="1:4" ht="13.5" customHeight="1">
      <c r="A49" s="173" t="s">
        <v>578</v>
      </c>
      <c r="B49" s="177">
        <v>0.2</v>
      </c>
      <c r="D49" s="172">
        <f>VLOOKUP(A49,Employees!$A$12:$H$212,7,FALSE)*(1+B49)</f>
        <v>38400</v>
      </c>
    </row>
    <row r="50" spans="1:4" ht="13.5" customHeight="1">
      <c r="A50" s="173" t="s">
        <v>595</v>
      </c>
      <c r="B50" s="177">
        <v>0.2</v>
      </c>
      <c r="D50" s="172">
        <f>VLOOKUP(A50,Employees!$A$12:$H$212,7,FALSE)*(1+B50)</f>
        <v>38400</v>
      </c>
    </row>
    <row r="51" spans="1:4" ht="13.5" customHeight="1">
      <c r="A51" s="173" t="s">
        <v>572</v>
      </c>
      <c r="B51" s="177">
        <v>0.2</v>
      </c>
      <c r="D51" s="172">
        <f>VLOOKUP(A51,Employees!$A$12:$H$212,7,FALSE)*(1+B51)</f>
        <v>100800</v>
      </c>
    </row>
    <row r="52" spans="1:4" ht="13.5" customHeight="1">
      <c r="A52" s="173" t="s">
        <v>589</v>
      </c>
      <c r="B52" s="177">
        <v>0.2</v>
      </c>
      <c r="D52" s="172">
        <f>VLOOKUP(A52,Employees!$A$12:$H$212,7,FALSE)*(1+B52)</f>
        <v>100800</v>
      </c>
    </row>
    <row r="53" spans="1:4" ht="13.5" customHeight="1">
      <c r="A53" s="173" t="s">
        <v>481</v>
      </c>
      <c r="B53" s="177">
        <v>0.2</v>
      </c>
      <c r="D53" s="172">
        <f>VLOOKUP(A53,Employees!$A$12:$H$212,7,FALSE)*(1+B53)</f>
        <v>86400</v>
      </c>
    </row>
    <row r="54" spans="1:4" ht="13.5" customHeight="1">
      <c r="A54" s="173" t="s">
        <v>530</v>
      </c>
      <c r="B54" s="177">
        <v>0.2</v>
      </c>
      <c r="D54" s="172">
        <f>VLOOKUP(A54,Employees!$A$12:$H$212,7,FALSE)*(1+B54)</f>
        <v>96000</v>
      </c>
    </row>
    <row r="55" spans="1:4" ht="13.5" customHeight="1">
      <c r="A55" s="173" t="s">
        <v>943</v>
      </c>
      <c r="B55" s="177">
        <v>0.2</v>
      </c>
      <c r="D55" s="172" t="e">
        <f>VLOOKUP(A55,Employees!$A$12:$H$212,7,FALSE)*(1+B55)</f>
        <v>#N/A</v>
      </c>
    </row>
    <row r="56" spans="1:4" ht="13.5" customHeight="1">
      <c r="A56" s="173" t="s">
        <v>576</v>
      </c>
      <c r="B56" s="177">
        <v>0.2</v>
      </c>
      <c r="D56" s="172">
        <f>VLOOKUP(A56,Employees!$A$12:$H$212,7,FALSE)*(1+B56)</f>
        <v>54000</v>
      </c>
    </row>
    <row r="57" spans="1:4" ht="13.5" customHeight="1">
      <c r="A57" s="173" t="s">
        <v>593</v>
      </c>
      <c r="B57" s="177">
        <v>0.2</v>
      </c>
      <c r="D57" s="172">
        <f>VLOOKUP(A57,Employees!$A$12:$H$212,7,FALSE)*(1+B57)</f>
        <v>54000</v>
      </c>
    </row>
    <row r="58" spans="1:4" ht="13.5" customHeight="1">
      <c r="A58" s="173" t="s">
        <v>507</v>
      </c>
      <c r="B58" s="177">
        <v>0.2</v>
      </c>
      <c r="D58" s="172">
        <f>VLOOKUP(A58,Employees!$A$12:$H$212,7,FALSE)*(1+B58)</f>
        <v>114000</v>
      </c>
    </row>
    <row r="59" spans="1:4" ht="13.5" customHeight="1">
      <c r="A59" s="173" t="s">
        <v>617</v>
      </c>
      <c r="B59" s="177">
        <v>0.2</v>
      </c>
      <c r="D59" s="172">
        <f>VLOOKUP(A59,Employees!$A$12:$H$212,7,FALSE)*(1+B59)</f>
        <v>40800</v>
      </c>
    </row>
    <row r="60" spans="1:4" ht="13.5" customHeight="1">
      <c r="A60" s="173" t="s">
        <v>635</v>
      </c>
      <c r="B60" s="177">
        <v>0.2</v>
      </c>
      <c r="D60" s="172">
        <f>VLOOKUP(A60,Employees!$A$12:$H$212,7,FALSE)*(1+B60)</f>
        <v>40800</v>
      </c>
    </row>
    <row r="61" spans="1:4" ht="13.5" customHeight="1">
      <c r="A61" s="173" t="s">
        <v>944</v>
      </c>
      <c r="B61" s="177">
        <v>0.2</v>
      </c>
      <c r="D61" s="172" t="e">
        <f>VLOOKUP(A61,Employees!$A$12:$H$212,7,FALSE)*(1+B61)</f>
        <v>#N/A</v>
      </c>
    </row>
    <row r="62" spans="1:4" ht="13.5" customHeight="1">
      <c r="A62" s="173" t="s">
        <v>621</v>
      </c>
      <c r="B62" s="177">
        <v>0.2</v>
      </c>
      <c r="D62" s="172">
        <f>VLOOKUP(A62,Employees!$A$12:$H$212,7,FALSE)*(1+B62)</f>
        <v>67200</v>
      </c>
    </row>
    <row r="63" spans="1:4" ht="13.5" customHeight="1">
      <c r="A63" s="173" t="s">
        <v>639</v>
      </c>
      <c r="B63" s="177">
        <v>0.2</v>
      </c>
      <c r="D63" s="172">
        <f>VLOOKUP(A63,Employees!$A$12:$H$212,7,FALSE)*(1+B63)</f>
        <v>67200</v>
      </c>
    </row>
    <row r="64" spans="1:4" ht="13.5" customHeight="1">
      <c r="A64" s="173" t="s">
        <v>613</v>
      </c>
      <c r="B64" s="177">
        <v>0.2</v>
      </c>
      <c r="D64" s="172">
        <f>VLOOKUP(A64,Employees!$A$12:$H$212,7,FALSE)*(1+B64)</f>
        <v>38400</v>
      </c>
    </row>
    <row r="65" spans="1:4" ht="13.5" customHeight="1">
      <c r="A65" s="173" t="s">
        <v>631</v>
      </c>
      <c r="B65" s="177">
        <v>0.2</v>
      </c>
      <c r="D65" s="172">
        <f>VLOOKUP(A65,Employees!$A$12:$H$212,7,FALSE)*(1+B65)</f>
        <v>38400</v>
      </c>
    </row>
    <row r="66" spans="1:4" ht="13.5" customHeight="1">
      <c r="A66" s="173" t="s">
        <v>624</v>
      </c>
      <c r="B66" s="177">
        <v>0.2</v>
      </c>
      <c r="D66" s="172">
        <f>VLOOKUP(A66,Employees!$A$12:$H$212,7,FALSE)*(1+B66)</f>
        <v>100800</v>
      </c>
    </row>
    <row r="67" spans="1:4" ht="13.5" customHeight="1">
      <c r="A67" s="173" t="s">
        <v>643</v>
      </c>
      <c r="B67" s="177">
        <v>0.2</v>
      </c>
      <c r="D67" s="172">
        <f>VLOOKUP(A67,Employees!$A$12:$H$212,7,FALSE)*(1+B67)</f>
        <v>100800</v>
      </c>
    </row>
    <row r="68" spans="1:4" ht="13.5" customHeight="1">
      <c r="A68" s="173" t="s">
        <v>485</v>
      </c>
      <c r="B68" s="177">
        <v>0.2</v>
      </c>
      <c r="D68" s="172">
        <f>VLOOKUP(A68,Employees!$A$12:$H$212,7,FALSE)*(1+B68)</f>
        <v>93600</v>
      </c>
    </row>
    <row r="69" spans="1:4" ht="13.5" customHeight="1">
      <c r="A69" s="173" t="s">
        <v>441</v>
      </c>
      <c r="B69" s="177">
        <v>0.2</v>
      </c>
      <c r="D69" s="172">
        <f>VLOOKUP(A69,Employees!$A$12:$H$212,7,FALSE)*(1+B69)</f>
        <v>96000</v>
      </c>
    </row>
    <row r="70" spans="1:4" ht="13.5" customHeight="1">
      <c r="A70" s="173" t="s">
        <v>945</v>
      </c>
      <c r="B70" s="177">
        <v>0.2</v>
      </c>
      <c r="D70" s="172" t="e">
        <f>VLOOKUP(A70,Employees!$A$12:$H$212,7,FALSE)*(1+B70)</f>
        <v>#N/A</v>
      </c>
    </row>
    <row r="71" spans="1:4" ht="13.5" customHeight="1">
      <c r="A71" s="173" t="s">
        <v>627</v>
      </c>
      <c r="B71" s="177">
        <v>0.2</v>
      </c>
      <c r="D71" s="172">
        <f>VLOOKUP(A71,Employees!$A$12:$H$212,7,FALSE)*(1+B71)</f>
        <v>54000</v>
      </c>
    </row>
    <row r="72" spans="1:4" ht="13.5" customHeight="1">
      <c r="A72" s="173" t="s">
        <v>527</v>
      </c>
      <c r="B72" s="177">
        <v>0.2</v>
      </c>
      <c r="D72" s="172">
        <f>VLOOKUP(A72,Employees!$A$12:$H$212,7,FALSE)*(1+B72)</f>
        <v>93600</v>
      </c>
    </row>
    <row r="73" spans="1:4" ht="13.5" customHeight="1">
      <c r="A73" s="173" t="s">
        <v>461</v>
      </c>
      <c r="B73" s="177">
        <v>0.2</v>
      </c>
      <c r="D73" s="172">
        <f>VLOOKUP(A73,Employees!$A$12:$H$212,7,FALSE)*(1+B73)</f>
        <v>117600</v>
      </c>
    </row>
    <row r="74" spans="1:4" ht="13.5" customHeight="1">
      <c r="A74" s="173" t="s">
        <v>654</v>
      </c>
      <c r="B74" s="177">
        <v>0.2</v>
      </c>
      <c r="D74" s="172">
        <f>VLOOKUP(A74,Employees!$A$12:$H$212,7,FALSE)*(1+B74)</f>
        <v>40800</v>
      </c>
    </row>
    <row r="75" spans="1:4" ht="13.5" customHeight="1">
      <c r="A75" s="173" t="s">
        <v>667</v>
      </c>
      <c r="B75" s="177">
        <v>0.2</v>
      </c>
      <c r="D75" s="172">
        <f>VLOOKUP(A75,Employees!$A$12:$H$212,7,FALSE)*(1+B75)</f>
        <v>40800</v>
      </c>
    </row>
    <row r="76" spans="1:4" ht="13.5" customHeight="1">
      <c r="A76" s="173" t="s">
        <v>657</v>
      </c>
      <c r="B76" s="177">
        <v>0.2</v>
      </c>
      <c r="D76" s="172">
        <f>VLOOKUP(A76,Employees!$A$12:$H$212,7,FALSE)*(1+B76)</f>
        <v>67200</v>
      </c>
    </row>
    <row r="77" spans="1:4" ht="13.5" customHeight="1">
      <c r="A77" s="173" t="s">
        <v>669</v>
      </c>
      <c r="B77" s="177">
        <v>0.2</v>
      </c>
      <c r="D77" s="172">
        <f>VLOOKUP(A77,Employees!$A$12:$H$212,7,FALSE)*(1+B77)</f>
        <v>67200</v>
      </c>
    </row>
    <row r="78" spans="1:4" ht="13.5" customHeight="1">
      <c r="A78" s="173" t="s">
        <v>650</v>
      </c>
      <c r="B78" s="177">
        <v>0.2</v>
      </c>
      <c r="D78" s="172">
        <f>VLOOKUP(A78,Employees!$A$12:$H$212,7,FALSE)*(1+B78)</f>
        <v>38400</v>
      </c>
    </row>
    <row r="79" spans="1:4" ht="13.5" customHeight="1">
      <c r="A79" s="173" t="s">
        <v>665</v>
      </c>
      <c r="B79" s="177">
        <v>0.2</v>
      </c>
      <c r="D79" s="172">
        <f>VLOOKUP(A79,Employees!$A$12:$H$212,7,FALSE)*(1+B79)</f>
        <v>38400</v>
      </c>
    </row>
    <row r="80" spans="1:4" ht="13.5" customHeight="1">
      <c r="A80" s="173" t="s">
        <v>675</v>
      </c>
      <c r="B80" s="177">
        <v>0.2</v>
      </c>
      <c r="D80" s="172">
        <f>VLOOKUP(A80,Employees!$A$12:$H$212,7,FALSE)*(1+B80)</f>
        <v>38400</v>
      </c>
    </row>
    <row r="81" spans="1:4" ht="13.5" customHeight="1">
      <c r="A81" s="173" t="s">
        <v>660</v>
      </c>
      <c r="B81" s="177">
        <v>0.2</v>
      </c>
      <c r="D81" s="172">
        <f>VLOOKUP(A81,Employees!$A$12:$H$212,7,FALSE)*(1+B81)</f>
        <v>100800</v>
      </c>
    </row>
    <row r="82" spans="1:4">
      <c r="A82" s="172" t="s">
        <v>478</v>
      </c>
      <c r="B82" s="178">
        <v>4.604456023463812E-2</v>
      </c>
      <c r="D82" s="172">
        <f>VLOOKUP(A82,Employees!$A$12:$H$212,7,FALSE)*(1+B82)</f>
        <v>88913.787619944254</v>
      </c>
    </row>
    <row r="83" spans="1:4">
      <c r="A83" s="172" t="s">
        <v>496</v>
      </c>
      <c r="B83" s="178">
        <v>0.10286935630298419</v>
      </c>
      <c r="D83" s="172">
        <f>VLOOKUP(A83,Employees!$A$12:$H$212,7,FALSE)*(1+B83)</f>
        <v>93743.89528575365</v>
      </c>
    </row>
    <row r="84" spans="1:4">
      <c r="A84" s="172" t="s">
        <v>500</v>
      </c>
      <c r="B84" s="178">
        <v>7.31513041956596E-2</v>
      </c>
      <c r="D84" s="172">
        <f>VLOOKUP(A84,Employees!$A$12:$H$212,7,FALSE)*(1+B84)</f>
        <v>85852.104335652766</v>
      </c>
    </row>
    <row r="85" spans="1:4">
      <c r="A85" s="172" t="s">
        <v>518</v>
      </c>
      <c r="B85" s="178">
        <v>8.677738199328466E-3</v>
      </c>
      <c r="D85" s="172">
        <f>VLOOKUP(A85,Employees!$A$12:$H$212,7,FALSE)*(1+B85)</f>
        <v>86746.285485142245</v>
      </c>
    </row>
    <row r="86" spans="1:4">
      <c r="A86" s="172" t="s">
        <v>538</v>
      </c>
      <c r="B86" s="178">
        <v>4.035427451475844E-2</v>
      </c>
      <c r="D86" s="172">
        <f>VLOOKUP(A86,Employees!$A$12:$H$212,7,FALSE)*(1+B86)</f>
        <v>62421.256470885506</v>
      </c>
    </row>
    <row r="87" spans="1:4">
      <c r="A87" s="172" t="s">
        <v>605</v>
      </c>
      <c r="B87" s="178">
        <v>0.19693213038606036</v>
      </c>
      <c r="D87" s="172">
        <f>VLOOKUP(A87,Employees!$A$12:$H$212,7,FALSE)*(1+B87)</f>
        <v>100542.29895242906</v>
      </c>
    </row>
    <row r="88" spans="1:4">
      <c r="A88" s="172" t="s">
        <v>663</v>
      </c>
      <c r="B88" s="178">
        <v>0.17950354314192757</v>
      </c>
      <c r="D88" s="172">
        <f>VLOOKUP(A88,Employees!$A$12:$H$212,7,FALSE)*(1+B88)</f>
        <v>53077.659441386742</v>
      </c>
    </row>
    <row r="89" spans="1:4">
      <c r="A89" s="172" t="s">
        <v>671</v>
      </c>
      <c r="B89" s="178">
        <v>7.9845019936733944E-2</v>
      </c>
      <c r="D89" s="172">
        <f>VLOOKUP(A89,Employees!$A$12:$H$212,7,FALSE)*(1+B89)</f>
        <v>90706.981674685652</v>
      </c>
    </row>
    <row r="90" spans="1:4">
      <c r="A90" s="172" t="s">
        <v>679</v>
      </c>
      <c r="B90" s="178">
        <v>0.15783026244500017</v>
      </c>
      <c r="D90" s="172">
        <f>VLOOKUP(A90,Employees!$A$12:$H$212,7,FALSE)*(1+B90)</f>
        <v>64838.494696920003</v>
      </c>
    </row>
    <row r="91" spans="1:4">
      <c r="A91" s="172" t="s">
        <v>687</v>
      </c>
      <c r="B91" s="178">
        <v>0.16922575392139944</v>
      </c>
      <c r="D91" s="172">
        <f>VLOOKUP(A91,Employees!$A$12:$H$212,7,FALSE)*(1+B91)</f>
        <v>65476.642219598369</v>
      </c>
    </row>
    <row r="92" spans="1:4">
      <c r="A92" s="172" t="s">
        <v>695</v>
      </c>
      <c r="B92" s="178">
        <v>0.12157982341612268</v>
      </c>
      <c r="D92" s="172">
        <f>VLOOKUP(A92,Employees!$A$12:$H$212,7,FALSE)*(1+B92)</f>
        <v>62808.470111302871</v>
      </c>
    </row>
    <row r="93" spans="1:4">
      <c r="A93" s="172" t="s">
        <v>703</v>
      </c>
      <c r="B93" s="178">
        <v>8.9393307587774556E-2</v>
      </c>
      <c r="D93" s="172">
        <f>VLOOKUP(A93,Employees!$A$12:$H$212,7,FALSE)*(1+B93)</f>
        <v>61006.025224915378</v>
      </c>
    </row>
    <row r="94" spans="1:4">
      <c r="A94" s="172" t="s">
        <v>712</v>
      </c>
      <c r="B94" s="178">
        <v>7.6844221770666549E-2</v>
      </c>
      <c r="D94" s="172">
        <f>VLOOKUP(A94,Employees!$A$12:$H$212,7,FALSE)*(1+B94)</f>
        <v>60303.27641915733</v>
      </c>
    </row>
    <row r="95" spans="1:4">
      <c r="A95" s="172" t="s">
        <v>720</v>
      </c>
      <c r="B95" s="178">
        <v>1.6172818909159049E-2</v>
      </c>
      <c r="D95" s="172">
        <f>VLOOKUP(A95,Employees!$A$12:$H$212,7,FALSE)*(1+B95)</f>
        <v>56905.677858912903</v>
      </c>
    </row>
    <row r="96" spans="1:4">
      <c r="A96" s="172" t="s">
        <v>777</v>
      </c>
      <c r="B96" s="178">
        <v>0.11063585815111346</v>
      </c>
      <c r="D96" s="172">
        <f>VLOOKUP(A96,Employees!$A$12:$H$212,7,FALSE)*(1+B96)</f>
        <v>105510.40652435579</v>
      </c>
    </row>
    <row r="97" spans="1:4">
      <c r="A97" s="172" t="s">
        <v>787</v>
      </c>
      <c r="B97" s="178">
        <v>0.1277744699834012</v>
      </c>
      <c r="D97" s="172">
        <f>VLOOKUP(A97,Employees!$A$12:$H$212,7,FALSE)*(1+B97)</f>
        <v>90221.957598672088</v>
      </c>
    </row>
    <row r="98" spans="1:4">
      <c r="A98" s="172" t="s">
        <v>795</v>
      </c>
      <c r="B98" s="178">
        <v>8.8916033639754311E-2</v>
      </c>
      <c r="D98" s="172">
        <f>VLOOKUP(A98,Employees!$A$12:$H$212,7,FALSE)*(1+B98)</f>
        <v>87113.282691180342</v>
      </c>
    </row>
    <row r="99" spans="1:4">
      <c r="A99" s="172" t="s">
        <v>803</v>
      </c>
      <c r="B99" s="178">
        <v>0.17296195738732828</v>
      </c>
      <c r="D99" s="172">
        <f>VLOOKUP(A99,Employees!$A$12:$H$212,7,FALSE)*(1+B99)</f>
        <v>114950.27182395816</v>
      </c>
    </row>
    <row r="100" spans="1:4">
      <c r="A100" s="172" t="s">
        <v>811</v>
      </c>
      <c r="B100" s="178">
        <v>0.195597676481227</v>
      </c>
      <c r="D100" s="172">
        <f>VLOOKUP(A100,Employees!$A$12:$H$212,7,FALSE)*(1+B100)</f>
        <v>95647.814118498165</v>
      </c>
    </row>
    <row r="101" spans="1:4">
      <c r="A101" s="172" t="s">
        <v>819</v>
      </c>
      <c r="B101" s="178">
        <v>2.3435481158200488E-3</v>
      </c>
      <c r="D101" s="172">
        <f>VLOOKUP(A101,Employees!$A$12:$H$212,7,FALSE)*(1+B101)</f>
        <v>98229.66771535037</v>
      </c>
    </row>
    <row r="102" spans="1:4">
      <c r="A102" s="172" t="s">
        <v>827</v>
      </c>
      <c r="B102" s="178">
        <v>0.14565156596544959</v>
      </c>
      <c r="D102" s="172">
        <f>VLOOKUP(A102,Employees!$A$12:$H$212,7,FALSE)*(1+B102)</f>
        <v>91652.125277235973</v>
      </c>
    </row>
    <row r="103" spans="1:4">
      <c r="A103" s="172" t="s">
        <v>835</v>
      </c>
      <c r="B103" s="178">
        <v>5.3757133914873025E-3</v>
      </c>
      <c r="D103" s="172">
        <f>VLOOKUP(A103,Employees!$A$12:$H$212,7,FALSE)*(1+B103)</f>
        <v>98526.819912365754</v>
      </c>
    </row>
    <row r="104" spans="1:4">
      <c r="A104" s="172" t="s">
        <v>844</v>
      </c>
      <c r="B104" s="178">
        <v>0.11565301003775649</v>
      </c>
      <c r="D104" s="172">
        <f>VLOOKUP(A104,Employees!$A$12:$H$212,7,FALSE)*(1+B104)</f>
        <v>89252.240803020512</v>
      </c>
    </row>
    <row r="105" spans="1:4">
      <c r="A105" s="172" t="s">
        <v>852</v>
      </c>
      <c r="B105" s="178">
        <v>0.11981388509390963</v>
      </c>
      <c r="D105" s="172">
        <f>VLOOKUP(A105,Employees!$A$12:$H$212,7,FALSE)*(1+B105)</f>
        <v>109741.76073920315</v>
      </c>
    </row>
    <row r="106" spans="1:4">
      <c r="A106" s="172" t="s">
        <v>860</v>
      </c>
      <c r="B106" s="178">
        <v>0.16436576060175367</v>
      </c>
      <c r="D106" s="172">
        <f>VLOOKUP(A106,Employees!$A$12:$H$212,7,FALSE)*(1+B106)</f>
        <v>93149.2608481403</v>
      </c>
    </row>
    <row r="107" spans="1:4">
      <c r="A107" s="172" t="s">
        <v>868</v>
      </c>
      <c r="B107" s="178">
        <v>1.5713677482366028E-2</v>
      </c>
      <c r="D107" s="172">
        <f>VLOOKUP(A107,Employees!$A$12:$H$212,7,FALSE)*(1+B107)</f>
        <v>99539.940393271871</v>
      </c>
    </row>
    <row r="108" spans="1:4">
      <c r="A108" s="172" t="s">
        <v>876</v>
      </c>
      <c r="B108" s="178">
        <v>0.17491166213956627</v>
      </c>
      <c r="D108" s="172">
        <f>VLOOKUP(A108,Employees!$A$12:$H$212,7,FALSE)*(1+B108)</f>
        <v>84593.639674048769</v>
      </c>
    </row>
    <row r="109" spans="1:4">
      <c r="A109" s="172" t="s">
        <v>884</v>
      </c>
      <c r="B109" s="178">
        <v>0.10287884073274575</v>
      </c>
      <c r="D109" s="172">
        <f>VLOOKUP(A109,Employees!$A$12:$H$212,7,FALSE)*(1+B109)</f>
        <v>86024.549577154161</v>
      </c>
    </row>
    <row r="110" spans="1:4">
      <c r="A110" s="172" t="s">
        <v>890</v>
      </c>
      <c r="B110" s="178">
        <v>4.4179400929837208E-2</v>
      </c>
      <c r="D110" s="172">
        <f>VLOOKUP(A110,Employees!$A$12:$H$212,7,FALSE)*(1+B110)</f>
        <v>75180.91686694829</v>
      </c>
    </row>
    <row r="111" spans="1:4">
      <c r="A111" s="172" t="s">
        <v>922</v>
      </c>
      <c r="B111" s="178">
        <v>4.7566072046016129E-2</v>
      </c>
      <c r="D111" s="172">
        <f>VLOOKUP(A111,Employees!$A$12:$H$212,7,FALSE)*(1+B111)</f>
        <v>75424.757187313153</v>
      </c>
    </row>
    <row r="112" spans="1:4">
      <c r="A112" s="172" t="s">
        <v>930</v>
      </c>
      <c r="B112" s="178">
        <v>0.10873737864953208</v>
      </c>
      <c r="D112" s="172">
        <f>VLOOKUP(A112,Employees!$A$12:$H$212,7,FALSE)*(1+B112)</f>
        <v>86481.5155346635</v>
      </c>
    </row>
    <row r="113" spans="1:4">
      <c r="A113" s="172" t="s">
        <v>938</v>
      </c>
      <c r="B113" s="178">
        <v>0.14008775179798821</v>
      </c>
      <c r="D113" s="172">
        <f>VLOOKUP(A113,Employees!$A$12:$H$212,7,FALSE)*(1+B113)</f>
        <v>96907.458902828992</v>
      </c>
    </row>
    <row r="114" spans="1:4">
      <c r="A114" s="172" t="s">
        <v>456</v>
      </c>
      <c r="B114" s="178">
        <v>6.6133615487554254E-2</v>
      </c>
      <c r="D114" s="172">
        <f>VLOOKUP(A114,Employees!$A$12:$H$212,7,FALSE)*(1+B114)</f>
        <v>83158.422008029229</v>
      </c>
    </row>
    <row r="115" spans="1:4">
      <c r="A115" s="172" t="s">
        <v>474</v>
      </c>
      <c r="B115" s="178">
        <v>0.12061249686697444</v>
      </c>
      <c r="D115" s="172">
        <f>VLOOKUP(A115,Employees!$A$12:$H$212,7,FALSE)*(1+B115)</f>
        <v>95252.062233692821</v>
      </c>
    </row>
    <row r="116" spans="1:4">
      <c r="A116" s="172" t="s">
        <v>511</v>
      </c>
      <c r="B116" s="178">
        <v>0.10143736721978436</v>
      </c>
      <c r="D116" s="172">
        <f>VLOOKUP(A116,Employees!$A$12:$H$212,7,FALSE)*(1+B116)</f>
        <v>79303.490439824469</v>
      </c>
    </row>
    <row r="117" spans="1:4">
      <c r="A117" s="172" t="s">
        <v>514</v>
      </c>
      <c r="B117" s="178">
        <v>0.18821465281743843</v>
      </c>
      <c r="D117" s="172">
        <f>VLOOKUP(A117,Employees!$A$12:$H$212,7,FALSE)*(1+B117)</f>
        <v>85551.455002855568</v>
      </c>
    </row>
    <row r="118" spans="1:4">
      <c r="A118" s="172" t="s">
        <v>609</v>
      </c>
      <c r="B118" s="178">
        <v>7.2657467041605986E-2</v>
      </c>
      <c r="D118" s="172">
        <f>VLOOKUP(A118,Employees!$A$12:$H$212,7,FALSE)*(1+B118)</f>
        <v>48269.586016872272</v>
      </c>
    </row>
    <row r="119" spans="1:4">
      <c r="A119" s="172" t="s">
        <v>673</v>
      </c>
      <c r="B119" s="178">
        <v>6.054158220239891E-3</v>
      </c>
      <c r="D119" s="172">
        <f>VLOOKUP(A119,Employees!$A$12:$H$212,7,FALSE)*(1+B119)</f>
        <v>45272.437119910792</v>
      </c>
    </row>
    <row r="120" spans="1:4">
      <c r="A120" s="172" t="s">
        <v>681</v>
      </c>
      <c r="B120" s="178">
        <v>0.13087121420048717</v>
      </c>
      <c r="D120" s="172">
        <f>VLOOKUP(A120,Employees!$A$12:$H$212,7,FALSE)*(1+B120)</f>
        <v>50889.204639021918</v>
      </c>
    </row>
    <row r="121" spans="1:4">
      <c r="A121" s="172" t="s">
        <v>689</v>
      </c>
      <c r="B121" s="178">
        <v>2.8459012219837911E-2</v>
      </c>
      <c r="D121" s="172">
        <f>VLOOKUP(A121,Employees!$A$12:$H$212,7,FALSE)*(1+B121)</f>
        <v>46280.655549892705</v>
      </c>
    </row>
    <row r="122" spans="1:4">
      <c r="A122" s="172" t="s">
        <v>697</v>
      </c>
      <c r="B122" s="178">
        <v>0.17883357109375705</v>
      </c>
      <c r="D122" s="172">
        <f>VLOOKUP(A122,Employees!$A$12:$H$212,7,FALSE)*(1+B122)</f>
        <v>53047.510699219063</v>
      </c>
    </row>
    <row r="123" spans="1:4">
      <c r="A123" s="172" t="s">
        <v>706</v>
      </c>
      <c r="B123" s="178">
        <v>0.16204964592534504</v>
      </c>
      <c r="D123" s="172">
        <f>VLOOKUP(A123,Employees!$A$12:$H$212,7,FALSE)*(1+B123)</f>
        <v>52292.234066640529</v>
      </c>
    </row>
    <row r="124" spans="1:4">
      <c r="A124" s="172" t="s">
        <v>714</v>
      </c>
      <c r="B124" s="178">
        <v>0.15950643739250037</v>
      </c>
      <c r="D124" s="172">
        <f>VLOOKUP(A124,Employees!$A$12:$H$212,7,FALSE)*(1+B124)</f>
        <v>52177.789682662515</v>
      </c>
    </row>
    <row r="125" spans="1:4">
      <c r="A125" s="172" t="s">
        <v>722</v>
      </c>
      <c r="B125" s="178">
        <v>9.3605071830937844E-2</v>
      </c>
      <c r="D125" s="172">
        <f>VLOOKUP(A125,Employees!$A$12:$H$212,7,FALSE)*(1+B125)</f>
        <v>49212.228232392205</v>
      </c>
    </row>
    <row r="126" spans="1:4">
      <c r="A126" s="172" t="s">
        <v>779</v>
      </c>
      <c r="B126" s="178">
        <v>0.14951004391648839</v>
      </c>
      <c r="D126" s="172">
        <f>VLOOKUP(A126,Employees!$A$12:$H$212,7,FALSE)*(1+B126)</f>
        <v>103455.90395248396</v>
      </c>
    </row>
    <row r="127" spans="1:4">
      <c r="A127" s="172" t="s">
        <v>789</v>
      </c>
      <c r="B127" s="178">
        <v>0.10863751404443742</v>
      </c>
      <c r="D127" s="172">
        <f>VLOOKUP(A127,Employees!$A$12:$H$212,7,FALSE)*(1+B127)</f>
        <v>105320.56383422155</v>
      </c>
    </row>
    <row r="128" spans="1:4">
      <c r="A128" s="172" t="s">
        <v>797</v>
      </c>
      <c r="B128" s="178">
        <v>0.1949314136426544</v>
      </c>
      <c r="D128" s="172">
        <f>VLOOKUP(A128,Employees!$A$12:$H$212,7,FALSE)*(1+B128)</f>
        <v>113518.48429605216</v>
      </c>
    </row>
    <row r="129" spans="1:4">
      <c r="A129" s="172" t="s">
        <v>805</v>
      </c>
      <c r="B129" s="178">
        <v>3.8718484555096036E-2</v>
      </c>
      <c r="D129" s="172">
        <f>VLOOKUP(A129,Employees!$A$12:$H$212,7,FALSE)*(1+B129)</f>
        <v>83097.478764407686</v>
      </c>
    </row>
    <row r="130" spans="1:4">
      <c r="A130" s="172" t="s">
        <v>813</v>
      </c>
      <c r="B130" s="178">
        <v>0.1180465290289288</v>
      </c>
      <c r="D130" s="172">
        <f>VLOOKUP(A130,Employees!$A$12:$H$212,7,FALSE)*(1+B130)</f>
        <v>106214.42025774824</v>
      </c>
    </row>
    <row r="131" spans="1:4">
      <c r="A131" s="172" t="s">
        <v>821</v>
      </c>
      <c r="B131" s="178">
        <v>4.7495332022506886E-3</v>
      </c>
      <c r="D131" s="172">
        <f>VLOOKUP(A131,Employees!$A$12:$H$212,7,FALSE)*(1+B131)</f>
        <v>80379.962656180054</v>
      </c>
    </row>
    <row r="132" spans="1:4">
      <c r="A132" s="172" t="s">
        <v>829</v>
      </c>
      <c r="B132" s="178">
        <v>5.1378990702328632E-2</v>
      </c>
      <c r="D132" s="172">
        <f>VLOOKUP(A132,Employees!$A$12:$H$212,7,FALSE)*(1+B132)</f>
        <v>99881.004116721218</v>
      </c>
    </row>
    <row r="133" spans="1:4">
      <c r="A133" s="172" t="s">
        <v>838</v>
      </c>
      <c r="B133" s="178">
        <v>0.1158302332221445</v>
      </c>
      <c r="D133" s="172">
        <f>VLOOKUP(A133,Employees!$A$12:$H$212,7,FALSE)*(1+B133)</f>
        <v>89266.418657771574</v>
      </c>
    </row>
    <row r="134" spans="1:4">
      <c r="A134" s="172" t="s">
        <v>846</v>
      </c>
      <c r="B134" s="178">
        <v>5.9797453431708988E-2</v>
      </c>
      <c r="D134" s="172">
        <f>VLOOKUP(A134,Employees!$A$12:$H$212,7,FALSE)*(1+B134)</f>
        <v>100680.75807601235</v>
      </c>
    </row>
    <row r="135" spans="1:4">
      <c r="A135" s="172" t="s">
        <v>854</v>
      </c>
      <c r="B135" s="178">
        <v>0.13410740074872537</v>
      </c>
      <c r="D135" s="172">
        <f>VLOOKUP(A135,Employees!$A$12:$H$212,7,FALSE)*(1+B135)</f>
        <v>90728.59205989803</v>
      </c>
    </row>
    <row r="136" spans="1:4">
      <c r="A136" s="172" t="s">
        <v>862</v>
      </c>
      <c r="B136" s="178">
        <v>0.11977725345931808</v>
      </c>
      <c r="D136" s="172">
        <f>VLOOKUP(A136,Employees!$A$12:$H$212,7,FALSE)*(1+B136)</f>
        <v>106378.83907863521</v>
      </c>
    </row>
    <row r="137" spans="1:4">
      <c r="A137" s="172" t="s">
        <v>870</v>
      </c>
      <c r="B137" s="178">
        <v>1.6255045789317711E-2</v>
      </c>
      <c r="D137" s="172">
        <f>VLOOKUP(A137,Employees!$A$12:$H$212,7,FALSE)*(1+B137)</f>
        <v>81300.403663145422</v>
      </c>
    </row>
    <row r="138" spans="1:4">
      <c r="A138" s="172" t="s">
        <v>878</v>
      </c>
      <c r="B138" s="178">
        <v>1.3249594488856075E-2</v>
      </c>
      <c r="D138" s="172">
        <f>VLOOKUP(A138,Employees!$A$12:$H$212,7,FALSE)*(1+B138)</f>
        <v>81059.967559108482</v>
      </c>
    </row>
    <row r="139" spans="1:4">
      <c r="A139" s="172" t="s">
        <v>892</v>
      </c>
      <c r="B139" s="178">
        <v>1.5190733427690261E-2</v>
      </c>
      <c r="D139" s="172">
        <f>VLOOKUP(A139,Employees!$A$12:$H$212,7,FALSE)*(1+B139)</f>
        <v>81215.25867421522</v>
      </c>
    </row>
    <row r="140" spans="1:4">
      <c r="A140" s="172" t="s">
        <v>900</v>
      </c>
      <c r="B140" s="178">
        <v>0.19258315826534106</v>
      </c>
      <c r="D140" s="172">
        <f>VLOOKUP(A140,Employees!$A$12:$H$212,7,FALSE)*(1+B140)</f>
        <v>116873.14951000342</v>
      </c>
    </row>
    <row r="141" spans="1:4">
      <c r="A141" s="172" t="s">
        <v>908</v>
      </c>
      <c r="B141" s="178">
        <v>4.954029530649038E-2</v>
      </c>
      <c r="D141" s="172">
        <f>VLOOKUP(A141,Employees!$A$12:$H$212,7,FALSE)*(1+B141)</f>
        <v>83963.223624519218</v>
      </c>
    </row>
    <row r="142" spans="1:4">
      <c r="A142" s="172" t="s">
        <v>916</v>
      </c>
      <c r="B142" s="178">
        <v>1.7925767719770926E-2</v>
      </c>
      <c r="D142" s="172">
        <f>VLOOKUP(A142,Employees!$A$12:$H$212,7,FALSE)*(1+B142)</f>
        <v>99756.725236537546</v>
      </c>
    </row>
    <row r="143" spans="1:4">
      <c r="A143" s="172" t="s">
        <v>932</v>
      </c>
      <c r="B143" s="178">
        <v>7.0126185792274143E-2</v>
      </c>
      <c r="D143" s="172">
        <f>VLOOKUP(A143,Employees!$A$12:$H$212,7,FALSE)*(1+B143)</f>
        <v>104872.36620764286</v>
      </c>
    </row>
    <row r="144" spans="1:4">
      <c r="A144" s="172" t="s">
        <v>493</v>
      </c>
      <c r="B144" s="178">
        <v>0.13406239210386009</v>
      </c>
      <c r="D144" s="172">
        <f>VLOOKUP(A144,Employees!$A$12:$H$212,7,FALSE)*(1+B144)</f>
        <v>96395.303328828115</v>
      </c>
    </row>
    <row r="145" spans="1:4">
      <c r="A145" s="172" t="s">
        <v>534</v>
      </c>
      <c r="B145" s="178">
        <v>1.4090974444883386E-2</v>
      </c>
      <c r="D145" s="172">
        <f>VLOOKUP(A145,Employees!$A$12:$H$212,7,FALSE)*(1+B145)</f>
        <v>81127.277955590675</v>
      </c>
    </row>
    <row r="146" spans="1:4">
      <c r="A146" s="172" t="s">
        <v>603</v>
      </c>
      <c r="B146" s="178">
        <v>9.5376971108519198E-2</v>
      </c>
      <c r="D146" s="172">
        <f>VLOOKUP(A146,Employees!$A$12:$H$212,7,FALSE)*(1+B146)</f>
        <v>61341.11038207708</v>
      </c>
    </row>
    <row r="147" spans="1:4">
      <c r="A147" s="172" t="s">
        <v>647</v>
      </c>
      <c r="B147" s="178">
        <v>2.0488744752985965E-2</v>
      </c>
      <c r="D147" s="172">
        <f>VLOOKUP(A147,Employees!$A$12:$H$212,7,FALSE)*(1+B147)</f>
        <v>45921.993513884372</v>
      </c>
    </row>
    <row r="148" spans="1:4">
      <c r="A148" s="172" t="s">
        <v>677</v>
      </c>
      <c r="B148" s="178">
        <v>3.7612641238995791E-2</v>
      </c>
      <c r="D148" s="172">
        <f>VLOOKUP(A148,Employees!$A$12:$H$212,7,FALSE)*(1+B148)</f>
        <v>35278.82980212586</v>
      </c>
    </row>
    <row r="149" spans="1:4">
      <c r="A149" s="172" t="s">
        <v>685</v>
      </c>
      <c r="B149" s="178">
        <v>6.3426278319275164E-2</v>
      </c>
      <c r="D149" s="172">
        <f>VLOOKUP(A149,Employees!$A$12:$H$212,7,FALSE)*(1+B149)</f>
        <v>36156.493462855353</v>
      </c>
    </row>
    <row r="150" spans="1:4">
      <c r="A150" s="172" t="s">
        <v>693</v>
      </c>
      <c r="B150" s="178">
        <v>8.3410587524272287E-2</v>
      </c>
      <c r="D150" s="172">
        <f>VLOOKUP(A150,Employees!$A$12:$H$212,7,FALSE)*(1+B150)</f>
        <v>36835.959975825259</v>
      </c>
    </row>
    <row r="151" spans="1:4">
      <c r="A151" s="172" t="s">
        <v>701</v>
      </c>
      <c r="B151" s="178">
        <v>5.2177701010088208E-2</v>
      </c>
      <c r="D151" s="172">
        <f>VLOOKUP(A151,Employees!$A$12:$H$212,7,FALSE)*(1+B151)</f>
        <v>35774.041834342999</v>
      </c>
    </row>
    <row r="152" spans="1:4">
      <c r="A152" s="172" t="s">
        <v>710</v>
      </c>
      <c r="B152" s="178">
        <v>3.9557955306096029E-2</v>
      </c>
      <c r="D152" s="172">
        <f>VLOOKUP(A152,Employees!$A$12:$H$212,7,FALSE)*(1+B152)</f>
        <v>35344.970480407268</v>
      </c>
    </row>
    <row r="153" spans="1:4">
      <c r="A153" s="172" t="s">
        <v>718</v>
      </c>
      <c r="B153" s="178">
        <v>0.13756231481058631</v>
      </c>
      <c r="D153" s="172">
        <f>VLOOKUP(A153,Employees!$A$12:$H$212,7,FALSE)*(1+B153)</f>
        <v>38677.118703559929</v>
      </c>
    </row>
    <row r="154" spans="1:4">
      <c r="A154" s="172" t="s">
        <v>726</v>
      </c>
      <c r="B154" s="178">
        <v>0.16381174089342848</v>
      </c>
      <c r="D154" s="172">
        <f>VLOOKUP(A154,Employees!$A$12:$H$212,7,FALSE)*(1+B154)</f>
        <v>39569.599190376568</v>
      </c>
    </row>
    <row r="155" spans="1:4">
      <c r="A155" s="172" t="s">
        <v>750</v>
      </c>
      <c r="B155" s="178">
        <v>9.048662580182007E-2</v>
      </c>
      <c r="D155" s="172">
        <f>VLOOKUP(A155,Employees!$A$12:$H$212,7,FALSE)*(1+B155)</f>
        <v>37076.545277261881</v>
      </c>
    </row>
    <row r="156" spans="1:4">
      <c r="A156" s="172" t="s">
        <v>759</v>
      </c>
      <c r="B156" s="178">
        <v>3.4091632396288318E-2</v>
      </c>
      <c r="D156" s="172">
        <f>VLOOKUP(A156,Employees!$A$12:$H$212,7,FALSE)*(1+B156)</f>
        <v>98238.705077647392</v>
      </c>
    </row>
    <row r="157" spans="1:4">
      <c r="A157" s="172" t="s">
        <v>785</v>
      </c>
      <c r="B157" s="178">
        <v>0.13053083936912505</v>
      </c>
      <c r="D157" s="172">
        <f>VLOOKUP(A157,Employees!$A$12:$H$212,7,FALSE)*(1+B157)</f>
        <v>110792.02225817426</v>
      </c>
    </row>
    <row r="158" spans="1:4">
      <c r="A158" s="172" t="s">
        <v>793</v>
      </c>
      <c r="B158" s="178">
        <v>2.4514582848068754E-2</v>
      </c>
      <c r="D158" s="172">
        <f>VLOOKUP(A158,Employees!$A$12:$H$212,7,FALSE)*(1+B158)</f>
        <v>73765.049965060956</v>
      </c>
    </row>
    <row r="159" spans="1:4">
      <c r="A159" s="172" t="s">
        <v>801</v>
      </c>
      <c r="B159" s="178">
        <v>0.11490850625129009</v>
      </c>
      <c r="D159" s="172">
        <f>VLOOKUP(A159,Employees!$A$12:$H$212,7,FALSE)*(1+B159)</f>
        <v>86962.863487600625</v>
      </c>
    </row>
    <row r="160" spans="1:4">
      <c r="A160" s="172" t="s">
        <v>809</v>
      </c>
      <c r="B160" s="178">
        <v>7.0998883035204935E-2</v>
      </c>
      <c r="D160" s="172">
        <f>VLOOKUP(A160,Employees!$A$12:$H$212,7,FALSE)*(1+B160)</f>
        <v>77111.919578534755</v>
      </c>
    </row>
    <row r="161" spans="1:4">
      <c r="A161" s="172" t="s">
        <v>817</v>
      </c>
      <c r="B161" s="178">
        <v>0.19698036825592974</v>
      </c>
      <c r="D161" s="172">
        <f>VLOOKUP(A161,Employees!$A$12:$H$212,7,FALSE)*(1+B161)</f>
        <v>93364.46872396252</v>
      </c>
    </row>
    <row r="162" spans="1:4">
      <c r="A162" s="172" t="s">
        <v>825</v>
      </c>
      <c r="B162" s="178">
        <v>3.7532421696730635E-2</v>
      </c>
      <c r="D162" s="172">
        <f>VLOOKUP(A162,Employees!$A$12:$H$212,7,FALSE)*(1+B162)</f>
        <v>74702.334362164605</v>
      </c>
    </row>
    <row r="163" spans="1:4">
      <c r="A163" s="172" t="s">
        <v>833</v>
      </c>
      <c r="B163" s="178">
        <v>0.18551139453973214</v>
      </c>
      <c r="D163" s="172">
        <f>VLOOKUP(A163,Employees!$A$12:$H$212,7,FALSE)*(1+B163)</f>
        <v>92469.888774099105</v>
      </c>
    </row>
    <row r="164" spans="1:4">
      <c r="A164" s="172" t="s">
        <v>842</v>
      </c>
      <c r="B164" s="178">
        <v>0.16237867039888729</v>
      </c>
      <c r="D164" s="172">
        <f>VLOOKUP(A164,Employees!$A$12:$H$212,7,FALSE)*(1+B164)</f>
        <v>83691.264268719882</v>
      </c>
    </row>
    <row r="165" spans="1:4">
      <c r="A165" s="172" t="s">
        <v>850</v>
      </c>
      <c r="B165" s="178">
        <v>4.5235007142730058E-2</v>
      </c>
      <c r="D165" s="172">
        <f>VLOOKUP(A165,Employees!$A$12:$H$212,7,FALSE)*(1+B165)</f>
        <v>81528.330557132955</v>
      </c>
    </row>
    <row r="166" spans="1:4">
      <c r="A166" s="172" t="s">
        <v>858</v>
      </c>
      <c r="B166" s="178">
        <v>7.0384132108010714E-2</v>
      </c>
      <c r="D166" s="172">
        <f>VLOOKUP(A166,Employees!$A$12:$H$212,7,FALSE)*(1+B166)</f>
        <v>77067.657511776779</v>
      </c>
    </row>
    <row r="167" spans="1:4">
      <c r="A167" s="172" t="s">
        <v>866</v>
      </c>
      <c r="B167" s="178">
        <v>2.3414087059002497E-2</v>
      </c>
      <c r="D167" s="172">
        <f>VLOOKUP(A167,Employees!$A$12:$H$212,7,FALSE)*(1+B167)</f>
        <v>79826.298790602188</v>
      </c>
    </row>
    <row r="168" spans="1:4">
      <c r="A168" s="172" t="s">
        <v>874</v>
      </c>
      <c r="B168" s="178">
        <v>3.7037728568934905E-2</v>
      </c>
      <c r="D168" s="172">
        <f>VLOOKUP(A168,Employees!$A$12:$H$212,7,FALSE)*(1+B168)</f>
        <v>88148.206928359476</v>
      </c>
    </row>
    <row r="169" spans="1:4">
      <c r="A169" s="172" t="s">
        <v>882</v>
      </c>
      <c r="B169" s="178">
        <v>6.8391454119904799E-2</v>
      </c>
      <c r="D169" s="172">
        <f>VLOOKUP(A169,Employees!$A$12:$H$212,7,FALSE)*(1+B169)</f>
        <v>96155.230870791434</v>
      </c>
    </row>
    <row r="170" spans="1:4">
      <c r="A170" s="172" t="s">
        <v>888</v>
      </c>
      <c r="B170" s="178">
        <v>9.0173833519483049E-2</v>
      </c>
      <c r="D170" s="172">
        <f>VLOOKUP(A170,Employees!$A$12:$H$212,7,FALSE)*(1+B170)</f>
        <v>103566.51418435089</v>
      </c>
    </row>
    <row r="171" spans="1:4">
      <c r="A171" s="172" t="s">
        <v>896</v>
      </c>
      <c r="B171" s="178">
        <v>0.19470058804207002</v>
      </c>
      <c r="D171" s="172">
        <f>VLOOKUP(A171,Employees!$A$12:$H$212,7,FALSE)*(1+B171)</f>
        <v>107523.05292378631</v>
      </c>
    </row>
    <row r="172" spans="1:4">
      <c r="A172" s="172" t="s">
        <v>904</v>
      </c>
      <c r="B172" s="178">
        <v>8.9579957169593522E-2</v>
      </c>
      <c r="D172" s="172">
        <f>VLOOKUP(A172,Employees!$A$12:$H$212,7,FALSE)*(1+B172)</f>
        <v>103510.09593111138</v>
      </c>
    </row>
    <row r="173" spans="1:4">
      <c r="A173" s="172" t="s">
        <v>920</v>
      </c>
      <c r="B173" s="178">
        <v>0.17516723627569153</v>
      </c>
      <c r="D173" s="172">
        <f>VLOOKUP(A173,Employees!$A$12:$H$212,7,FALSE)*(1+B173)</f>
        <v>111640.8874461907</v>
      </c>
    </row>
    <row r="174" spans="1:4">
      <c r="A174" s="172" t="s">
        <v>928</v>
      </c>
      <c r="B174" s="178">
        <v>6.6705779224340483E-2</v>
      </c>
      <c r="D174" s="172">
        <f>VLOOKUP(A174,Employees!$A$12:$H$212,7,FALSE)*(1+B174)</f>
        <v>96003.520130190635</v>
      </c>
    </row>
    <row r="175" spans="1:4">
      <c r="A175" s="172" t="s">
        <v>936</v>
      </c>
      <c r="B175" s="178">
        <v>5.906985064180326E-3</v>
      </c>
      <c r="D175" s="172">
        <f>VLOOKUP(A175,Employees!$A$12:$H$212,7,FALSE)*(1+B175)</f>
        <v>95561.163581097135</v>
      </c>
    </row>
    <row r="176" spans="1:4">
      <c r="A176" s="172" t="s">
        <v>452</v>
      </c>
      <c r="B176" s="178">
        <v>2.0398764922691194E-2</v>
      </c>
      <c r="D176" s="172">
        <f>VLOOKUP(A176,Employees!$A$12:$H$212,7,FALSE)*(1+B176)</f>
        <v>91835.888843042194</v>
      </c>
    </row>
    <row r="177" spans="1:4">
      <c r="A177" s="172" t="s">
        <v>559</v>
      </c>
      <c r="B177" s="178">
        <v>3.3318909948086881E-2</v>
      </c>
      <c r="D177" s="172">
        <f>VLOOKUP(A177,Employees!$A$12:$H$212,7,FALSE)*(1+B177)</f>
        <v>46499.350947663908</v>
      </c>
    </row>
    <row r="178" spans="1:4">
      <c r="A178" s="172" t="s">
        <v>683</v>
      </c>
      <c r="B178" s="178">
        <v>4.931631953631932E-2</v>
      </c>
      <c r="D178" s="172">
        <f>VLOOKUP(A178,Employees!$A$12:$H$212,7,FALSE)*(1+B178)</f>
        <v>33578.122225162217</v>
      </c>
    </row>
    <row r="179" spans="1:4">
      <c r="A179" s="172" t="s">
        <v>691</v>
      </c>
      <c r="B179" s="178">
        <v>0.17509177120626701</v>
      </c>
      <c r="D179" s="172">
        <f>VLOOKUP(A179,Employees!$A$12:$H$212,7,FALSE)*(1+B179)</f>
        <v>37602.936678600541</v>
      </c>
    </row>
    <row r="180" spans="1:4">
      <c r="A180" s="172" t="s">
        <v>699</v>
      </c>
      <c r="B180" s="178">
        <v>0.11545747547892375</v>
      </c>
      <c r="D180" s="172">
        <f>VLOOKUP(A180,Employees!$A$12:$H$212,7,FALSE)*(1+B180)</f>
        <v>35694.639215325558</v>
      </c>
    </row>
    <row r="181" spans="1:4">
      <c r="A181" s="172" t="s">
        <v>708</v>
      </c>
      <c r="B181" s="178">
        <v>6.6087538581756755E-2</v>
      </c>
      <c r="D181" s="172">
        <f>VLOOKUP(A181,Employees!$A$12:$H$212,7,FALSE)*(1+B181)</f>
        <v>34114.801234616214</v>
      </c>
    </row>
    <row r="182" spans="1:4">
      <c r="A182" s="172" t="s">
        <v>716</v>
      </c>
      <c r="B182" s="178">
        <v>0.15987782803073064</v>
      </c>
      <c r="D182" s="172">
        <f>VLOOKUP(A182,Employees!$A$12:$H$212,7,FALSE)*(1+B182)</f>
        <v>37116.090496983379</v>
      </c>
    </row>
    <row r="183" spans="1:4">
      <c r="A183" s="172" t="s">
        <v>724</v>
      </c>
      <c r="B183" s="178">
        <v>9.2316425860170886E-2</v>
      </c>
      <c r="D183" s="172">
        <f>VLOOKUP(A183,Employees!$A$12:$H$212,7,FALSE)*(1+B183)</f>
        <v>34954.125627525471</v>
      </c>
    </row>
    <row r="184" spans="1:4">
      <c r="A184" s="172" t="s">
        <v>740</v>
      </c>
      <c r="B184" s="178">
        <v>2.6089402563813601E-2</v>
      </c>
      <c r="D184" s="172">
        <f>VLOOKUP(A184,Employees!$A$12:$H$212,7,FALSE)*(1+B184)</f>
        <v>32834.860882042034</v>
      </c>
    </row>
    <row r="185" spans="1:4">
      <c r="A185" s="172" t="s">
        <v>781</v>
      </c>
      <c r="B185" s="178">
        <v>0.1932555046955608</v>
      </c>
      <c r="D185" s="172">
        <f>VLOOKUP(A185,Employees!$A$12:$H$212,7,FALSE)*(1+B185)</f>
        <v>93073.929366253753</v>
      </c>
    </row>
    <row r="186" spans="1:4">
      <c r="A186" s="172" t="s">
        <v>783</v>
      </c>
      <c r="B186" s="178">
        <v>4.0018675983748864E-2</v>
      </c>
      <c r="D186" s="172">
        <f>VLOOKUP(A186,Employees!$A$12:$H$212,7,FALSE)*(1+B186)</f>
        <v>67601.213938943678</v>
      </c>
    </row>
    <row r="187" spans="1:4">
      <c r="A187" s="172" t="s">
        <v>791</v>
      </c>
      <c r="B187" s="178">
        <v>5.3903607571885101E-2</v>
      </c>
      <c r="D187" s="172">
        <f>VLOOKUP(A187,Employees!$A$12:$H$212,7,FALSE)*(1+B187)</f>
        <v>89581.806643610224</v>
      </c>
    </row>
    <row r="188" spans="1:4">
      <c r="A188" s="172" t="s">
        <v>799</v>
      </c>
      <c r="B188" s="178">
        <v>2.8780114994224171E-2</v>
      </c>
      <c r="D188" s="172">
        <f>VLOOKUP(A188,Employees!$A$12:$H$212,7,FALSE)*(1+B188)</f>
        <v>92590.21034948017</v>
      </c>
    </row>
    <row r="189" spans="1:4">
      <c r="A189" s="172" t="s">
        <v>807</v>
      </c>
      <c r="B189" s="178">
        <v>0.18828955553284038</v>
      </c>
      <c r="D189" s="172">
        <f>VLOOKUP(A189,Employees!$A$12:$H$212,7,FALSE)*(1+B189)</f>
        <v>112887.50777561983</v>
      </c>
    </row>
    <row r="190" spans="1:4">
      <c r="A190" s="172" t="s">
        <v>815</v>
      </c>
      <c r="B190" s="178">
        <v>4.6540404867878138E-2</v>
      </c>
      <c r="D190" s="172">
        <f>VLOOKUP(A190,Employees!$A$12:$H$212,7,FALSE)*(1+B190)</f>
        <v>94188.636438109039</v>
      </c>
    </row>
    <row r="191" spans="1:4">
      <c r="A191" s="172" t="s">
        <v>823</v>
      </c>
      <c r="B191" s="178">
        <v>0.16425538061561107</v>
      </c>
      <c r="D191" s="172">
        <f>VLOOKUP(A191,Employees!$A$12:$H$212,7,FALSE)*(1+B191)</f>
        <v>110604.26115848304</v>
      </c>
    </row>
    <row r="192" spans="1:4">
      <c r="A192" s="172" t="s">
        <v>831</v>
      </c>
      <c r="B192" s="178">
        <v>9.6381502927412127E-2</v>
      </c>
      <c r="D192" s="172">
        <f>VLOOKUP(A192,Employees!$A$12:$H$212,7,FALSE)*(1+B192)</f>
        <v>98674.335263467103</v>
      </c>
    </row>
    <row r="193" spans="1:4">
      <c r="A193" s="172" t="s">
        <v>840</v>
      </c>
      <c r="B193" s="178">
        <v>0.12329984147491935</v>
      </c>
      <c r="D193" s="172">
        <f>VLOOKUP(A193,Employees!$A$12:$H$212,7,FALSE)*(1+B193)</f>
        <v>106713.48494011734</v>
      </c>
    </row>
    <row r="194" spans="1:4">
      <c r="A194" s="172" t="s">
        <v>848</v>
      </c>
      <c r="B194" s="178">
        <v>9.5657738973802434E-2</v>
      </c>
      <c r="D194" s="172">
        <f>VLOOKUP(A194,Employees!$A$12:$H$212,7,FALSE)*(1+B194)</f>
        <v>98609.19650764222</v>
      </c>
    </row>
    <row r="195" spans="1:4">
      <c r="A195" s="172" t="s">
        <v>856</v>
      </c>
      <c r="B195" s="178">
        <v>0.1939801129496353</v>
      </c>
      <c r="D195" s="172">
        <f>VLOOKUP(A195,Employees!$A$12:$H$212,7,FALSE)*(1+B195)</f>
        <v>113428.11073021535</v>
      </c>
    </row>
    <row r="196" spans="1:4">
      <c r="A196" s="172" t="s">
        <v>864</v>
      </c>
      <c r="B196" s="178">
        <v>0.15288841516929175</v>
      </c>
      <c r="D196" s="172">
        <f>VLOOKUP(A196,Employees!$A$12:$H$212,7,FALSE)*(1+B196)</f>
        <v>103759.95736523626</v>
      </c>
    </row>
    <row r="197" spans="1:4">
      <c r="A197" s="172" t="s">
        <v>872</v>
      </c>
      <c r="B197" s="178">
        <v>8.3640855815541398E-2</v>
      </c>
      <c r="D197" s="172">
        <f>VLOOKUP(A197,Employees!$A$12:$H$212,7,FALSE)*(1+B197)</f>
        <v>102945.88130247644</v>
      </c>
    </row>
    <row r="198" spans="1:4">
      <c r="A198" s="172" t="s">
        <v>880</v>
      </c>
      <c r="B198" s="178">
        <v>0.10698163942670505</v>
      </c>
      <c r="D198" s="172">
        <f>VLOOKUP(A198,Employees!$A$12:$H$212,7,FALSE)*(1+B198)</f>
        <v>105163.25574553698</v>
      </c>
    </row>
    <row r="199" spans="1:4">
      <c r="A199" s="172" t="s">
        <v>886</v>
      </c>
      <c r="B199" s="178">
        <v>3.6284480609074521E-3</v>
      </c>
      <c r="D199" s="172">
        <f>VLOOKUP(A199,Employees!$A$12:$H$212,7,FALSE)*(1+B199)</f>
        <v>80290.275844872594</v>
      </c>
    </row>
    <row r="200" spans="1:4">
      <c r="A200" s="172" t="s">
        <v>894</v>
      </c>
      <c r="B200" s="178">
        <v>9.8784941015913216E-2</v>
      </c>
      <c r="D200" s="172">
        <f>VLOOKUP(A200,Employees!$A$12:$H$212,7,FALSE)*(1+B200)</f>
        <v>104384.56939651175</v>
      </c>
    </row>
    <row r="201" spans="1:4">
      <c r="A201" s="172" t="s">
        <v>910</v>
      </c>
      <c r="B201" s="178">
        <v>0.16370342467012283</v>
      </c>
      <c r="D201" s="172">
        <f>VLOOKUP(A201,Employees!$A$12:$H$212,7,FALSE)*(1+B201)</f>
        <v>110551.82534366167</v>
      </c>
    </row>
    <row r="202" spans="1:4">
      <c r="A202" s="172" t="s">
        <v>918</v>
      </c>
      <c r="B202" s="178">
        <v>3.4943038289647933E-2</v>
      </c>
      <c r="D202" s="172">
        <f>VLOOKUP(A202,Employees!$A$12:$H$212,7,FALSE)*(1+B202)</f>
        <v>82795.443063171828</v>
      </c>
    </row>
    <row r="203" spans="1:4">
      <c r="A203" s="172" t="s">
        <v>926</v>
      </c>
      <c r="B203" s="178">
        <v>1.1118836310050728E-2</v>
      </c>
      <c r="D203" s="172">
        <f>VLOOKUP(A203,Employees!$A$12:$H$212,7,FALSE)*(1+B203)</f>
        <v>96056.289449454824</v>
      </c>
    </row>
    <row r="204" spans="1:4">
      <c r="A204" s="172" t="s">
        <v>934</v>
      </c>
      <c r="B204" s="178">
        <v>0.19317906310348851</v>
      </c>
      <c r="D204" s="172">
        <f>VLOOKUP(A204,Employees!$A$12:$H$212,7,FALSE)*(1+B204)</f>
        <v>95454.325048279075</v>
      </c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8"/>
  <dimension ref="B5:T54"/>
  <sheetViews>
    <sheetView topLeftCell="A22" zoomScale="160" zoomScaleNormal="93" workbookViewId="0">
      <selection activeCell="D36" sqref="D36"/>
    </sheetView>
  </sheetViews>
  <sheetFormatPr defaultRowHeight="15"/>
  <cols>
    <col min="2" max="2" width="23.28515625" bestFit="1" customWidth="1"/>
    <col min="3" max="3" width="11.140625" bestFit="1" customWidth="1"/>
    <col min="4" max="4" width="15.140625" customWidth="1"/>
  </cols>
  <sheetData>
    <row r="5" spans="2:4">
      <c r="B5" s="221" t="s">
        <v>381</v>
      </c>
      <c r="C5" s="221" t="s">
        <v>76</v>
      </c>
      <c r="D5" t="s">
        <v>3883</v>
      </c>
    </row>
    <row r="6" spans="2:4">
      <c r="B6" s="106">
        <v>2014</v>
      </c>
      <c r="C6" s="222">
        <v>100000</v>
      </c>
      <c r="D6" s="188">
        <v>0.1</v>
      </c>
    </row>
    <row r="7" spans="2:4">
      <c r="B7" s="106">
        <v>2015</v>
      </c>
      <c r="C7" s="222">
        <v>120000</v>
      </c>
      <c r="D7" s="188">
        <v>0.15</v>
      </c>
    </row>
    <row r="8" spans="2:4">
      <c r="B8" s="106">
        <v>2016</v>
      </c>
      <c r="C8" s="222">
        <v>140000</v>
      </c>
      <c r="D8" s="188">
        <v>0.2</v>
      </c>
    </row>
    <row r="9" spans="2:4">
      <c r="B9" s="106">
        <v>2017</v>
      </c>
      <c r="C9" s="222">
        <v>160000</v>
      </c>
      <c r="D9" s="188">
        <v>0.4</v>
      </c>
    </row>
    <row r="10" spans="2:4">
      <c r="B10" s="106">
        <v>2018</v>
      </c>
      <c r="C10" s="222">
        <v>150000</v>
      </c>
      <c r="D10" s="188">
        <v>0.25</v>
      </c>
    </row>
    <row r="17" spans="2:20">
      <c r="L17" t="s">
        <v>3936</v>
      </c>
    </row>
    <row r="27" spans="2:20" ht="30">
      <c r="B27" s="223" t="s">
        <v>954</v>
      </c>
      <c r="C27" s="223" t="s">
        <v>955</v>
      </c>
    </row>
    <row r="28" spans="2:20">
      <c r="B28" s="18" t="s">
        <v>956</v>
      </c>
      <c r="C28" s="33">
        <v>0.5</v>
      </c>
    </row>
    <row r="29" spans="2:20">
      <c r="B29" s="18" t="s">
        <v>143</v>
      </c>
      <c r="C29" s="33">
        <v>0.68</v>
      </c>
      <c r="T29" s="188"/>
    </row>
    <row r="30" spans="2:20">
      <c r="B30" s="18" t="s">
        <v>958</v>
      </c>
      <c r="C30" s="33">
        <v>0.7</v>
      </c>
      <c r="T30" s="188"/>
    </row>
    <row r="31" spans="2:20">
      <c r="B31" s="18" t="s">
        <v>460</v>
      </c>
      <c r="C31" s="33">
        <v>0.8</v>
      </c>
      <c r="T31" s="188"/>
    </row>
    <row r="32" spans="2:20">
      <c r="B32" s="18" t="s">
        <v>76</v>
      </c>
      <c r="C32" s="33">
        <v>0.9</v>
      </c>
      <c r="T32" s="188"/>
    </row>
    <row r="33" spans="2:20">
      <c r="B33" s="18" t="s">
        <v>957</v>
      </c>
      <c r="C33" s="33">
        <v>0.92</v>
      </c>
      <c r="T33" s="188"/>
    </row>
    <row r="34" spans="2:20">
      <c r="T34" s="188"/>
    </row>
    <row r="39" spans="2:20">
      <c r="C39" s="188"/>
    </row>
    <row r="40" spans="2:20">
      <c r="C40" s="188"/>
    </row>
    <row r="41" spans="2:20">
      <c r="C41" s="188"/>
    </row>
    <row r="42" spans="2:20">
      <c r="C42" s="188"/>
    </row>
    <row r="43" spans="2:20">
      <c r="C43" s="188"/>
    </row>
    <row r="44" spans="2:20">
      <c r="C44" s="188"/>
    </row>
    <row r="48" spans="2:20">
      <c r="B48" t="s">
        <v>954</v>
      </c>
      <c r="C48" t="s">
        <v>955</v>
      </c>
    </row>
    <row r="49" spans="2:3">
      <c r="B49" t="s">
        <v>957</v>
      </c>
      <c r="C49" s="188">
        <v>0.92</v>
      </c>
    </row>
    <row r="50" spans="2:3">
      <c r="B50" t="s">
        <v>76</v>
      </c>
      <c r="C50" s="188">
        <v>0.9</v>
      </c>
    </row>
    <row r="51" spans="2:3">
      <c r="B51" t="s">
        <v>460</v>
      </c>
      <c r="C51" s="188">
        <v>0.8</v>
      </c>
    </row>
    <row r="52" spans="2:3">
      <c r="B52" t="s">
        <v>958</v>
      </c>
      <c r="C52" s="188">
        <v>0.7</v>
      </c>
    </row>
    <row r="53" spans="2:3">
      <c r="B53" t="s">
        <v>143</v>
      </c>
      <c r="C53" s="188">
        <v>0.65</v>
      </c>
    </row>
    <row r="54" spans="2:3">
      <c r="B54" t="s">
        <v>956</v>
      </c>
      <c r="C54" s="188">
        <v>0.5</v>
      </c>
    </row>
  </sheetData>
  <sortState xmlns:xlrd2="http://schemas.microsoft.com/office/spreadsheetml/2017/richdata2" ref="B28:C33">
    <sortCondition ref="C28:C33"/>
  </sortState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2">
    <tabColor rgb="FFFF0000"/>
  </sheetPr>
  <dimension ref="B2:I169"/>
  <sheetViews>
    <sheetView zoomScale="134" zoomScaleNormal="160" workbookViewId="0">
      <selection activeCell="G2" sqref="G2"/>
    </sheetView>
  </sheetViews>
  <sheetFormatPr defaultRowHeight="15"/>
  <cols>
    <col min="1" max="1" width="4" customWidth="1"/>
    <col min="2" max="2" width="9.7109375" customWidth="1"/>
    <col min="3" max="3" width="15.7109375" customWidth="1"/>
    <col min="4" max="4" width="10.7109375" customWidth="1"/>
    <col min="5" max="5" width="13.7109375" customWidth="1"/>
    <col min="6" max="6" width="11.28515625" customWidth="1"/>
    <col min="9" max="9" width="10.42578125" bestFit="1" customWidth="1"/>
  </cols>
  <sheetData>
    <row r="2" spans="2:9">
      <c r="B2" s="191" t="s">
        <v>946</v>
      </c>
      <c r="E2" t="s">
        <v>951</v>
      </c>
      <c r="F2">
        <f>MAX(E6:E169)</f>
        <v>15737</v>
      </c>
      <c r="G2">
        <f>MAX(E8:E169)</f>
        <v>15737</v>
      </c>
    </row>
    <row r="3" spans="2:9" ht="24.75" customHeight="1">
      <c r="B3" s="680" t="s">
        <v>947</v>
      </c>
      <c r="C3" s="681"/>
      <c r="D3" s="681"/>
      <c r="E3" t="s">
        <v>952</v>
      </c>
      <c r="F3">
        <f>MIN(E6:E169)</f>
        <v>5543</v>
      </c>
      <c r="G3">
        <f>MIN(E8:E169)</f>
        <v>5543</v>
      </c>
      <c r="I3" s="199"/>
    </row>
    <row r="4" spans="2:9" ht="22.15" customHeight="1">
      <c r="B4" s="198"/>
      <c r="C4" s="198"/>
    </row>
    <row r="5" spans="2:9">
      <c r="B5" s="192" t="s">
        <v>359</v>
      </c>
      <c r="C5" s="193" t="s">
        <v>948</v>
      </c>
      <c r="D5" t="s">
        <v>4033</v>
      </c>
      <c r="E5" t="s">
        <v>950</v>
      </c>
      <c r="F5" t="s">
        <v>60</v>
      </c>
      <c r="I5" s="556"/>
    </row>
    <row r="6" spans="2:9" hidden="1">
      <c r="B6" s="194">
        <v>41456</v>
      </c>
      <c r="C6" s="195">
        <v>475</v>
      </c>
      <c r="D6" s="572">
        <f>MONTH(B6)</f>
        <v>7</v>
      </c>
      <c r="E6">
        <f>SUMIF($D$6:$D$169,$D6,$C$6:$C$169)</f>
        <v>15737</v>
      </c>
      <c r="F6">
        <f>IF(E6=$F$2,C6,NA())</f>
        <v>475</v>
      </c>
    </row>
    <row r="7" spans="2:9" hidden="1">
      <c r="B7" s="196">
        <v>41457</v>
      </c>
      <c r="C7" s="197">
        <v>509</v>
      </c>
      <c r="D7" s="571">
        <f t="shared" ref="D7:D70" si="0">MONTH(B7)</f>
        <v>7</v>
      </c>
      <c r="E7">
        <f t="shared" ref="E7:E70" si="1">SUMIF($D$6:$D$169,$D7,$C$6:$C$169)</f>
        <v>15737</v>
      </c>
      <c r="F7">
        <f t="shared" ref="F7:F70" si="2">IF(E7=$F$2,C7,NA())</f>
        <v>509</v>
      </c>
    </row>
    <row r="8" spans="2:9">
      <c r="B8" s="194">
        <v>41458</v>
      </c>
      <c r="C8" s="195">
        <v>479</v>
      </c>
      <c r="D8" s="199">
        <f t="shared" si="0"/>
        <v>7</v>
      </c>
      <c r="E8">
        <f t="shared" si="1"/>
        <v>15737</v>
      </c>
      <c r="F8">
        <f>IF(E8=$F$2,C8,NA())</f>
        <v>479</v>
      </c>
    </row>
    <row r="9" spans="2:9">
      <c r="B9" s="196">
        <v>41459</v>
      </c>
      <c r="C9" s="197">
        <v>473</v>
      </c>
      <c r="D9" s="199">
        <f t="shared" si="0"/>
        <v>7</v>
      </c>
      <c r="E9">
        <f t="shared" si="1"/>
        <v>15737</v>
      </c>
      <c r="F9">
        <f>IF(E9=$F$2,C9,NA())</f>
        <v>473</v>
      </c>
    </row>
    <row r="10" spans="2:9">
      <c r="B10" s="194">
        <v>41460</v>
      </c>
      <c r="C10" s="195">
        <v>528</v>
      </c>
      <c r="D10" s="202">
        <f t="shared" si="0"/>
        <v>7</v>
      </c>
      <c r="E10">
        <f t="shared" si="1"/>
        <v>15737</v>
      </c>
      <c r="F10">
        <f>IF(E10=$F$2,C10,NA())</f>
        <v>528</v>
      </c>
    </row>
    <row r="11" spans="2:9">
      <c r="B11" s="196">
        <v>41461</v>
      </c>
      <c r="C11" s="197">
        <v>520</v>
      </c>
      <c r="D11" s="199">
        <f t="shared" si="0"/>
        <v>7</v>
      </c>
      <c r="E11">
        <f t="shared" si="1"/>
        <v>15737</v>
      </c>
      <c r="F11">
        <f t="shared" si="2"/>
        <v>520</v>
      </c>
    </row>
    <row r="12" spans="2:9">
      <c r="B12" s="194">
        <v>41462</v>
      </c>
      <c r="C12" s="195">
        <v>500</v>
      </c>
      <c r="D12" s="199">
        <f t="shared" si="0"/>
        <v>7</v>
      </c>
      <c r="E12">
        <f t="shared" si="1"/>
        <v>15737</v>
      </c>
      <c r="F12">
        <f t="shared" si="2"/>
        <v>500</v>
      </c>
    </row>
    <row r="13" spans="2:9">
      <c r="B13" s="196">
        <v>41463</v>
      </c>
      <c r="C13" s="197">
        <v>534</v>
      </c>
      <c r="D13" s="202">
        <f t="shared" si="0"/>
        <v>7</v>
      </c>
      <c r="E13">
        <f t="shared" si="1"/>
        <v>15737</v>
      </c>
      <c r="F13">
        <f>IF(E13=$F$2,C13,NA())</f>
        <v>534</v>
      </c>
    </row>
    <row r="14" spans="2:9">
      <c r="B14" s="194">
        <v>41464</v>
      </c>
      <c r="C14" s="195">
        <v>488</v>
      </c>
      <c r="D14" s="199">
        <f t="shared" si="0"/>
        <v>7</v>
      </c>
      <c r="E14">
        <f t="shared" si="1"/>
        <v>15737</v>
      </c>
      <c r="F14">
        <f>IF(E14=$F$2,C14,NA())</f>
        <v>488</v>
      </c>
    </row>
    <row r="15" spans="2:9">
      <c r="B15" s="196">
        <v>41465</v>
      </c>
      <c r="C15" s="197">
        <v>489</v>
      </c>
      <c r="D15" s="199">
        <f t="shared" si="0"/>
        <v>7</v>
      </c>
      <c r="E15">
        <f t="shared" si="1"/>
        <v>15737</v>
      </c>
      <c r="F15">
        <f>IF(E15=$F$2,C15,NA())</f>
        <v>489</v>
      </c>
    </row>
    <row r="16" spans="2:9">
      <c r="B16" s="194">
        <v>41466</v>
      </c>
      <c r="C16" s="195">
        <v>490</v>
      </c>
      <c r="D16" s="199">
        <f t="shared" si="0"/>
        <v>7</v>
      </c>
      <c r="E16">
        <f t="shared" si="1"/>
        <v>15737</v>
      </c>
      <c r="F16">
        <f>IF(E16=$F$2,C16,NA())</f>
        <v>490</v>
      </c>
    </row>
    <row r="17" spans="2:6">
      <c r="B17" s="196">
        <v>41467</v>
      </c>
      <c r="C17" s="197">
        <v>511</v>
      </c>
      <c r="D17" s="199">
        <f t="shared" si="0"/>
        <v>7</v>
      </c>
      <c r="E17">
        <f t="shared" si="1"/>
        <v>15737</v>
      </c>
      <c r="F17">
        <f t="shared" si="2"/>
        <v>511</v>
      </c>
    </row>
    <row r="18" spans="2:6">
      <c r="B18" s="194">
        <v>41468</v>
      </c>
      <c r="C18" s="195">
        <v>521</v>
      </c>
      <c r="D18" s="199">
        <f t="shared" si="0"/>
        <v>7</v>
      </c>
      <c r="E18">
        <f t="shared" si="1"/>
        <v>15737</v>
      </c>
      <c r="F18">
        <f t="shared" si="2"/>
        <v>521</v>
      </c>
    </row>
    <row r="19" spans="2:6">
      <c r="B19" s="196">
        <v>41469</v>
      </c>
      <c r="C19" s="197">
        <v>513</v>
      </c>
      <c r="D19" s="199">
        <f t="shared" si="0"/>
        <v>7</v>
      </c>
      <c r="E19">
        <f t="shared" si="1"/>
        <v>15737</v>
      </c>
      <c r="F19">
        <f t="shared" si="2"/>
        <v>513</v>
      </c>
    </row>
    <row r="20" spans="2:6">
      <c r="B20" s="194">
        <v>41470</v>
      </c>
      <c r="C20" s="195">
        <v>508</v>
      </c>
      <c r="D20" s="199">
        <f t="shared" si="0"/>
        <v>7</v>
      </c>
      <c r="E20">
        <f t="shared" si="1"/>
        <v>15737</v>
      </c>
      <c r="F20">
        <f t="shared" si="2"/>
        <v>508</v>
      </c>
    </row>
    <row r="21" spans="2:6">
      <c r="B21" s="196">
        <v>41471</v>
      </c>
      <c r="C21" s="197">
        <v>527</v>
      </c>
      <c r="D21" s="199">
        <f t="shared" si="0"/>
        <v>7</v>
      </c>
      <c r="E21">
        <f t="shared" si="1"/>
        <v>15737</v>
      </c>
      <c r="F21">
        <f t="shared" si="2"/>
        <v>527</v>
      </c>
    </row>
    <row r="22" spans="2:6">
      <c r="B22" s="194">
        <v>41472</v>
      </c>
      <c r="C22" s="195">
        <v>565</v>
      </c>
      <c r="D22" s="199">
        <f t="shared" si="0"/>
        <v>7</v>
      </c>
      <c r="E22">
        <f t="shared" si="1"/>
        <v>15737</v>
      </c>
      <c r="F22">
        <f t="shared" si="2"/>
        <v>565</v>
      </c>
    </row>
    <row r="23" spans="2:6">
      <c r="B23" s="196">
        <v>41473</v>
      </c>
      <c r="C23" s="197">
        <v>492</v>
      </c>
      <c r="D23" s="199">
        <f t="shared" si="0"/>
        <v>7</v>
      </c>
      <c r="E23">
        <f t="shared" si="1"/>
        <v>15737</v>
      </c>
      <c r="F23">
        <f t="shared" si="2"/>
        <v>492</v>
      </c>
    </row>
    <row r="24" spans="2:6">
      <c r="B24" s="194">
        <v>41474</v>
      </c>
      <c r="C24" s="195">
        <v>508</v>
      </c>
      <c r="D24" s="199">
        <f t="shared" si="0"/>
        <v>7</v>
      </c>
      <c r="E24">
        <f t="shared" si="1"/>
        <v>15737</v>
      </c>
      <c r="F24">
        <f t="shared" si="2"/>
        <v>508</v>
      </c>
    </row>
    <row r="25" spans="2:6">
      <c r="B25" s="196">
        <v>41475</v>
      </c>
      <c r="C25" s="197">
        <v>490</v>
      </c>
      <c r="D25" s="199">
        <f t="shared" si="0"/>
        <v>7</v>
      </c>
      <c r="E25">
        <f t="shared" si="1"/>
        <v>15737</v>
      </c>
      <c r="F25">
        <f t="shared" si="2"/>
        <v>490</v>
      </c>
    </row>
    <row r="26" spans="2:6">
      <c r="B26" s="194">
        <v>41476</v>
      </c>
      <c r="C26" s="195">
        <v>464</v>
      </c>
      <c r="D26" s="199">
        <f t="shared" si="0"/>
        <v>7</v>
      </c>
      <c r="E26">
        <f t="shared" si="1"/>
        <v>15737</v>
      </c>
      <c r="F26">
        <f t="shared" si="2"/>
        <v>464</v>
      </c>
    </row>
    <row r="27" spans="2:6">
      <c r="B27" s="196">
        <v>41477</v>
      </c>
      <c r="C27" s="197">
        <v>549</v>
      </c>
      <c r="D27" s="199">
        <f t="shared" si="0"/>
        <v>7</v>
      </c>
      <c r="E27">
        <f t="shared" si="1"/>
        <v>15737</v>
      </c>
      <c r="F27">
        <f t="shared" si="2"/>
        <v>549</v>
      </c>
    </row>
    <row r="28" spans="2:6">
      <c r="B28" s="194">
        <v>41478</v>
      </c>
      <c r="C28" s="195">
        <v>489</v>
      </c>
      <c r="D28" s="199">
        <f t="shared" si="0"/>
        <v>7</v>
      </c>
      <c r="E28">
        <f t="shared" si="1"/>
        <v>15737</v>
      </c>
      <c r="F28">
        <f t="shared" si="2"/>
        <v>489</v>
      </c>
    </row>
    <row r="29" spans="2:6">
      <c r="B29" s="196">
        <v>41479</v>
      </c>
      <c r="C29" s="197">
        <v>514</v>
      </c>
      <c r="D29" s="199">
        <f t="shared" si="0"/>
        <v>7</v>
      </c>
      <c r="E29">
        <f t="shared" si="1"/>
        <v>15737</v>
      </c>
      <c r="F29">
        <f t="shared" si="2"/>
        <v>514</v>
      </c>
    </row>
    <row r="30" spans="2:6">
      <c r="B30" s="194">
        <v>41480</v>
      </c>
      <c r="C30" s="195">
        <v>504</v>
      </c>
      <c r="D30" s="199">
        <f t="shared" si="0"/>
        <v>7</v>
      </c>
      <c r="E30">
        <f t="shared" si="1"/>
        <v>15737</v>
      </c>
      <c r="F30">
        <f t="shared" si="2"/>
        <v>504</v>
      </c>
    </row>
    <row r="31" spans="2:6">
      <c r="B31" s="196">
        <v>41481</v>
      </c>
      <c r="C31" s="197">
        <v>515</v>
      </c>
      <c r="D31" s="199">
        <f t="shared" si="0"/>
        <v>7</v>
      </c>
      <c r="E31">
        <f t="shared" si="1"/>
        <v>15737</v>
      </c>
      <c r="F31">
        <f t="shared" si="2"/>
        <v>515</v>
      </c>
    </row>
    <row r="32" spans="2:6">
      <c r="B32" s="194">
        <v>41482</v>
      </c>
      <c r="C32" s="195">
        <v>545</v>
      </c>
      <c r="D32" s="199">
        <f t="shared" si="0"/>
        <v>7</v>
      </c>
      <c r="E32">
        <f t="shared" si="1"/>
        <v>15737</v>
      </c>
      <c r="F32">
        <f t="shared" si="2"/>
        <v>545</v>
      </c>
    </row>
    <row r="33" spans="2:6">
      <c r="B33" s="196">
        <v>41483</v>
      </c>
      <c r="C33" s="197">
        <v>496</v>
      </c>
      <c r="D33" s="199">
        <f t="shared" si="0"/>
        <v>7</v>
      </c>
      <c r="E33">
        <f t="shared" si="1"/>
        <v>15737</v>
      </c>
      <c r="F33">
        <f t="shared" si="2"/>
        <v>496</v>
      </c>
    </row>
    <row r="34" spans="2:6">
      <c r="B34" s="194">
        <v>41484</v>
      </c>
      <c r="C34" s="195">
        <v>492</v>
      </c>
      <c r="D34" s="199">
        <f t="shared" si="0"/>
        <v>7</v>
      </c>
      <c r="E34">
        <f t="shared" si="1"/>
        <v>15737</v>
      </c>
      <c r="F34">
        <f t="shared" si="2"/>
        <v>492</v>
      </c>
    </row>
    <row r="35" spans="2:6">
      <c r="B35" s="196">
        <v>41485</v>
      </c>
      <c r="C35" s="197">
        <v>535</v>
      </c>
      <c r="D35" s="199">
        <f t="shared" si="0"/>
        <v>7</v>
      </c>
      <c r="E35">
        <f t="shared" si="1"/>
        <v>15737</v>
      </c>
      <c r="F35">
        <f t="shared" si="2"/>
        <v>535</v>
      </c>
    </row>
    <row r="36" spans="2:6">
      <c r="B36" s="194">
        <v>41486</v>
      </c>
      <c r="C36" s="195">
        <v>514</v>
      </c>
      <c r="D36" s="199">
        <f t="shared" si="0"/>
        <v>7</v>
      </c>
      <c r="E36">
        <f t="shared" si="1"/>
        <v>15737</v>
      </c>
      <c r="F36">
        <f t="shared" si="2"/>
        <v>514</v>
      </c>
    </row>
    <row r="37" spans="2:6">
      <c r="B37" s="196">
        <v>41487</v>
      </c>
      <c r="C37" s="197">
        <v>527</v>
      </c>
      <c r="D37" s="199">
        <f t="shared" si="0"/>
        <v>8</v>
      </c>
      <c r="E37">
        <f t="shared" si="1"/>
        <v>15288</v>
      </c>
      <c r="F37" t="e">
        <f t="shared" si="2"/>
        <v>#N/A</v>
      </c>
    </row>
    <row r="38" spans="2:6">
      <c r="B38" s="194">
        <v>41488</v>
      </c>
      <c r="C38" s="195">
        <v>481</v>
      </c>
      <c r="D38" s="199">
        <f t="shared" si="0"/>
        <v>8</v>
      </c>
      <c r="E38">
        <f t="shared" si="1"/>
        <v>15288</v>
      </c>
      <c r="F38" t="e">
        <f t="shared" si="2"/>
        <v>#N/A</v>
      </c>
    </row>
    <row r="39" spans="2:6">
      <c r="B39" s="196">
        <v>41489</v>
      </c>
      <c r="C39" s="197">
        <v>499</v>
      </c>
      <c r="D39" s="199">
        <f t="shared" si="0"/>
        <v>8</v>
      </c>
      <c r="E39">
        <f t="shared" si="1"/>
        <v>15288</v>
      </c>
      <c r="F39" t="e">
        <f t="shared" si="2"/>
        <v>#N/A</v>
      </c>
    </row>
    <row r="40" spans="2:6">
      <c r="B40" s="194">
        <v>41490</v>
      </c>
      <c r="C40" s="195">
        <v>487</v>
      </c>
      <c r="D40" s="199">
        <f t="shared" si="0"/>
        <v>8</v>
      </c>
      <c r="E40">
        <f t="shared" si="1"/>
        <v>15288</v>
      </c>
      <c r="F40" t="e">
        <f t="shared" si="2"/>
        <v>#N/A</v>
      </c>
    </row>
    <row r="41" spans="2:6">
      <c r="B41" s="196">
        <v>41491</v>
      </c>
      <c r="C41" s="197">
        <v>528</v>
      </c>
      <c r="D41" s="199">
        <f t="shared" si="0"/>
        <v>8</v>
      </c>
      <c r="E41">
        <f t="shared" si="1"/>
        <v>15288</v>
      </c>
      <c r="F41" t="e">
        <f t="shared" si="2"/>
        <v>#N/A</v>
      </c>
    </row>
    <row r="42" spans="2:6">
      <c r="B42" s="194">
        <v>41492</v>
      </c>
      <c r="C42" s="195">
        <v>479</v>
      </c>
      <c r="D42" s="199">
        <f t="shared" si="0"/>
        <v>8</v>
      </c>
      <c r="E42">
        <f t="shared" si="1"/>
        <v>15288</v>
      </c>
      <c r="F42" t="e">
        <f t="shared" si="2"/>
        <v>#N/A</v>
      </c>
    </row>
    <row r="43" spans="2:6">
      <c r="B43" s="196">
        <v>41493</v>
      </c>
      <c r="C43" s="197">
        <v>486</v>
      </c>
      <c r="D43" s="199">
        <f t="shared" si="0"/>
        <v>8</v>
      </c>
      <c r="E43">
        <f t="shared" si="1"/>
        <v>15288</v>
      </c>
      <c r="F43" t="e">
        <f t="shared" si="2"/>
        <v>#N/A</v>
      </c>
    </row>
    <row r="44" spans="2:6">
      <c r="B44" s="194">
        <v>41494</v>
      </c>
      <c r="C44" s="195">
        <v>476</v>
      </c>
      <c r="D44" s="199">
        <f t="shared" si="0"/>
        <v>8</v>
      </c>
      <c r="E44">
        <f t="shared" si="1"/>
        <v>15288</v>
      </c>
      <c r="F44" t="e">
        <f t="shared" si="2"/>
        <v>#N/A</v>
      </c>
    </row>
    <row r="45" spans="2:6">
      <c r="B45" s="196">
        <v>41495</v>
      </c>
      <c r="C45" s="197">
        <v>519</v>
      </c>
      <c r="D45" s="199">
        <f t="shared" si="0"/>
        <v>8</v>
      </c>
      <c r="E45">
        <f t="shared" si="1"/>
        <v>15288</v>
      </c>
      <c r="F45" t="e">
        <f t="shared" si="2"/>
        <v>#N/A</v>
      </c>
    </row>
    <row r="46" spans="2:6">
      <c r="B46" s="194">
        <v>41496</v>
      </c>
      <c r="C46" s="195">
        <v>526</v>
      </c>
      <c r="D46" s="199">
        <f t="shared" si="0"/>
        <v>8</v>
      </c>
      <c r="E46">
        <f t="shared" si="1"/>
        <v>15288</v>
      </c>
      <c r="F46" t="e">
        <f t="shared" si="2"/>
        <v>#N/A</v>
      </c>
    </row>
    <row r="47" spans="2:6">
      <c r="B47" s="196">
        <v>41497</v>
      </c>
      <c r="C47" s="197">
        <v>487</v>
      </c>
      <c r="D47" s="199">
        <f t="shared" si="0"/>
        <v>8</v>
      </c>
      <c r="E47">
        <f t="shared" si="1"/>
        <v>15288</v>
      </c>
      <c r="F47" t="e">
        <f t="shared" si="2"/>
        <v>#N/A</v>
      </c>
    </row>
    <row r="48" spans="2:6">
      <c r="B48" s="194">
        <v>41498</v>
      </c>
      <c r="C48" s="195">
        <v>510</v>
      </c>
      <c r="D48" s="199">
        <f t="shared" si="0"/>
        <v>8</v>
      </c>
      <c r="E48">
        <f t="shared" si="1"/>
        <v>15288</v>
      </c>
      <c r="F48" t="e">
        <f t="shared" si="2"/>
        <v>#N/A</v>
      </c>
    </row>
    <row r="49" spans="2:6">
      <c r="B49" s="196">
        <v>41499</v>
      </c>
      <c r="C49" s="197">
        <v>485</v>
      </c>
      <c r="D49" s="199">
        <f t="shared" si="0"/>
        <v>8</v>
      </c>
      <c r="E49">
        <f t="shared" si="1"/>
        <v>15288</v>
      </c>
      <c r="F49" t="e">
        <f t="shared" si="2"/>
        <v>#N/A</v>
      </c>
    </row>
    <row r="50" spans="2:6">
      <c r="B50" s="194">
        <v>41500</v>
      </c>
      <c r="C50" s="195">
        <v>436</v>
      </c>
      <c r="D50" s="199">
        <f t="shared" si="0"/>
        <v>8</v>
      </c>
      <c r="E50">
        <f t="shared" si="1"/>
        <v>15288</v>
      </c>
      <c r="F50" t="e">
        <f t="shared" si="2"/>
        <v>#N/A</v>
      </c>
    </row>
    <row r="51" spans="2:6">
      <c r="B51" s="196">
        <v>41501</v>
      </c>
      <c r="C51" s="197">
        <v>485</v>
      </c>
      <c r="D51" s="199">
        <f t="shared" si="0"/>
        <v>8</v>
      </c>
      <c r="E51">
        <f t="shared" si="1"/>
        <v>15288</v>
      </c>
      <c r="F51" t="e">
        <f t="shared" si="2"/>
        <v>#N/A</v>
      </c>
    </row>
    <row r="52" spans="2:6">
      <c r="B52" s="194">
        <v>41502</v>
      </c>
      <c r="C52" s="195">
        <v>521</v>
      </c>
      <c r="D52" s="199">
        <f t="shared" si="0"/>
        <v>8</v>
      </c>
      <c r="E52">
        <f t="shared" si="1"/>
        <v>15288</v>
      </c>
      <c r="F52" t="e">
        <f t="shared" si="2"/>
        <v>#N/A</v>
      </c>
    </row>
    <row r="53" spans="2:6">
      <c r="B53" s="196">
        <v>41503</v>
      </c>
      <c r="C53" s="197">
        <v>488</v>
      </c>
      <c r="D53" s="199">
        <f t="shared" si="0"/>
        <v>8</v>
      </c>
      <c r="E53">
        <f t="shared" si="1"/>
        <v>15288</v>
      </c>
      <c r="F53" t="e">
        <f t="shared" si="2"/>
        <v>#N/A</v>
      </c>
    </row>
    <row r="54" spans="2:6">
      <c r="B54" s="194">
        <v>41504</v>
      </c>
      <c r="C54" s="195">
        <v>482</v>
      </c>
      <c r="D54" s="199">
        <f t="shared" si="0"/>
        <v>8</v>
      </c>
      <c r="E54">
        <f t="shared" si="1"/>
        <v>15288</v>
      </c>
      <c r="F54" t="e">
        <f t="shared" si="2"/>
        <v>#N/A</v>
      </c>
    </row>
    <row r="55" spans="2:6">
      <c r="B55" s="196">
        <v>41505</v>
      </c>
      <c r="C55" s="197">
        <v>478</v>
      </c>
      <c r="D55" s="199">
        <f t="shared" si="0"/>
        <v>8</v>
      </c>
      <c r="E55">
        <f t="shared" si="1"/>
        <v>15288</v>
      </c>
      <c r="F55" t="e">
        <f t="shared" si="2"/>
        <v>#N/A</v>
      </c>
    </row>
    <row r="56" spans="2:6">
      <c r="B56" s="194">
        <v>41506</v>
      </c>
      <c r="C56" s="195">
        <v>528</v>
      </c>
      <c r="D56" s="199">
        <f t="shared" si="0"/>
        <v>8</v>
      </c>
      <c r="E56">
        <f t="shared" si="1"/>
        <v>15288</v>
      </c>
      <c r="F56" t="e">
        <f t="shared" si="2"/>
        <v>#N/A</v>
      </c>
    </row>
    <row r="57" spans="2:6">
      <c r="B57" s="196">
        <v>41507</v>
      </c>
      <c r="C57" s="197">
        <v>477</v>
      </c>
      <c r="D57" s="199">
        <f t="shared" si="0"/>
        <v>8</v>
      </c>
      <c r="E57">
        <f t="shared" si="1"/>
        <v>15288</v>
      </c>
      <c r="F57" t="e">
        <f t="shared" si="2"/>
        <v>#N/A</v>
      </c>
    </row>
    <row r="58" spans="2:6">
      <c r="B58" s="194">
        <v>41508</v>
      </c>
      <c r="C58" s="195">
        <v>501</v>
      </c>
      <c r="D58" s="199">
        <f t="shared" si="0"/>
        <v>8</v>
      </c>
      <c r="E58">
        <f t="shared" si="1"/>
        <v>15288</v>
      </c>
      <c r="F58" t="e">
        <f t="shared" si="2"/>
        <v>#N/A</v>
      </c>
    </row>
    <row r="59" spans="2:6">
      <c r="B59" s="196">
        <v>41509</v>
      </c>
      <c r="C59" s="197">
        <v>511</v>
      </c>
      <c r="D59" s="199">
        <f t="shared" si="0"/>
        <v>8</v>
      </c>
      <c r="E59">
        <f t="shared" si="1"/>
        <v>15288</v>
      </c>
      <c r="F59" t="e">
        <f t="shared" si="2"/>
        <v>#N/A</v>
      </c>
    </row>
    <row r="60" spans="2:6">
      <c r="B60" s="194">
        <v>41510</v>
      </c>
      <c r="C60" s="195">
        <v>495</v>
      </c>
      <c r="D60" s="199">
        <f t="shared" si="0"/>
        <v>8</v>
      </c>
      <c r="E60">
        <f t="shared" si="1"/>
        <v>15288</v>
      </c>
      <c r="F60" t="e">
        <f t="shared" si="2"/>
        <v>#N/A</v>
      </c>
    </row>
    <row r="61" spans="2:6">
      <c r="B61" s="196">
        <v>41511</v>
      </c>
      <c r="C61" s="197">
        <v>476</v>
      </c>
      <c r="D61" s="199">
        <f t="shared" si="0"/>
        <v>8</v>
      </c>
      <c r="E61">
        <f t="shared" si="1"/>
        <v>15288</v>
      </c>
      <c r="F61" t="e">
        <f t="shared" si="2"/>
        <v>#N/A</v>
      </c>
    </row>
    <row r="62" spans="2:6">
      <c r="B62" s="194">
        <v>41512</v>
      </c>
      <c r="C62" s="195">
        <v>519</v>
      </c>
      <c r="D62" s="199">
        <f t="shared" si="0"/>
        <v>8</v>
      </c>
      <c r="E62">
        <f t="shared" si="1"/>
        <v>15288</v>
      </c>
      <c r="F62" t="e">
        <f t="shared" si="2"/>
        <v>#N/A</v>
      </c>
    </row>
    <row r="63" spans="2:6">
      <c r="B63" s="196">
        <v>41513</v>
      </c>
      <c r="C63" s="197">
        <v>475</v>
      </c>
      <c r="D63" s="199">
        <f t="shared" si="0"/>
        <v>8</v>
      </c>
      <c r="E63">
        <f t="shared" si="1"/>
        <v>15288</v>
      </c>
      <c r="F63" t="e">
        <f t="shared" si="2"/>
        <v>#N/A</v>
      </c>
    </row>
    <row r="64" spans="2:6">
      <c r="B64" s="194">
        <v>41514</v>
      </c>
      <c r="C64" s="195">
        <v>475</v>
      </c>
      <c r="D64" s="199">
        <f t="shared" si="0"/>
        <v>8</v>
      </c>
      <c r="E64">
        <f t="shared" si="1"/>
        <v>15288</v>
      </c>
      <c r="F64" t="e">
        <f t="shared" si="2"/>
        <v>#N/A</v>
      </c>
    </row>
    <row r="65" spans="2:6">
      <c r="B65" s="196">
        <v>41515</v>
      </c>
      <c r="C65" s="197">
        <v>499</v>
      </c>
      <c r="D65" s="199">
        <f t="shared" si="0"/>
        <v>8</v>
      </c>
      <c r="E65">
        <f t="shared" si="1"/>
        <v>15288</v>
      </c>
      <c r="F65" t="e">
        <f t="shared" si="2"/>
        <v>#N/A</v>
      </c>
    </row>
    <row r="66" spans="2:6">
      <c r="B66" s="194">
        <v>41516</v>
      </c>
      <c r="C66" s="195">
        <v>512</v>
      </c>
      <c r="D66" s="199">
        <f t="shared" si="0"/>
        <v>8</v>
      </c>
      <c r="E66">
        <f t="shared" si="1"/>
        <v>15288</v>
      </c>
      <c r="F66" t="e">
        <f t="shared" si="2"/>
        <v>#N/A</v>
      </c>
    </row>
    <row r="67" spans="2:6">
      <c r="B67" s="196">
        <v>41517</v>
      </c>
      <c r="C67" s="197">
        <v>440</v>
      </c>
      <c r="D67" s="199">
        <f t="shared" si="0"/>
        <v>8</v>
      </c>
      <c r="E67">
        <f t="shared" si="1"/>
        <v>15288</v>
      </c>
      <c r="F67" t="e">
        <f t="shared" si="2"/>
        <v>#N/A</v>
      </c>
    </row>
    <row r="68" spans="2:6">
      <c r="B68" s="194">
        <v>41518</v>
      </c>
      <c r="C68" s="195">
        <v>531</v>
      </c>
      <c r="D68" s="199">
        <f t="shared" si="0"/>
        <v>9</v>
      </c>
      <c r="E68">
        <f t="shared" si="1"/>
        <v>15281</v>
      </c>
      <c r="F68" t="e">
        <f t="shared" si="2"/>
        <v>#N/A</v>
      </c>
    </row>
    <row r="69" spans="2:6">
      <c r="B69" s="196">
        <v>41519</v>
      </c>
      <c r="C69" s="197">
        <v>493</v>
      </c>
      <c r="D69" s="199">
        <f t="shared" si="0"/>
        <v>9</v>
      </c>
      <c r="E69">
        <f t="shared" si="1"/>
        <v>15281</v>
      </c>
      <c r="F69" t="e">
        <f t="shared" si="2"/>
        <v>#N/A</v>
      </c>
    </row>
    <row r="70" spans="2:6">
      <c r="B70" s="194">
        <v>41520</v>
      </c>
      <c r="C70" s="195">
        <v>508</v>
      </c>
      <c r="D70" s="199">
        <f t="shared" si="0"/>
        <v>9</v>
      </c>
      <c r="E70">
        <f t="shared" si="1"/>
        <v>15281</v>
      </c>
      <c r="F70" t="e">
        <f t="shared" si="2"/>
        <v>#N/A</v>
      </c>
    </row>
    <row r="71" spans="2:6">
      <c r="B71" s="196">
        <v>41521</v>
      </c>
      <c r="C71" s="197">
        <v>474</v>
      </c>
      <c r="D71" s="199">
        <f t="shared" ref="D71:D134" si="3">MONTH(B71)</f>
        <v>9</v>
      </c>
      <c r="E71">
        <f t="shared" ref="E71:E134" si="4">SUMIF($D$6:$D$169,$D71,$C$6:$C$169)</f>
        <v>15281</v>
      </c>
      <c r="F71" t="e">
        <f t="shared" ref="F71:F134" si="5">IF(E71=$F$2,C71,NA())</f>
        <v>#N/A</v>
      </c>
    </row>
    <row r="72" spans="2:6">
      <c r="B72" s="194">
        <v>41522</v>
      </c>
      <c r="C72" s="195">
        <v>523</v>
      </c>
      <c r="D72" s="199">
        <f t="shared" si="3"/>
        <v>9</v>
      </c>
      <c r="E72">
        <f t="shared" si="4"/>
        <v>15281</v>
      </c>
      <c r="F72" t="e">
        <f t="shared" si="5"/>
        <v>#N/A</v>
      </c>
    </row>
    <row r="73" spans="2:6">
      <c r="B73" s="196">
        <v>41523</v>
      </c>
      <c r="C73" s="197">
        <v>528</v>
      </c>
      <c r="D73" s="199">
        <f t="shared" si="3"/>
        <v>9</v>
      </c>
      <c r="E73">
        <f t="shared" si="4"/>
        <v>15281</v>
      </c>
      <c r="F73" t="e">
        <f t="shared" si="5"/>
        <v>#N/A</v>
      </c>
    </row>
    <row r="74" spans="2:6">
      <c r="B74" s="194">
        <v>41524</v>
      </c>
      <c r="C74" s="195">
        <v>549</v>
      </c>
      <c r="D74" s="199">
        <f t="shared" si="3"/>
        <v>9</v>
      </c>
      <c r="E74">
        <f t="shared" si="4"/>
        <v>15281</v>
      </c>
      <c r="F74" t="e">
        <f t="shared" si="5"/>
        <v>#N/A</v>
      </c>
    </row>
    <row r="75" spans="2:6">
      <c r="B75" s="196">
        <v>41525</v>
      </c>
      <c r="C75" s="197">
        <v>510</v>
      </c>
      <c r="D75" s="199">
        <f t="shared" si="3"/>
        <v>9</v>
      </c>
      <c r="E75">
        <f t="shared" si="4"/>
        <v>15281</v>
      </c>
      <c r="F75" t="e">
        <f t="shared" si="5"/>
        <v>#N/A</v>
      </c>
    </row>
    <row r="76" spans="2:6">
      <c r="B76" s="194">
        <v>41526</v>
      </c>
      <c r="C76" s="195">
        <v>545</v>
      </c>
      <c r="D76" s="199">
        <f t="shared" si="3"/>
        <v>9</v>
      </c>
      <c r="E76">
        <f t="shared" si="4"/>
        <v>15281</v>
      </c>
      <c r="F76" t="e">
        <f t="shared" si="5"/>
        <v>#N/A</v>
      </c>
    </row>
    <row r="77" spans="2:6">
      <c r="B77" s="196">
        <v>41527</v>
      </c>
      <c r="C77" s="197">
        <v>544</v>
      </c>
      <c r="D77" s="199">
        <f t="shared" si="3"/>
        <v>9</v>
      </c>
      <c r="E77">
        <f t="shared" si="4"/>
        <v>15281</v>
      </c>
      <c r="F77" t="e">
        <f t="shared" si="5"/>
        <v>#N/A</v>
      </c>
    </row>
    <row r="78" spans="2:6">
      <c r="B78" s="194">
        <v>41528</v>
      </c>
      <c r="C78" s="195">
        <v>512</v>
      </c>
      <c r="D78" s="199">
        <f t="shared" si="3"/>
        <v>9</v>
      </c>
      <c r="E78">
        <f t="shared" si="4"/>
        <v>15281</v>
      </c>
      <c r="F78" t="e">
        <f t="shared" si="5"/>
        <v>#N/A</v>
      </c>
    </row>
    <row r="79" spans="2:6">
      <c r="B79" s="196">
        <v>41529</v>
      </c>
      <c r="C79" s="197">
        <v>488</v>
      </c>
      <c r="D79" s="199">
        <f t="shared" si="3"/>
        <v>9</v>
      </c>
      <c r="E79">
        <f t="shared" si="4"/>
        <v>15281</v>
      </c>
      <c r="F79" t="e">
        <f t="shared" si="5"/>
        <v>#N/A</v>
      </c>
    </row>
    <row r="80" spans="2:6">
      <c r="B80" s="194">
        <v>41530</v>
      </c>
      <c r="C80" s="195">
        <v>537</v>
      </c>
      <c r="D80" s="199">
        <f t="shared" si="3"/>
        <v>9</v>
      </c>
      <c r="E80">
        <f t="shared" si="4"/>
        <v>15281</v>
      </c>
      <c r="F80" t="e">
        <f t="shared" si="5"/>
        <v>#N/A</v>
      </c>
    </row>
    <row r="81" spans="2:6">
      <c r="B81" s="196">
        <v>41531</v>
      </c>
      <c r="C81" s="197">
        <v>527</v>
      </c>
      <c r="D81" s="199">
        <f t="shared" si="3"/>
        <v>9</v>
      </c>
      <c r="E81">
        <f t="shared" si="4"/>
        <v>15281</v>
      </c>
      <c r="F81" t="e">
        <f t="shared" si="5"/>
        <v>#N/A</v>
      </c>
    </row>
    <row r="82" spans="2:6">
      <c r="B82" s="194">
        <v>41532</v>
      </c>
      <c r="C82" s="195">
        <v>487</v>
      </c>
      <c r="D82" s="199">
        <f t="shared" si="3"/>
        <v>9</v>
      </c>
      <c r="E82">
        <f t="shared" si="4"/>
        <v>15281</v>
      </c>
      <c r="F82" t="e">
        <f t="shared" si="5"/>
        <v>#N/A</v>
      </c>
    </row>
    <row r="83" spans="2:6">
      <c r="B83" s="196">
        <v>41533</v>
      </c>
      <c r="C83" s="197">
        <v>462</v>
      </c>
      <c r="D83" s="199">
        <f t="shared" si="3"/>
        <v>9</v>
      </c>
      <c r="E83">
        <f t="shared" si="4"/>
        <v>15281</v>
      </c>
      <c r="F83" t="e">
        <f t="shared" si="5"/>
        <v>#N/A</v>
      </c>
    </row>
    <row r="84" spans="2:6">
      <c r="B84" s="194">
        <v>41534</v>
      </c>
      <c r="C84" s="195">
        <v>471</v>
      </c>
      <c r="D84" s="199">
        <f t="shared" si="3"/>
        <v>9</v>
      </c>
      <c r="E84">
        <f t="shared" si="4"/>
        <v>15281</v>
      </c>
      <c r="F84" t="e">
        <f t="shared" si="5"/>
        <v>#N/A</v>
      </c>
    </row>
    <row r="85" spans="2:6">
      <c r="B85" s="196">
        <v>41535</v>
      </c>
      <c r="C85" s="197">
        <v>490</v>
      </c>
      <c r="D85" s="199">
        <f t="shared" si="3"/>
        <v>9</v>
      </c>
      <c r="E85">
        <f t="shared" si="4"/>
        <v>15281</v>
      </c>
      <c r="F85" t="e">
        <f t="shared" si="5"/>
        <v>#N/A</v>
      </c>
    </row>
    <row r="86" spans="2:6">
      <c r="B86" s="194">
        <v>41536</v>
      </c>
      <c r="C86" s="195">
        <v>518</v>
      </c>
      <c r="D86" s="199">
        <f t="shared" si="3"/>
        <v>9</v>
      </c>
      <c r="E86">
        <f t="shared" si="4"/>
        <v>15281</v>
      </c>
      <c r="F86" t="e">
        <f t="shared" si="5"/>
        <v>#N/A</v>
      </c>
    </row>
    <row r="87" spans="2:6">
      <c r="B87" s="196">
        <v>41537</v>
      </c>
      <c r="C87" s="197">
        <v>478</v>
      </c>
      <c r="D87" s="199">
        <f t="shared" si="3"/>
        <v>9</v>
      </c>
      <c r="E87">
        <f t="shared" si="4"/>
        <v>15281</v>
      </c>
      <c r="F87" t="e">
        <f t="shared" si="5"/>
        <v>#N/A</v>
      </c>
    </row>
    <row r="88" spans="2:6">
      <c r="B88" s="194">
        <v>41538</v>
      </c>
      <c r="C88" s="195">
        <v>457</v>
      </c>
      <c r="D88" s="199">
        <f t="shared" si="3"/>
        <v>9</v>
      </c>
      <c r="E88">
        <f t="shared" si="4"/>
        <v>15281</v>
      </c>
      <c r="F88" t="e">
        <f t="shared" si="5"/>
        <v>#N/A</v>
      </c>
    </row>
    <row r="89" spans="2:6">
      <c r="B89" s="196">
        <v>41539</v>
      </c>
      <c r="C89" s="197">
        <v>502</v>
      </c>
      <c r="D89" s="199">
        <f t="shared" si="3"/>
        <v>9</v>
      </c>
      <c r="E89">
        <f t="shared" si="4"/>
        <v>15281</v>
      </c>
      <c r="F89" t="e">
        <f t="shared" si="5"/>
        <v>#N/A</v>
      </c>
    </row>
    <row r="90" spans="2:6">
      <c r="B90" s="194">
        <v>41540</v>
      </c>
      <c r="C90" s="195">
        <v>532</v>
      </c>
      <c r="D90" s="199">
        <f t="shared" si="3"/>
        <v>9</v>
      </c>
      <c r="E90">
        <f t="shared" si="4"/>
        <v>15281</v>
      </c>
      <c r="F90" t="e">
        <f t="shared" si="5"/>
        <v>#N/A</v>
      </c>
    </row>
    <row r="91" spans="2:6">
      <c r="B91" s="196">
        <v>41541</v>
      </c>
      <c r="C91" s="197">
        <v>512</v>
      </c>
      <c r="D91" s="199">
        <f t="shared" si="3"/>
        <v>9</v>
      </c>
      <c r="E91">
        <f t="shared" si="4"/>
        <v>15281</v>
      </c>
      <c r="F91" t="e">
        <f t="shared" si="5"/>
        <v>#N/A</v>
      </c>
    </row>
    <row r="92" spans="2:6">
      <c r="B92" s="194">
        <v>41542</v>
      </c>
      <c r="C92" s="195">
        <v>523</v>
      </c>
      <c r="D92" s="199">
        <f t="shared" si="3"/>
        <v>9</v>
      </c>
      <c r="E92">
        <f t="shared" si="4"/>
        <v>15281</v>
      </c>
      <c r="F92" t="e">
        <f t="shared" si="5"/>
        <v>#N/A</v>
      </c>
    </row>
    <row r="93" spans="2:6">
      <c r="B93" s="196">
        <v>41543</v>
      </c>
      <c r="C93" s="197">
        <v>537</v>
      </c>
      <c r="D93" s="199">
        <f t="shared" si="3"/>
        <v>9</v>
      </c>
      <c r="E93">
        <f t="shared" si="4"/>
        <v>15281</v>
      </c>
      <c r="F93" t="e">
        <f t="shared" si="5"/>
        <v>#N/A</v>
      </c>
    </row>
    <row r="94" spans="2:6">
      <c r="B94" s="194">
        <v>41544</v>
      </c>
      <c r="C94" s="195">
        <v>503</v>
      </c>
      <c r="D94" s="199">
        <f t="shared" si="3"/>
        <v>9</v>
      </c>
      <c r="E94">
        <f t="shared" si="4"/>
        <v>15281</v>
      </c>
      <c r="F94" t="e">
        <f t="shared" si="5"/>
        <v>#N/A</v>
      </c>
    </row>
    <row r="95" spans="2:6">
      <c r="B95" s="196">
        <v>41545</v>
      </c>
      <c r="C95" s="197">
        <v>487</v>
      </c>
      <c r="D95" s="199">
        <f t="shared" si="3"/>
        <v>9</v>
      </c>
      <c r="E95">
        <f t="shared" si="4"/>
        <v>15281</v>
      </c>
      <c r="F95" t="e">
        <f t="shared" si="5"/>
        <v>#N/A</v>
      </c>
    </row>
    <row r="96" spans="2:6">
      <c r="B96" s="194">
        <v>41546</v>
      </c>
      <c r="C96" s="195">
        <v>530</v>
      </c>
      <c r="D96" s="199">
        <f t="shared" si="3"/>
        <v>9</v>
      </c>
      <c r="E96">
        <f t="shared" si="4"/>
        <v>15281</v>
      </c>
      <c r="F96" t="e">
        <f t="shared" si="5"/>
        <v>#N/A</v>
      </c>
    </row>
    <row r="97" spans="2:6">
      <c r="B97" s="196">
        <v>41547</v>
      </c>
      <c r="C97" s="197">
        <v>523</v>
      </c>
      <c r="D97" s="199">
        <f t="shared" si="3"/>
        <v>9</v>
      </c>
      <c r="E97">
        <f t="shared" si="4"/>
        <v>15281</v>
      </c>
      <c r="F97" t="e">
        <f t="shared" si="5"/>
        <v>#N/A</v>
      </c>
    </row>
    <row r="98" spans="2:6">
      <c r="B98" s="194">
        <v>41548</v>
      </c>
      <c r="C98" s="195">
        <v>483</v>
      </c>
      <c r="D98" s="199">
        <f t="shared" si="3"/>
        <v>10</v>
      </c>
      <c r="E98">
        <f t="shared" si="4"/>
        <v>15315</v>
      </c>
      <c r="F98" t="e">
        <f t="shared" si="5"/>
        <v>#N/A</v>
      </c>
    </row>
    <row r="99" spans="2:6">
      <c r="B99" s="196">
        <v>41549</v>
      </c>
      <c r="C99" s="197">
        <v>499</v>
      </c>
      <c r="D99" s="199">
        <f t="shared" si="3"/>
        <v>10</v>
      </c>
      <c r="E99">
        <f t="shared" si="4"/>
        <v>15315</v>
      </c>
      <c r="F99" t="e">
        <f t="shared" si="5"/>
        <v>#N/A</v>
      </c>
    </row>
    <row r="100" spans="2:6">
      <c r="B100" s="194">
        <v>41550</v>
      </c>
      <c r="C100" s="195">
        <v>463</v>
      </c>
      <c r="D100" s="199">
        <f t="shared" si="3"/>
        <v>10</v>
      </c>
      <c r="E100">
        <f t="shared" si="4"/>
        <v>15315</v>
      </c>
      <c r="F100" t="e">
        <f t="shared" si="5"/>
        <v>#N/A</v>
      </c>
    </row>
    <row r="101" spans="2:6">
      <c r="B101" s="196">
        <v>41551</v>
      </c>
      <c r="C101" s="197">
        <v>522</v>
      </c>
      <c r="D101" s="199">
        <f t="shared" si="3"/>
        <v>10</v>
      </c>
      <c r="E101">
        <f t="shared" si="4"/>
        <v>15315</v>
      </c>
      <c r="F101" t="e">
        <f t="shared" si="5"/>
        <v>#N/A</v>
      </c>
    </row>
    <row r="102" spans="2:6">
      <c r="B102" s="194">
        <v>41552</v>
      </c>
      <c r="C102" s="195">
        <v>457</v>
      </c>
      <c r="D102" s="199">
        <f t="shared" si="3"/>
        <v>10</v>
      </c>
      <c r="E102">
        <f t="shared" si="4"/>
        <v>15315</v>
      </c>
      <c r="F102" t="e">
        <f t="shared" si="5"/>
        <v>#N/A</v>
      </c>
    </row>
    <row r="103" spans="2:6">
      <c r="B103" s="196">
        <v>41553</v>
      </c>
      <c r="C103" s="197">
        <v>505</v>
      </c>
      <c r="D103" s="199">
        <f t="shared" si="3"/>
        <v>10</v>
      </c>
      <c r="E103">
        <f t="shared" si="4"/>
        <v>15315</v>
      </c>
      <c r="F103" t="e">
        <f t="shared" si="5"/>
        <v>#N/A</v>
      </c>
    </row>
    <row r="104" spans="2:6">
      <c r="B104" s="194">
        <v>41554</v>
      </c>
      <c r="C104" s="195">
        <v>484</v>
      </c>
      <c r="D104" s="199">
        <f t="shared" si="3"/>
        <v>10</v>
      </c>
      <c r="E104">
        <f t="shared" si="4"/>
        <v>15315</v>
      </c>
      <c r="F104" t="e">
        <f t="shared" si="5"/>
        <v>#N/A</v>
      </c>
    </row>
    <row r="105" spans="2:6">
      <c r="B105" s="196">
        <v>41555</v>
      </c>
      <c r="C105" s="197">
        <v>520</v>
      </c>
      <c r="D105" s="199">
        <f t="shared" si="3"/>
        <v>10</v>
      </c>
      <c r="E105">
        <f t="shared" si="4"/>
        <v>15315</v>
      </c>
      <c r="F105" t="e">
        <f t="shared" si="5"/>
        <v>#N/A</v>
      </c>
    </row>
    <row r="106" spans="2:6">
      <c r="B106" s="194">
        <v>41556</v>
      </c>
      <c r="C106" s="195">
        <v>503</v>
      </c>
      <c r="D106" s="199">
        <f t="shared" si="3"/>
        <v>10</v>
      </c>
      <c r="E106">
        <f t="shared" si="4"/>
        <v>15315</v>
      </c>
      <c r="F106" t="e">
        <f t="shared" si="5"/>
        <v>#N/A</v>
      </c>
    </row>
    <row r="107" spans="2:6">
      <c r="B107" s="196">
        <v>41557</v>
      </c>
      <c r="C107" s="197">
        <v>484</v>
      </c>
      <c r="D107" s="199">
        <f t="shared" si="3"/>
        <v>10</v>
      </c>
      <c r="E107">
        <f t="shared" si="4"/>
        <v>15315</v>
      </c>
      <c r="F107" t="e">
        <f t="shared" si="5"/>
        <v>#N/A</v>
      </c>
    </row>
    <row r="108" spans="2:6">
      <c r="B108" s="194">
        <v>41558</v>
      </c>
      <c r="C108" s="195">
        <v>522</v>
      </c>
      <c r="D108" s="199">
        <f t="shared" si="3"/>
        <v>10</v>
      </c>
      <c r="E108">
        <f t="shared" si="4"/>
        <v>15315</v>
      </c>
      <c r="F108" t="e">
        <f t="shared" si="5"/>
        <v>#N/A</v>
      </c>
    </row>
    <row r="109" spans="2:6">
      <c r="B109" s="196">
        <v>41559</v>
      </c>
      <c r="C109" s="197">
        <v>536</v>
      </c>
      <c r="D109" s="199">
        <f t="shared" si="3"/>
        <v>10</v>
      </c>
      <c r="E109">
        <f t="shared" si="4"/>
        <v>15315</v>
      </c>
      <c r="F109" t="e">
        <f t="shared" si="5"/>
        <v>#N/A</v>
      </c>
    </row>
    <row r="110" spans="2:6">
      <c r="B110" s="194">
        <v>41560</v>
      </c>
      <c r="C110" s="195">
        <v>471</v>
      </c>
      <c r="D110" s="199">
        <f t="shared" si="3"/>
        <v>10</v>
      </c>
      <c r="E110">
        <f t="shared" si="4"/>
        <v>15315</v>
      </c>
      <c r="F110" t="e">
        <f t="shared" si="5"/>
        <v>#N/A</v>
      </c>
    </row>
    <row r="111" spans="2:6">
      <c r="B111" s="196">
        <v>41561</v>
      </c>
      <c r="C111" s="197">
        <v>477</v>
      </c>
      <c r="D111" s="199">
        <f t="shared" si="3"/>
        <v>10</v>
      </c>
      <c r="E111">
        <f t="shared" si="4"/>
        <v>15315</v>
      </c>
      <c r="F111" t="e">
        <f t="shared" si="5"/>
        <v>#N/A</v>
      </c>
    </row>
    <row r="112" spans="2:6">
      <c r="B112" s="194">
        <v>41562</v>
      </c>
      <c r="C112" s="195">
        <v>478</v>
      </c>
      <c r="D112" s="199">
        <f t="shared" si="3"/>
        <v>10</v>
      </c>
      <c r="E112">
        <f t="shared" si="4"/>
        <v>15315</v>
      </c>
      <c r="F112" t="e">
        <f t="shared" si="5"/>
        <v>#N/A</v>
      </c>
    </row>
    <row r="113" spans="2:6">
      <c r="B113" s="196">
        <v>41563</v>
      </c>
      <c r="C113" s="197">
        <v>492</v>
      </c>
      <c r="D113" s="199">
        <f t="shared" si="3"/>
        <v>10</v>
      </c>
      <c r="E113">
        <f t="shared" si="4"/>
        <v>15315</v>
      </c>
      <c r="F113" t="e">
        <f t="shared" si="5"/>
        <v>#N/A</v>
      </c>
    </row>
    <row r="114" spans="2:6">
      <c r="B114" s="194">
        <v>41564</v>
      </c>
      <c r="C114" s="195">
        <v>473</v>
      </c>
      <c r="D114" s="199">
        <f t="shared" si="3"/>
        <v>10</v>
      </c>
      <c r="E114">
        <f t="shared" si="4"/>
        <v>15315</v>
      </c>
      <c r="F114" t="e">
        <f t="shared" si="5"/>
        <v>#N/A</v>
      </c>
    </row>
    <row r="115" spans="2:6">
      <c r="B115" s="196">
        <v>41565</v>
      </c>
      <c r="C115" s="197">
        <v>518</v>
      </c>
      <c r="D115" s="199">
        <f t="shared" si="3"/>
        <v>10</v>
      </c>
      <c r="E115">
        <f t="shared" si="4"/>
        <v>15315</v>
      </c>
      <c r="F115" t="e">
        <f t="shared" si="5"/>
        <v>#N/A</v>
      </c>
    </row>
    <row r="116" spans="2:6">
      <c r="B116" s="194">
        <v>41566</v>
      </c>
      <c r="C116" s="195">
        <v>485</v>
      </c>
      <c r="D116" s="199">
        <f t="shared" si="3"/>
        <v>10</v>
      </c>
      <c r="E116">
        <f t="shared" si="4"/>
        <v>15315</v>
      </c>
      <c r="F116" t="e">
        <f t="shared" si="5"/>
        <v>#N/A</v>
      </c>
    </row>
    <row r="117" spans="2:6">
      <c r="B117" s="196">
        <v>41567</v>
      </c>
      <c r="C117" s="197">
        <v>502</v>
      </c>
      <c r="D117" s="199">
        <f t="shared" si="3"/>
        <v>10</v>
      </c>
      <c r="E117">
        <f t="shared" si="4"/>
        <v>15315</v>
      </c>
      <c r="F117" t="e">
        <f t="shared" si="5"/>
        <v>#N/A</v>
      </c>
    </row>
    <row r="118" spans="2:6">
      <c r="B118" s="194">
        <v>41568</v>
      </c>
      <c r="C118" s="195">
        <v>448</v>
      </c>
      <c r="D118" s="199">
        <f t="shared" si="3"/>
        <v>10</v>
      </c>
      <c r="E118">
        <f t="shared" si="4"/>
        <v>15315</v>
      </c>
      <c r="F118" t="e">
        <f t="shared" si="5"/>
        <v>#N/A</v>
      </c>
    </row>
    <row r="119" spans="2:6">
      <c r="B119" s="196">
        <v>41569</v>
      </c>
      <c r="C119" s="197">
        <v>504</v>
      </c>
      <c r="D119" s="199">
        <f t="shared" si="3"/>
        <v>10</v>
      </c>
      <c r="E119">
        <f t="shared" si="4"/>
        <v>15315</v>
      </c>
      <c r="F119" t="e">
        <f t="shared" si="5"/>
        <v>#N/A</v>
      </c>
    </row>
    <row r="120" spans="2:6">
      <c r="B120" s="194">
        <v>41570</v>
      </c>
      <c r="C120" s="195">
        <v>492</v>
      </c>
      <c r="D120" s="199">
        <f t="shared" si="3"/>
        <v>10</v>
      </c>
      <c r="E120">
        <f t="shared" si="4"/>
        <v>15315</v>
      </c>
      <c r="F120" t="e">
        <f t="shared" si="5"/>
        <v>#N/A</v>
      </c>
    </row>
    <row r="121" spans="2:6">
      <c r="B121" s="196">
        <v>41571</v>
      </c>
      <c r="C121" s="197">
        <v>503</v>
      </c>
      <c r="D121" s="199">
        <f t="shared" si="3"/>
        <v>10</v>
      </c>
      <c r="E121">
        <f t="shared" si="4"/>
        <v>15315</v>
      </c>
      <c r="F121" t="e">
        <f t="shared" si="5"/>
        <v>#N/A</v>
      </c>
    </row>
    <row r="122" spans="2:6">
      <c r="B122" s="194">
        <v>41572</v>
      </c>
      <c r="C122" s="195">
        <v>490</v>
      </c>
      <c r="D122" s="199">
        <f t="shared" si="3"/>
        <v>10</v>
      </c>
      <c r="E122">
        <f t="shared" si="4"/>
        <v>15315</v>
      </c>
      <c r="F122" t="e">
        <f t="shared" si="5"/>
        <v>#N/A</v>
      </c>
    </row>
    <row r="123" spans="2:6">
      <c r="B123" s="196">
        <v>41573</v>
      </c>
      <c r="C123" s="197">
        <v>489</v>
      </c>
      <c r="D123" s="199">
        <f t="shared" si="3"/>
        <v>10</v>
      </c>
      <c r="E123">
        <f t="shared" si="4"/>
        <v>15315</v>
      </c>
      <c r="F123" t="e">
        <f t="shared" si="5"/>
        <v>#N/A</v>
      </c>
    </row>
    <row r="124" spans="2:6">
      <c r="B124" s="194">
        <v>41574</v>
      </c>
      <c r="C124" s="195">
        <v>485</v>
      </c>
      <c r="D124" s="199">
        <f t="shared" si="3"/>
        <v>10</v>
      </c>
      <c r="E124">
        <f t="shared" si="4"/>
        <v>15315</v>
      </c>
      <c r="F124" t="e">
        <f t="shared" si="5"/>
        <v>#N/A</v>
      </c>
    </row>
    <row r="125" spans="2:6">
      <c r="B125" s="196">
        <v>41575</v>
      </c>
      <c r="C125" s="197">
        <v>503</v>
      </c>
      <c r="D125" s="199">
        <f t="shared" si="3"/>
        <v>10</v>
      </c>
      <c r="E125">
        <f t="shared" si="4"/>
        <v>15315</v>
      </c>
      <c r="F125" t="e">
        <f t="shared" si="5"/>
        <v>#N/A</v>
      </c>
    </row>
    <row r="126" spans="2:6">
      <c r="B126" s="194">
        <v>41576</v>
      </c>
      <c r="C126" s="195">
        <v>513</v>
      </c>
      <c r="D126" s="199">
        <f t="shared" si="3"/>
        <v>10</v>
      </c>
      <c r="E126">
        <f t="shared" si="4"/>
        <v>15315</v>
      </c>
      <c r="F126" t="e">
        <f t="shared" si="5"/>
        <v>#N/A</v>
      </c>
    </row>
    <row r="127" spans="2:6">
      <c r="B127" s="196">
        <v>41577</v>
      </c>
      <c r="C127" s="197">
        <v>502</v>
      </c>
      <c r="D127" s="199">
        <f t="shared" si="3"/>
        <v>10</v>
      </c>
      <c r="E127">
        <f t="shared" si="4"/>
        <v>15315</v>
      </c>
      <c r="F127" t="e">
        <f t="shared" si="5"/>
        <v>#N/A</v>
      </c>
    </row>
    <row r="128" spans="2:6">
      <c r="B128" s="194">
        <v>41578</v>
      </c>
      <c r="C128" s="195">
        <v>512</v>
      </c>
      <c r="D128" s="199">
        <f t="shared" si="3"/>
        <v>10</v>
      </c>
      <c r="E128">
        <f t="shared" si="4"/>
        <v>15315</v>
      </c>
      <c r="F128" t="e">
        <f t="shared" si="5"/>
        <v>#N/A</v>
      </c>
    </row>
    <row r="129" spans="2:6">
      <c r="B129" s="196">
        <v>41579</v>
      </c>
      <c r="C129" s="197">
        <v>534</v>
      </c>
      <c r="D129" s="199">
        <f t="shared" si="3"/>
        <v>11</v>
      </c>
      <c r="E129">
        <f t="shared" si="4"/>
        <v>15124</v>
      </c>
      <c r="F129" t="e">
        <f t="shared" si="5"/>
        <v>#N/A</v>
      </c>
    </row>
    <row r="130" spans="2:6">
      <c r="B130" s="194">
        <v>41580</v>
      </c>
      <c r="C130" s="195">
        <v>480</v>
      </c>
      <c r="D130" s="199">
        <f t="shared" si="3"/>
        <v>11</v>
      </c>
      <c r="E130">
        <f t="shared" si="4"/>
        <v>15124</v>
      </c>
      <c r="F130" t="e">
        <f t="shared" si="5"/>
        <v>#N/A</v>
      </c>
    </row>
    <row r="131" spans="2:6">
      <c r="B131" s="196">
        <v>41581</v>
      </c>
      <c r="C131" s="197">
        <v>441</v>
      </c>
      <c r="D131" s="199">
        <f t="shared" si="3"/>
        <v>11</v>
      </c>
      <c r="E131">
        <f t="shared" si="4"/>
        <v>15124</v>
      </c>
      <c r="F131" t="e">
        <f t="shared" si="5"/>
        <v>#N/A</v>
      </c>
    </row>
    <row r="132" spans="2:6">
      <c r="B132" s="194">
        <v>41582</v>
      </c>
      <c r="C132" s="195">
        <v>511</v>
      </c>
      <c r="D132" s="199">
        <f t="shared" si="3"/>
        <v>11</v>
      </c>
      <c r="E132">
        <f t="shared" si="4"/>
        <v>15124</v>
      </c>
      <c r="F132" t="e">
        <f t="shared" si="5"/>
        <v>#N/A</v>
      </c>
    </row>
    <row r="133" spans="2:6">
      <c r="B133" s="196">
        <v>41583</v>
      </c>
      <c r="C133" s="197">
        <v>494</v>
      </c>
      <c r="D133" s="199">
        <f t="shared" si="3"/>
        <v>11</v>
      </c>
      <c r="E133">
        <f t="shared" si="4"/>
        <v>15124</v>
      </c>
      <c r="F133" t="e">
        <f t="shared" si="5"/>
        <v>#N/A</v>
      </c>
    </row>
    <row r="134" spans="2:6">
      <c r="B134" s="194">
        <v>41584</v>
      </c>
      <c r="C134" s="195">
        <v>494</v>
      </c>
      <c r="D134" s="199">
        <f t="shared" si="3"/>
        <v>11</v>
      </c>
      <c r="E134">
        <f t="shared" si="4"/>
        <v>15124</v>
      </c>
      <c r="F134" t="e">
        <f t="shared" si="5"/>
        <v>#N/A</v>
      </c>
    </row>
    <row r="135" spans="2:6">
      <c r="B135" s="196">
        <v>41585</v>
      </c>
      <c r="C135" s="197">
        <v>520</v>
      </c>
      <c r="D135" s="199">
        <f t="shared" ref="D135:D169" si="6">MONTH(B135)</f>
        <v>11</v>
      </c>
      <c r="E135">
        <f t="shared" ref="E135:E169" si="7">SUMIF($D$6:$D$169,$D135,$C$6:$C$169)</f>
        <v>15124</v>
      </c>
      <c r="F135" t="e">
        <f t="shared" ref="F135:F169" si="8">IF(E135=$F$2,C135,NA())</f>
        <v>#N/A</v>
      </c>
    </row>
    <row r="136" spans="2:6">
      <c r="B136" s="194">
        <v>41586</v>
      </c>
      <c r="C136" s="195">
        <v>587</v>
      </c>
      <c r="D136" s="199">
        <f t="shared" si="6"/>
        <v>11</v>
      </c>
      <c r="E136">
        <f t="shared" si="7"/>
        <v>15124</v>
      </c>
      <c r="F136" t="e">
        <f t="shared" si="8"/>
        <v>#N/A</v>
      </c>
    </row>
    <row r="137" spans="2:6">
      <c r="B137" s="196">
        <v>41587</v>
      </c>
      <c r="C137" s="197">
        <v>503</v>
      </c>
      <c r="D137" s="199">
        <f t="shared" si="6"/>
        <v>11</v>
      </c>
      <c r="E137">
        <f t="shared" si="7"/>
        <v>15124</v>
      </c>
      <c r="F137" t="e">
        <f t="shared" si="8"/>
        <v>#N/A</v>
      </c>
    </row>
    <row r="138" spans="2:6">
      <c r="B138" s="194">
        <v>41588</v>
      </c>
      <c r="C138" s="195">
        <v>505</v>
      </c>
      <c r="D138" s="199">
        <f t="shared" si="6"/>
        <v>11</v>
      </c>
      <c r="E138">
        <f t="shared" si="7"/>
        <v>15124</v>
      </c>
      <c r="F138" t="e">
        <f t="shared" si="8"/>
        <v>#N/A</v>
      </c>
    </row>
    <row r="139" spans="2:6">
      <c r="B139" s="196">
        <v>41589</v>
      </c>
      <c r="C139" s="197">
        <v>540</v>
      </c>
      <c r="D139" s="199">
        <f t="shared" si="6"/>
        <v>11</v>
      </c>
      <c r="E139">
        <f t="shared" si="7"/>
        <v>15124</v>
      </c>
      <c r="F139" t="e">
        <f t="shared" si="8"/>
        <v>#N/A</v>
      </c>
    </row>
    <row r="140" spans="2:6">
      <c r="B140" s="194">
        <v>41590</v>
      </c>
      <c r="C140" s="195">
        <v>458</v>
      </c>
      <c r="D140" s="199">
        <f t="shared" si="6"/>
        <v>11</v>
      </c>
      <c r="E140">
        <f t="shared" si="7"/>
        <v>15124</v>
      </c>
      <c r="F140" t="e">
        <f t="shared" si="8"/>
        <v>#N/A</v>
      </c>
    </row>
    <row r="141" spans="2:6">
      <c r="B141" s="196">
        <v>41591</v>
      </c>
      <c r="C141" s="197">
        <v>548</v>
      </c>
      <c r="D141" s="199">
        <f t="shared" si="6"/>
        <v>11</v>
      </c>
      <c r="E141">
        <f t="shared" si="7"/>
        <v>15124</v>
      </c>
      <c r="F141" t="e">
        <f t="shared" si="8"/>
        <v>#N/A</v>
      </c>
    </row>
    <row r="142" spans="2:6">
      <c r="B142" s="194">
        <v>41592</v>
      </c>
      <c r="C142" s="195">
        <v>535</v>
      </c>
      <c r="D142" s="199">
        <f t="shared" si="6"/>
        <v>11</v>
      </c>
      <c r="E142">
        <f t="shared" si="7"/>
        <v>15124</v>
      </c>
      <c r="F142" t="e">
        <f t="shared" si="8"/>
        <v>#N/A</v>
      </c>
    </row>
    <row r="143" spans="2:6">
      <c r="B143" s="196">
        <v>41593</v>
      </c>
      <c r="C143" s="197">
        <v>477</v>
      </c>
      <c r="D143" s="199">
        <f t="shared" si="6"/>
        <v>11</v>
      </c>
      <c r="E143">
        <f t="shared" si="7"/>
        <v>15124</v>
      </c>
      <c r="F143" t="e">
        <f t="shared" si="8"/>
        <v>#N/A</v>
      </c>
    </row>
    <row r="144" spans="2:6">
      <c r="B144" s="194">
        <v>41594</v>
      </c>
      <c r="C144" s="195">
        <v>551</v>
      </c>
      <c r="D144" s="199">
        <f t="shared" si="6"/>
        <v>11</v>
      </c>
      <c r="E144">
        <f t="shared" si="7"/>
        <v>15124</v>
      </c>
      <c r="F144" t="e">
        <f t="shared" si="8"/>
        <v>#N/A</v>
      </c>
    </row>
    <row r="145" spans="2:6">
      <c r="B145" s="196">
        <v>41595</v>
      </c>
      <c r="C145" s="197">
        <v>516</v>
      </c>
      <c r="D145" s="199">
        <f t="shared" si="6"/>
        <v>11</v>
      </c>
      <c r="E145">
        <f t="shared" si="7"/>
        <v>15124</v>
      </c>
      <c r="F145" t="e">
        <f t="shared" si="8"/>
        <v>#N/A</v>
      </c>
    </row>
    <row r="146" spans="2:6">
      <c r="B146" s="194">
        <v>41596</v>
      </c>
      <c r="C146" s="195">
        <v>503</v>
      </c>
      <c r="D146" s="199">
        <f t="shared" si="6"/>
        <v>11</v>
      </c>
      <c r="E146">
        <f t="shared" si="7"/>
        <v>15124</v>
      </c>
      <c r="F146" t="e">
        <f t="shared" si="8"/>
        <v>#N/A</v>
      </c>
    </row>
    <row r="147" spans="2:6">
      <c r="B147" s="196">
        <v>41597</v>
      </c>
      <c r="C147" s="197">
        <v>467</v>
      </c>
      <c r="D147" s="199">
        <f t="shared" si="6"/>
        <v>11</v>
      </c>
      <c r="E147">
        <f t="shared" si="7"/>
        <v>15124</v>
      </c>
      <c r="F147" t="e">
        <f t="shared" si="8"/>
        <v>#N/A</v>
      </c>
    </row>
    <row r="148" spans="2:6">
      <c r="B148" s="194">
        <v>41598</v>
      </c>
      <c r="C148" s="195">
        <v>491</v>
      </c>
      <c r="D148" s="199">
        <f t="shared" si="6"/>
        <v>11</v>
      </c>
      <c r="E148">
        <f t="shared" si="7"/>
        <v>15124</v>
      </c>
      <c r="F148" t="e">
        <f t="shared" si="8"/>
        <v>#N/A</v>
      </c>
    </row>
    <row r="149" spans="2:6">
      <c r="B149" s="196">
        <v>41599</v>
      </c>
      <c r="C149" s="197">
        <v>478</v>
      </c>
      <c r="D149" s="199">
        <f t="shared" si="6"/>
        <v>11</v>
      </c>
      <c r="E149">
        <f t="shared" si="7"/>
        <v>15124</v>
      </c>
      <c r="F149" t="e">
        <f t="shared" si="8"/>
        <v>#N/A</v>
      </c>
    </row>
    <row r="150" spans="2:6">
      <c r="B150" s="194">
        <v>41600</v>
      </c>
      <c r="C150" s="195">
        <v>481</v>
      </c>
      <c r="D150" s="199">
        <f t="shared" si="6"/>
        <v>11</v>
      </c>
      <c r="E150">
        <f t="shared" si="7"/>
        <v>15124</v>
      </c>
      <c r="F150" t="e">
        <f t="shared" si="8"/>
        <v>#N/A</v>
      </c>
    </row>
    <row r="151" spans="2:6">
      <c r="B151" s="196">
        <v>41601</v>
      </c>
      <c r="C151" s="197">
        <v>505</v>
      </c>
      <c r="D151" s="199">
        <f t="shared" si="6"/>
        <v>11</v>
      </c>
      <c r="E151">
        <f t="shared" si="7"/>
        <v>15124</v>
      </c>
      <c r="F151" t="e">
        <f t="shared" si="8"/>
        <v>#N/A</v>
      </c>
    </row>
    <row r="152" spans="2:6">
      <c r="B152" s="194">
        <v>41602</v>
      </c>
      <c r="C152" s="195">
        <v>485</v>
      </c>
      <c r="D152" s="199">
        <f t="shared" si="6"/>
        <v>11</v>
      </c>
      <c r="E152">
        <f t="shared" si="7"/>
        <v>15124</v>
      </c>
      <c r="F152" t="e">
        <f t="shared" si="8"/>
        <v>#N/A</v>
      </c>
    </row>
    <row r="153" spans="2:6">
      <c r="B153" s="196">
        <v>41603</v>
      </c>
      <c r="C153" s="197">
        <v>483</v>
      </c>
      <c r="D153" s="199">
        <f t="shared" si="6"/>
        <v>11</v>
      </c>
      <c r="E153">
        <f t="shared" si="7"/>
        <v>15124</v>
      </c>
      <c r="F153" t="e">
        <f t="shared" si="8"/>
        <v>#N/A</v>
      </c>
    </row>
    <row r="154" spans="2:6">
      <c r="B154" s="194">
        <v>41604</v>
      </c>
      <c r="C154" s="195">
        <v>529</v>
      </c>
      <c r="D154" s="199">
        <f t="shared" si="6"/>
        <v>11</v>
      </c>
      <c r="E154">
        <f t="shared" si="7"/>
        <v>15124</v>
      </c>
      <c r="F154" t="e">
        <f t="shared" si="8"/>
        <v>#N/A</v>
      </c>
    </row>
    <row r="155" spans="2:6">
      <c r="B155" s="196">
        <v>41605</v>
      </c>
      <c r="C155" s="197">
        <v>506</v>
      </c>
      <c r="D155" s="199">
        <f t="shared" si="6"/>
        <v>11</v>
      </c>
      <c r="E155">
        <f t="shared" si="7"/>
        <v>15124</v>
      </c>
      <c r="F155" t="e">
        <f t="shared" si="8"/>
        <v>#N/A</v>
      </c>
    </row>
    <row r="156" spans="2:6">
      <c r="B156" s="194">
        <v>41606</v>
      </c>
      <c r="C156" s="195">
        <v>478</v>
      </c>
      <c r="D156" s="199">
        <f t="shared" si="6"/>
        <v>11</v>
      </c>
      <c r="E156">
        <f t="shared" si="7"/>
        <v>15124</v>
      </c>
      <c r="F156" t="e">
        <f t="shared" si="8"/>
        <v>#N/A</v>
      </c>
    </row>
    <row r="157" spans="2:6">
      <c r="B157" s="196">
        <v>41607</v>
      </c>
      <c r="C157" s="197">
        <v>503</v>
      </c>
      <c r="D157" s="199">
        <f t="shared" si="6"/>
        <v>11</v>
      </c>
      <c r="E157">
        <f t="shared" si="7"/>
        <v>15124</v>
      </c>
      <c r="F157" t="e">
        <f t="shared" si="8"/>
        <v>#N/A</v>
      </c>
    </row>
    <row r="158" spans="2:6">
      <c r="B158" s="194">
        <v>41608</v>
      </c>
      <c r="C158" s="195">
        <v>521</v>
      </c>
      <c r="D158" s="199">
        <f t="shared" si="6"/>
        <v>11</v>
      </c>
      <c r="E158">
        <f t="shared" si="7"/>
        <v>15124</v>
      </c>
      <c r="F158" t="e">
        <f t="shared" si="8"/>
        <v>#N/A</v>
      </c>
    </row>
    <row r="159" spans="2:6">
      <c r="B159" s="196">
        <v>41609</v>
      </c>
      <c r="C159" s="197">
        <v>481</v>
      </c>
      <c r="D159" s="199">
        <f t="shared" si="6"/>
        <v>12</v>
      </c>
      <c r="E159">
        <f t="shared" si="7"/>
        <v>5543</v>
      </c>
      <c r="F159" t="e">
        <f t="shared" si="8"/>
        <v>#N/A</v>
      </c>
    </row>
    <row r="160" spans="2:6">
      <c r="B160" s="194">
        <v>41610</v>
      </c>
      <c r="C160" s="195">
        <v>508</v>
      </c>
      <c r="D160" s="199">
        <f t="shared" si="6"/>
        <v>12</v>
      </c>
      <c r="E160">
        <f t="shared" si="7"/>
        <v>5543</v>
      </c>
      <c r="F160" t="e">
        <f t="shared" si="8"/>
        <v>#N/A</v>
      </c>
    </row>
    <row r="161" spans="2:6">
      <c r="B161" s="196">
        <v>41611</v>
      </c>
      <c r="C161" s="197">
        <v>551</v>
      </c>
      <c r="D161" s="199">
        <f t="shared" si="6"/>
        <v>12</v>
      </c>
      <c r="E161">
        <f t="shared" si="7"/>
        <v>5543</v>
      </c>
      <c r="F161" t="e">
        <f t="shared" si="8"/>
        <v>#N/A</v>
      </c>
    </row>
    <row r="162" spans="2:6">
      <c r="B162" s="194">
        <v>41612</v>
      </c>
      <c r="C162" s="195">
        <v>473</v>
      </c>
      <c r="D162" s="199">
        <f t="shared" si="6"/>
        <v>12</v>
      </c>
      <c r="E162">
        <f t="shared" si="7"/>
        <v>5543</v>
      </c>
      <c r="F162" t="e">
        <f t="shared" si="8"/>
        <v>#N/A</v>
      </c>
    </row>
    <row r="163" spans="2:6">
      <c r="B163" s="196">
        <v>41613</v>
      </c>
      <c r="C163" s="197">
        <v>493</v>
      </c>
      <c r="D163" s="199">
        <f t="shared" si="6"/>
        <v>12</v>
      </c>
      <c r="E163">
        <f t="shared" si="7"/>
        <v>5543</v>
      </c>
      <c r="F163" t="e">
        <f t="shared" si="8"/>
        <v>#N/A</v>
      </c>
    </row>
    <row r="164" spans="2:6">
      <c r="B164" s="194">
        <v>41614</v>
      </c>
      <c r="C164" s="195">
        <v>489</v>
      </c>
      <c r="D164" s="199">
        <f t="shared" si="6"/>
        <v>12</v>
      </c>
      <c r="E164">
        <f t="shared" si="7"/>
        <v>5543</v>
      </c>
      <c r="F164" t="e">
        <f t="shared" si="8"/>
        <v>#N/A</v>
      </c>
    </row>
    <row r="165" spans="2:6">
      <c r="B165" s="196">
        <v>41615</v>
      </c>
      <c r="C165" s="197">
        <v>497</v>
      </c>
      <c r="D165" s="199">
        <f t="shared" si="6"/>
        <v>12</v>
      </c>
      <c r="E165">
        <f t="shared" si="7"/>
        <v>5543</v>
      </c>
      <c r="F165" t="e">
        <f t="shared" si="8"/>
        <v>#N/A</v>
      </c>
    </row>
    <row r="166" spans="2:6">
      <c r="B166" s="194">
        <v>41616</v>
      </c>
      <c r="C166" s="195">
        <v>507</v>
      </c>
      <c r="D166" s="199">
        <f t="shared" si="6"/>
        <v>12</v>
      </c>
      <c r="E166">
        <f t="shared" si="7"/>
        <v>5543</v>
      </c>
      <c r="F166" t="e">
        <f t="shared" si="8"/>
        <v>#N/A</v>
      </c>
    </row>
    <row r="167" spans="2:6">
      <c r="B167" s="196">
        <v>41617</v>
      </c>
      <c r="C167" s="197">
        <v>481</v>
      </c>
      <c r="D167" s="199">
        <f t="shared" si="6"/>
        <v>12</v>
      </c>
      <c r="E167">
        <f t="shared" si="7"/>
        <v>5543</v>
      </c>
      <c r="F167" t="e">
        <f t="shared" si="8"/>
        <v>#N/A</v>
      </c>
    </row>
    <row r="168" spans="2:6">
      <c r="B168" s="194">
        <v>41618</v>
      </c>
      <c r="C168" s="195">
        <v>542</v>
      </c>
      <c r="D168" s="199">
        <f t="shared" si="6"/>
        <v>12</v>
      </c>
      <c r="E168">
        <f t="shared" si="7"/>
        <v>5543</v>
      </c>
      <c r="F168" t="e">
        <f t="shared" si="8"/>
        <v>#N/A</v>
      </c>
    </row>
    <row r="169" spans="2:6">
      <c r="B169" s="196">
        <v>41619</v>
      </c>
      <c r="C169" s="197">
        <v>521</v>
      </c>
      <c r="D169" s="199">
        <f t="shared" si="6"/>
        <v>12</v>
      </c>
      <c r="E169">
        <f t="shared" si="7"/>
        <v>5543</v>
      </c>
      <c r="F169" t="e">
        <f t="shared" si="8"/>
        <v>#N/A</v>
      </c>
    </row>
  </sheetData>
  <mergeCells count="1">
    <mergeCell ref="B3:D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BFDE-0DCE-4107-97C3-F75F12593388}">
  <sheetPr codeName="Sheet33">
    <tabColor rgb="FFFF0000"/>
  </sheetPr>
  <dimension ref="B1:I169"/>
  <sheetViews>
    <sheetView topLeftCell="A8" zoomScale="147" zoomScaleNormal="130" workbookViewId="0">
      <selection activeCell="O14" sqref="O14"/>
    </sheetView>
  </sheetViews>
  <sheetFormatPr defaultRowHeight="15"/>
  <cols>
    <col min="1" max="1" width="4" customWidth="1"/>
    <col min="2" max="2" width="9.7109375" customWidth="1"/>
    <col min="3" max="3" width="12.140625" customWidth="1"/>
    <col min="4" max="4" width="10.7109375" customWidth="1"/>
    <col min="5" max="5" width="12.7109375" bestFit="1" customWidth="1"/>
    <col min="6" max="6" width="12.5703125" customWidth="1"/>
    <col min="7" max="7" width="13" customWidth="1"/>
    <col min="9" max="9" width="10.42578125" bestFit="1" customWidth="1"/>
  </cols>
  <sheetData>
    <row r="1" spans="2:9" ht="15.75" thickBot="1"/>
    <row r="2" spans="2:9">
      <c r="B2" s="191" t="s">
        <v>946</v>
      </c>
      <c r="E2" t="s">
        <v>951</v>
      </c>
      <c r="F2">
        <f>MAX(E6:E169)</f>
        <v>15737</v>
      </c>
      <c r="G2">
        <f>MAX($E$6:$E$169)</f>
        <v>15737</v>
      </c>
    </row>
    <row r="3" spans="2:9" ht="24.75" customHeight="1">
      <c r="B3" s="680" t="s">
        <v>947</v>
      </c>
      <c r="C3" s="681"/>
      <c r="D3" s="681"/>
      <c r="E3" t="s">
        <v>952</v>
      </c>
      <c r="F3">
        <f>MIN(E6:E169)</f>
        <v>5543</v>
      </c>
      <c r="G3">
        <f>MIN($E$6:$E$169)</f>
        <v>5543</v>
      </c>
      <c r="I3" s="199"/>
    </row>
    <row r="4" spans="2:9" ht="22.15" customHeight="1">
      <c r="B4" s="198"/>
      <c r="C4" s="198"/>
    </row>
    <row r="5" spans="2:9">
      <c r="B5" s="192" t="s">
        <v>359</v>
      </c>
      <c r="C5" s="573" t="s">
        <v>948</v>
      </c>
      <c r="D5" s="283" t="s">
        <v>4033</v>
      </c>
      <c r="E5" s="283" t="s">
        <v>950</v>
      </c>
      <c r="F5" s="283" t="s">
        <v>4043</v>
      </c>
      <c r="G5" s="283" t="s">
        <v>4044</v>
      </c>
      <c r="I5" s="556"/>
    </row>
    <row r="6" spans="2:9">
      <c r="B6" s="194">
        <v>41612</v>
      </c>
      <c r="C6" s="195">
        <v>473</v>
      </c>
      <c r="D6" s="199">
        <f t="shared" ref="D6:D37" si="0">MONTH(B6)</f>
        <v>12</v>
      </c>
      <c r="E6">
        <f t="shared" ref="E6:E37" si="1">SUMIF($D$6:$D$169,$D6,$C$6:$C$169)</f>
        <v>5543</v>
      </c>
      <c r="F6" t="e">
        <f t="shared" ref="F6:F37" si="2">IF(E6=$F$2,C6,NA())</f>
        <v>#N/A</v>
      </c>
      <c r="G6">
        <f>IF(E6=$G$3,C6,NA())</f>
        <v>473</v>
      </c>
    </row>
    <row r="7" spans="2:9">
      <c r="B7" s="196">
        <v>41609</v>
      </c>
      <c r="C7" s="197">
        <v>481</v>
      </c>
      <c r="D7" s="199">
        <f t="shared" si="0"/>
        <v>12</v>
      </c>
      <c r="E7">
        <f t="shared" si="1"/>
        <v>5543</v>
      </c>
      <c r="F7" t="e">
        <f t="shared" si="2"/>
        <v>#N/A</v>
      </c>
      <c r="G7">
        <f t="shared" ref="G7:G38" si="3">IF(E7=$F$3,C7,NA())</f>
        <v>481</v>
      </c>
    </row>
    <row r="8" spans="2:9">
      <c r="B8" s="196">
        <v>41617</v>
      </c>
      <c r="C8" s="197">
        <v>481</v>
      </c>
      <c r="D8" s="199">
        <f t="shared" si="0"/>
        <v>12</v>
      </c>
      <c r="E8">
        <f t="shared" si="1"/>
        <v>5543</v>
      </c>
      <c r="F8" t="e">
        <f t="shared" si="2"/>
        <v>#N/A</v>
      </c>
      <c r="G8">
        <f t="shared" si="3"/>
        <v>481</v>
      </c>
    </row>
    <row r="9" spans="2:9">
      <c r="B9" s="194">
        <v>41614</v>
      </c>
      <c r="C9" s="195">
        <v>489</v>
      </c>
      <c r="D9" s="199">
        <f t="shared" si="0"/>
        <v>12</v>
      </c>
      <c r="E9">
        <f t="shared" si="1"/>
        <v>5543</v>
      </c>
      <c r="F9" t="e">
        <f t="shared" si="2"/>
        <v>#N/A</v>
      </c>
      <c r="G9">
        <f t="shared" si="3"/>
        <v>489</v>
      </c>
    </row>
    <row r="10" spans="2:9">
      <c r="B10" s="196">
        <v>41613</v>
      </c>
      <c r="C10" s="197">
        <v>493</v>
      </c>
      <c r="D10" s="199">
        <f t="shared" si="0"/>
        <v>12</v>
      </c>
      <c r="E10">
        <f t="shared" si="1"/>
        <v>5543</v>
      </c>
      <c r="F10" t="e">
        <f t="shared" si="2"/>
        <v>#N/A</v>
      </c>
      <c r="G10">
        <f t="shared" si="3"/>
        <v>493</v>
      </c>
    </row>
    <row r="11" spans="2:9">
      <c r="B11" s="196">
        <v>41615</v>
      </c>
      <c r="C11" s="197">
        <v>497</v>
      </c>
      <c r="D11" s="199">
        <f t="shared" si="0"/>
        <v>12</v>
      </c>
      <c r="E11">
        <f t="shared" si="1"/>
        <v>5543</v>
      </c>
      <c r="F11" t="e">
        <f t="shared" si="2"/>
        <v>#N/A</v>
      </c>
      <c r="G11">
        <f t="shared" si="3"/>
        <v>497</v>
      </c>
    </row>
    <row r="12" spans="2:9">
      <c r="B12" s="194">
        <v>41616</v>
      </c>
      <c r="C12" s="195">
        <v>507</v>
      </c>
      <c r="D12" s="199">
        <f t="shared" si="0"/>
        <v>12</v>
      </c>
      <c r="E12">
        <f t="shared" si="1"/>
        <v>5543</v>
      </c>
      <c r="F12" t="e">
        <f t="shared" si="2"/>
        <v>#N/A</v>
      </c>
      <c r="G12">
        <f t="shared" si="3"/>
        <v>507</v>
      </c>
    </row>
    <row r="13" spans="2:9">
      <c r="B13" s="194">
        <v>41610</v>
      </c>
      <c r="C13" s="195">
        <v>508</v>
      </c>
      <c r="D13" s="199">
        <f t="shared" si="0"/>
        <v>12</v>
      </c>
      <c r="E13">
        <f t="shared" si="1"/>
        <v>5543</v>
      </c>
      <c r="F13" t="e">
        <f t="shared" si="2"/>
        <v>#N/A</v>
      </c>
      <c r="G13">
        <f t="shared" si="3"/>
        <v>508</v>
      </c>
    </row>
    <row r="14" spans="2:9">
      <c r="B14" s="196">
        <v>41619</v>
      </c>
      <c r="C14" s="197">
        <v>521</v>
      </c>
      <c r="D14" s="199">
        <f t="shared" si="0"/>
        <v>12</v>
      </c>
      <c r="E14">
        <f t="shared" si="1"/>
        <v>5543</v>
      </c>
      <c r="F14" t="e">
        <f t="shared" si="2"/>
        <v>#N/A</v>
      </c>
      <c r="G14">
        <f t="shared" si="3"/>
        <v>521</v>
      </c>
    </row>
    <row r="15" spans="2:9">
      <c r="B15" s="194">
        <v>41618</v>
      </c>
      <c r="C15" s="195">
        <v>542</v>
      </c>
      <c r="D15" s="199">
        <f t="shared" si="0"/>
        <v>12</v>
      </c>
      <c r="E15">
        <f t="shared" si="1"/>
        <v>5543</v>
      </c>
      <c r="F15" t="e">
        <f t="shared" si="2"/>
        <v>#N/A</v>
      </c>
      <c r="G15">
        <f t="shared" si="3"/>
        <v>542</v>
      </c>
    </row>
    <row r="16" spans="2:9">
      <c r="B16" s="196">
        <v>41611</v>
      </c>
      <c r="C16" s="197">
        <v>551</v>
      </c>
      <c r="D16" s="199">
        <f t="shared" si="0"/>
        <v>12</v>
      </c>
      <c r="E16">
        <f t="shared" si="1"/>
        <v>5543</v>
      </c>
      <c r="F16" t="e">
        <f t="shared" si="2"/>
        <v>#N/A</v>
      </c>
      <c r="G16">
        <f t="shared" si="3"/>
        <v>551</v>
      </c>
    </row>
    <row r="17" spans="2:7">
      <c r="B17" s="194">
        <v>41476</v>
      </c>
      <c r="C17" s="195">
        <v>464</v>
      </c>
      <c r="D17" s="199">
        <f t="shared" si="0"/>
        <v>7</v>
      </c>
      <c r="E17">
        <f t="shared" si="1"/>
        <v>15737</v>
      </c>
      <c r="F17">
        <f t="shared" si="2"/>
        <v>464</v>
      </c>
      <c r="G17" t="e">
        <f t="shared" si="3"/>
        <v>#N/A</v>
      </c>
    </row>
    <row r="18" spans="2:7">
      <c r="B18" s="196">
        <v>41459</v>
      </c>
      <c r="C18" s="197">
        <v>473</v>
      </c>
      <c r="D18" s="199">
        <f t="shared" si="0"/>
        <v>7</v>
      </c>
      <c r="E18">
        <f t="shared" si="1"/>
        <v>15737</v>
      </c>
      <c r="F18">
        <f t="shared" si="2"/>
        <v>473</v>
      </c>
      <c r="G18" t="e">
        <f t="shared" si="3"/>
        <v>#N/A</v>
      </c>
    </row>
    <row r="19" spans="2:7">
      <c r="B19" s="194">
        <v>41456</v>
      </c>
      <c r="C19" s="195">
        <v>475</v>
      </c>
      <c r="D19" s="199">
        <f t="shared" si="0"/>
        <v>7</v>
      </c>
      <c r="E19">
        <f t="shared" si="1"/>
        <v>15737</v>
      </c>
      <c r="F19">
        <f t="shared" si="2"/>
        <v>475</v>
      </c>
      <c r="G19" t="e">
        <f t="shared" si="3"/>
        <v>#N/A</v>
      </c>
    </row>
    <row r="20" spans="2:7">
      <c r="B20" s="194">
        <v>41458</v>
      </c>
      <c r="C20" s="195">
        <v>479</v>
      </c>
      <c r="D20" s="199">
        <f t="shared" si="0"/>
        <v>7</v>
      </c>
      <c r="E20">
        <f t="shared" si="1"/>
        <v>15737</v>
      </c>
      <c r="F20">
        <f t="shared" si="2"/>
        <v>479</v>
      </c>
      <c r="G20" t="e">
        <f t="shared" si="3"/>
        <v>#N/A</v>
      </c>
    </row>
    <row r="21" spans="2:7">
      <c r="B21" s="194">
        <v>41464</v>
      </c>
      <c r="C21" s="195">
        <v>488</v>
      </c>
      <c r="D21" s="199">
        <f t="shared" si="0"/>
        <v>7</v>
      </c>
      <c r="E21">
        <f t="shared" si="1"/>
        <v>15737</v>
      </c>
      <c r="F21">
        <f t="shared" si="2"/>
        <v>488</v>
      </c>
      <c r="G21" t="e">
        <f t="shared" si="3"/>
        <v>#N/A</v>
      </c>
    </row>
    <row r="22" spans="2:7">
      <c r="B22" s="196">
        <v>41465</v>
      </c>
      <c r="C22" s="197">
        <v>489</v>
      </c>
      <c r="D22" s="199">
        <f t="shared" si="0"/>
        <v>7</v>
      </c>
      <c r="E22">
        <f t="shared" si="1"/>
        <v>15737</v>
      </c>
      <c r="F22">
        <f t="shared" si="2"/>
        <v>489</v>
      </c>
      <c r="G22" t="e">
        <f t="shared" si="3"/>
        <v>#N/A</v>
      </c>
    </row>
    <row r="23" spans="2:7">
      <c r="B23" s="194">
        <v>41478</v>
      </c>
      <c r="C23" s="195">
        <v>489</v>
      </c>
      <c r="D23" s="199">
        <f t="shared" si="0"/>
        <v>7</v>
      </c>
      <c r="E23">
        <f t="shared" si="1"/>
        <v>15737</v>
      </c>
      <c r="F23">
        <f t="shared" si="2"/>
        <v>489</v>
      </c>
      <c r="G23" t="e">
        <f t="shared" si="3"/>
        <v>#N/A</v>
      </c>
    </row>
    <row r="24" spans="2:7">
      <c r="B24" s="194">
        <v>41466</v>
      </c>
      <c r="C24" s="195">
        <v>490</v>
      </c>
      <c r="D24" s="199">
        <f t="shared" si="0"/>
        <v>7</v>
      </c>
      <c r="E24">
        <f t="shared" si="1"/>
        <v>15737</v>
      </c>
      <c r="F24">
        <f t="shared" si="2"/>
        <v>490</v>
      </c>
      <c r="G24" t="e">
        <f t="shared" si="3"/>
        <v>#N/A</v>
      </c>
    </row>
    <row r="25" spans="2:7">
      <c r="B25" s="196">
        <v>41475</v>
      </c>
      <c r="C25" s="197">
        <v>490</v>
      </c>
      <c r="D25" s="199">
        <f t="shared" si="0"/>
        <v>7</v>
      </c>
      <c r="E25">
        <f t="shared" si="1"/>
        <v>15737</v>
      </c>
      <c r="F25">
        <f t="shared" si="2"/>
        <v>490</v>
      </c>
      <c r="G25" t="e">
        <f t="shared" si="3"/>
        <v>#N/A</v>
      </c>
    </row>
    <row r="26" spans="2:7">
      <c r="B26" s="196">
        <v>41473</v>
      </c>
      <c r="C26" s="197">
        <v>492</v>
      </c>
      <c r="D26" s="199">
        <f t="shared" si="0"/>
        <v>7</v>
      </c>
      <c r="E26">
        <f t="shared" si="1"/>
        <v>15737</v>
      </c>
      <c r="F26">
        <f t="shared" si="2"/>
        <v>492</v>
      </c>
      <c r="G26" t="e">
        <f t="shared" si="3"/>
        <v>#N/A</v>
      </c>
    </row>
    <row r="27" spans="2:7">
      <c r="B27" s="194">
        <v>41484</v>
      </c>
      <c r="C27" s="195">
        <v>492</v>
      </c>
      <c r="D27" s="199">
        <f t="shared" si="0"/>
        <v>7</v>
      </c>
      <c r="E27">
        <f t="shared" si="1"/>
        <v>15737</v>
      </c>
      <c r="F27">
        <f t="shared" si="2"/>
        <v>492</v>
      </c>
      <c r="G27" t="e">
        <f t="shared" si="3"/>
        <v>#N/A</v>
      </c>
    </row>
    <row r="28" spans="2:7">
      <c r="B28" s="196">
        <v>41483</v>
      </c>
      <c r="C28" s="197">
        <v>496</v>
      </c>
      <c r="D28" s="199">
        <f t="shared" si="0"/>
        <v>7</v>
      </c>
      <c r="E28">
        <f t="shared" si="1"/>
        <v>15737</v>
      </c>
      <c r="F28">
        <f t="shared" si="2"/>
        <v>496</v>
      </c>
      <c r="G28" t="e">
        <f t="shared" si="3"/>
        <v>#N/A</v>
      </c>
    </row>
    <row r="29" spans="2:7">
      <c r="B29" s="194">
        <v>41462</v>
      </c>
      <c r="C29" s="195">
        <v>500</v>
      </c>
      <c r="D29" s="199">
        <f t="shared" si="0"/>
        <v>7</v>
      </c>
      <c r="E29">
        <f t="shared" si="1"/>
        <v>15737</v>
      </c>
      <c r="F29">
        <f t="shared" si="2"/>
        <v>500</v>
      </c>
      <c r="G29" t="e">
        <f t="shared" si="3"/>
        <v>#N/A</v>
      </c>
    </row>
    <row r="30" spans="2:7">
      <c r="B30" s="194">
        <v>41480</v>
      </c>
      <c r="C30" s="195">
        <v>504</v>
      </c>
      <c r="D30" s="199">
        <f t="shared" si="0"/>
        <v>7</v>
      </c>
      <c r="E30">
        <f t="shared" si="1"/>
        <v>15737</v>
      </c>
      <c r="F30">
        <f t="shared" si="2"/>
        <v>504</v>
      </c>
      <c r="G30" t="e">
        <f t="shared" si="3"/>
        <v>#N/A</v>
      </c>
    </row>
    <row r="31" spans="2:7">
      <c r="B31" s="194">
        <v>41470</v>
      </c>
      <c r="C31" s="195">
        <v>508</v>
      </c>
      <c r="D31" s="199">
        <f t="shared" si="0"/>
        <v>7</v>
      </c>
      <c r="E31">
        <f t="shared" si="1"/>
        <v>15737</v>
      </c>
      <c r="F31">
        <f t="shared" si="2"/>
        <v>508</v>
      </c>
      <c r="G31" t="e">
        <f t="shared" si="3"/>
        <v>#N/A</v>
      </c>
    </row>
    <row r="32" spans="2:7">
      <c r="B32" s="194">
        <v>41474</v>
      </c>
      <c r="C32" s="195">
        <v>508</v>
      </c>
      <c r="D32" s="199">
        <f t="shared" si="0"/>
        <v>7</v>
      </c>
      <c r="E32">
        <f t="shared" si="1"/>
        <v>15737</v>
      </c>
      <c r="F32">
        <f t="shared" si="2"/>
        <v>508</v>
      </c>
      <c r="G32" t="e">
        <f t="shared" si="3"/>
        <v>#N/A</v>
      </c>
    </row>
    <row r="33" spans="2:7">
      <c r="B33" s="196">
        <v>41457</v>
      </c>
      <c r="C33" s="197">
        <v>509</v>
      </c>
      <c r="D33" s="199">
        <f t="shared" si="0"/>
        <v>7</v>
      </c>
      <c r="E33">
        <f t="shared" si="1"/>
        <v>15737</v>
      </c>
      <c r="F33">
        <f t="shared" si="2"/>
        <v>509</v>
      </c>
      <c r="G33" t="e">
        <f t="shared" si="3"/>
        <v>#N/A</v>
      </c>
    </row>
    <row r="34" spans="2:7">
      <c r="B34" s="196">
        <v>41467</v>
      </c>
      <c r="C34" s="197">
        <v>511</v>
      </c>
      <c r="D34" s="199">
        <f t="shared" si="0"/>
        <v>7</v>
      </c>
      <c r="E34">
        <f t="shared" si="1"/>
        <v>15737</v>
      </c>
      <c r="F34">
        <f t="shared" si="2"/>
        <v>511</v>
      </c>
      <c r="G34" t="e">
        <f t="shared" si="3"/>
        <v>#N/A</v>
      </c>
    </row>
    <row r="35" spans="2:7">
      <c r="B35" s="196">
        <v>41469</v>
      </c>
      <c r="C35" s="197">
        <v>513</v>
      </c>
      <c r="D35" s="199">
        <f t="shared" si="0"/>
        <v>7</v>
      </c>
      <c r="E35">
        <f t="shared" si="1"/>
        <v>15737</v>
      </c>
      <c r="F35">
        <f t="shared" si="2"/>
        <v>513</v>
      </c>
      <c r="G35" t="e">
        <f t="shared" si="3"/>
        <v>#N/A</v>
      </c>
    </row>
    <row r="36" spans="2:7">
      <c r="B36" s="196">
        <v>41479</v>
      </c>
      <c r="C36" s="197">
        <v>514</v>
      </c>
      <c r="D36" s="199">
        <f t="shared" si="0"/>
        <v>7</v>
      </c>
      <c r="E36">
        <f t="shared" si="1"/>
        <v>15737</v>
      </c>
      <c r="F36">
        <f t="shared" si="2"/>
        <v>514</v>
      </c>
      <c r="G36" t="e">
        <f t="shared" si="3"/>
        <v>#N/A</v>
      </c>
    </row>
    <row r="37" spans="2:7">
      <c r="B37" s="194">
        <v>41486</v>
      </c>
      <c r="C37" s="195">
        <v>514</v>
      </c>
      <c r="D37" s="199">
        <f t="shared" si="0"/>
        <v>7</v>
      </c>
      <c r="E37">
        <f t="shared" si="1"/>
        <v>15737</v>
      </c>
      <c r="F37">
        <f t="shared" si="2"/>
        <v>514</v>
      </c>
      <c r="G37" t="e">
        <f t="shared" si="3"/>
        <v>#N/A</v>
      </c>
    </row>
    <row r="38" spans="2:7">
      <c r="B38" s="196">
        <v>41481</v>
      </c>
      <c r="C38" s="197">
        <v>515</v>
      </c>
      <c r="D38" s="199">
        <f t="shared" ref="D38:D69" si="4">MONTH(B38)</f>
        <v>7</v>
      </c>
      <c r="E38">
        <f t="shared" ref="E38:E69" si="5">SUMIF($D$6:$D$169,$D38,$C$6:$C$169)</f>
        <v>15737</v>
      </c>
      <c r="F38">
        <f t="shared" ref="F38:F69" si="6">IF(E38=$F$2,C38,NA())</f>
        <v>515</v>
      </c>
      <c r="G38" t="e">
        <f t="shared" si="3"/>
        <v>#N/A</v>
      </c>
    </row>
    <row r="39" spans="2:7">
      <c r="B39" s="196">
        <v>41461</v>
      </c>
      <c r="C39" s="197">
        <v>520</v>
      </c>
      <c r="D39" s="199">
        <f t="shared" si="4"/>
        <v>7</v>
      </c>
      <c r="E39">
        <f t="shared" si="5"/>
        <v>15737</v>
      </c>
      <c r="F39">
        <f t="shared" si="6"/>
        <v>520</v>
      </c>
      <c r="G39" t="e">
        <f t="shared" ref="G39:G70" si="7">IF(E39=$F$3,C39,NA())</f>
        <v>#N/A</v>
      </c>
    </row>
    <row r="40" spans="2:7">
      <c r="B40" s="194">
        <v>41468</v>
      </c>
      <c r="C40" s="195">
        <v>521</v>
      </c>
      <c r="D40" s="199">
        <f t="shared" si="4"/>
        <v>7</v>
      </c>
      <c r="E40">
        <f t="shared" si="5"/>
        <v>15737</v>
      </c>
      <c r="F40">
        <f t="shared" si="6"/>
        <v>521</v>
      </c>
      <c r="G40" t="e">
        <f t="shared" si="7"/>
        <v>#N/A</v>
      </c>
    </row>
    <row r="41" spans="2:7">
      <c r="B41" s="196">
        <v>41471</v>
      </c>
      <c r="C41" s="197">
        <v>527</v>
      </c>
      <c r="D41" s="199">
        <f t="shared" si="4"/>
        <v>7</v>
      </c>
      <c r="E41">
        <f t="shared" si="5"/>
        <v>15737</v>
      </c>
      <c r="F41">
        <f t="shared" si="6"/>
        <v>527</v>
      </c>
      <c r="G41" t="e">
        <f t="shared" si="7"/>
        <v>#N/A</v>
      </c>
    </row>
    <row r="42" spans="2:7">
      <c r="B42" s="194">
        <v>41460</v>
      </c>
      <c r="C42" s="195">
        <v>528</v>
      </c>
      <c r="D42" s="199">
        <f t="shared" si="4"/>
        <v>7</v>
      </c>
      <c r="E42">
        <f t="shared" si="5"/>
        <v>15737</v>
      </c>
      <c r="F42">
        <f t="shared" si="6"/>
        <v>528</v>
      </c>
      <c r="G42" t="e">
        <f t="shared" si="7"/>
        <v>#N/A</v>
      </c>
    </row>
    <row r="43" spans="2:7">
      <c r="B43" s="196">
        <v>41463</v>
      </c>
      <c r="C43" s="197">
        <v>534</v>
      </c>
      <c r="D43" s="199">
        <f t="shared" si="4"/>
        <v>7</v>
      </c>
      <c r="E43">
        <f t="shared" si="5"/>
        <v>15737</v>
      </c>
      <c r="F43">
        <f t="shared" si="6"/>
        <v>534</v>
      </c>
      <c r="G43" t="e">
        <f t="shared" si="7"/>
        <v>#N/A</v>
      </c>
    </row>
    <row r="44" spans="2:7">
      <c r="B44" s="196">
        <v>41485</v>
      </c>
      <c r="C44" s="197">
        <v>535</v>
      </c>
      <c r="D44" s="199">
        <f t="shared" si="4"/>
        <v>7</v>
      </c>
      <c r="E44">
        <f t="shared" si="5"/>
        <v>15737</v>
      </c>
      <c r="F44">
        <f t="shared" si="6"/>
        <v>535</v>
      </c>
      <c r="G44" t="e">
        <f t="shared" si="7"/>
        <v>#N/A</v>
      </c>
    </row>
    <row r="45" spans="2:7">
      <c r="B45" s="194">
        <v>41482</v>
      </c>
      <c r="C45" s="195">
        <v>545</v>
      </c>
      <c r="D45" s="199">
        <f t="shared" si="4"/>
        <v>7</v>
      </c>
      <c r="E45">
        <f t="shared" si="5"/>
        <v>15737</v>
      </c>
      <c r="F45">
        <f t="shared" si="6"/>
        <v>545</v>
      </c>
      <c r="G45" t="e">
        <f t="shared" si="7"/>
        <v>#N/A</v>
      </c>
    </row>
    <row r="46" spans="2:7">
      <c r="B46" s="196">
        <v>41477</v>
      </c>
      <c r="C46" s="197">
        <v>549</v>
      </c>
      <c r="D46" s="199">
        <f t="shared" si="4"/>
        <v>7</v>
      </c>
      <c r="E46">
        <f t="shared" si="5"/>
        <v>15737</v>
      </c>
      <c r="F46">
        <f t="shared" si="6"/>
        <v>549</v>
      </c>
      <c r="G46" t="e">
        <f t="shared" si="7"/>
        <v>#N/A</v>
      </c>
    </row>
    <row r="47" spans="2:7">
      <c r="B47" s="194">
        <v>41472</v>
      </c>
      <c r="C47" s="195">
        <v>565</v>
      </c>
      <c r="D47" s="199">
        <f t="shared" si="4"/>
        <v>7</v>
      </c>
      <c r="E47">
        <f t="shared" si="5"/>
        <v>15737</v>
      </c>
      <c r="F47">
        <f t="shared" si="6"/>
        <v>565</v>
      </c>
      <c r="G47" t="e">
        <f t="shared" si="7"/>
        <v>#N/A</v>
      </c>
    </row>
    <row r="48" spans="2:7">
      <c r="B48" s="196">
        <v>41487</v>
      </c>
      <c r="C48" s="197">
        <v>527</v>
      </c>
      <c r="D48" s="199">
        <f t="shared" si="4"/>
        <v>8</v>
      </c>
      <c r="E48">
        <f t="shared" si="5"/>
        <v>15288</v>
      </c>
      <c r="F48" t="e">
        <f t="shared" si="6"/>
        <v>#N/A</v>
      </c>
      <c r="G48" t="e">
        <f t="shared" si="7"/>
        <v>#N/A</v>
      </c>
    </row>
    <row r="49" spans="2:7">
      <c r="B49" s="194">
        <v>41488</v>
      </c>
      <c r="C49" s="195">
        <v>481</v>
      </c>
      <c r="D49" s="199">
        <f t="shared" si="4"/>
        <v>8</v>
      </c>
      <c r="E49">
        <f t="shared" si="5"/>
        <v>15288</v>
      </c>
      <c r="F49" t="e">
        <f t="shared" si="6"/>
        <v>#N/A</v>
      </c>
      <c r="G49" t="e">
        <f t="shared" si="7"/>
        <v>#N/A</v>
      </c>
    </row>
    <row r="50" spans="2:7">
      <c r="B50" s="196">
        <v>41489</v>
      </c>
      <c r="C50" s="197">
        <v>499</v>
      </c>
      <c r="D50" s="199">
        <f t="shared" si="4"/>
        <v>8</v>
      </c>
      <c r="E50">
        <f t="shared" si="5"/>
        <v>15288</v>
      </c>
      <c r="F50" t="e">
        <f t="shared" si="6"/>
        <v>#N/A</v>
      </c>
      <c r="G50" t="e">
        <f t="shared" si="7"/>
        <v>#N/A</v>
      </c>
    </row>
    <row r="51" spans="2:7">
      <c r="B51" s="194">
        <v>41490</v>
      </c>
      <c r="C51" s="195">
        <v>487</v>
      </c>
      <c r="D51" s="199">
        <f t="shared" si="4"/>
        <v>8</v>
      </c>
      <c r="E51">
        <f t="shared" si="5"/>
        <v>15288</v>
      </c>
      <c r="F51" t="e">
        <f t="shared" si="6"/>
        <v>#N/A</v>
      </c>
      <c r="G51" t="e">
        <f t="shared" si="7"/>
        <v>#N/A</v>
      </c>
    </row>
    <row r="52" spans="2:7">
      <c r="B52" s="196">
        <v>41491</v>
      </c>
      <c r="C52" s="197">
        <v>528</v>
      </c>
      <c r="D52" s="199">
        <f t="shared" si="4"/>
        <v>8</v>
      </c>
      <c r="E52">
        <f t="shared" si="5"/>
        <v>15288</v>
      </c>
      <c r="F52" t="e">
        <f t="shared" si="6"/>
        <v>#N/A</v>
      </c>
      <c r="G52" t="e">
        <f t="shared" si="7"/>
        <v>#N/A</v>
      </c>
    </row>
    <row r="53" spans="2:7">
      <c r="B53" s="194">
        <v>41492</v>
      </c>
      <c r="C53" s="195">
        <v>479</v>
      </c>
      <c r="D53" s="199">
        <f t="shared" si="4"/>
        <v>8</v>
      </c>
      <c r="E53">
        <f t="shared" si="5"/>
        <v>15288</v>
      </c>
      <c r="F53" t="e">
        <f t="shared" si="6"/>
        <v>#N/A</v>
      </c>
      <c r="G53" t="e">
        <f t="shared" si="7"/>
        <v>#N/A</v>
      </c>
    </row>
    <row r="54" spans="2:7">
      <c r="B54" s="196">
        <v>41493</v>
      </c>
      <c r="C54" s="197">
        <v>486</v>
      </c>
      <c r="D54" s="199">
        <f t="shared" si="4"/>
        <v>8</v>
      </c>
      <c r="E54">
        <f t="shared" si="5"/>
        <v>15288</v>
      </c>
      <c r="F54" t="e">
        <f t="shared" si="6"/>
        <v>#N/A</v>
      </c>
      <c r="G54" t="e">
        <f t="shared" si="7"/>
        <v>#N/A</v>
      </c>
    </row>
    <row r="55" spans="2:7">
      <c r="B55" s="194">
        <v>41494</v>
      </c>
      <c r="C55" s="195">
        <v>476</v>
      </c>
      <c r="D55" s="199">
        <f t="shared" si="4"/>
        <v>8</v>
      </c>
      <c r="E55">
        <f t="shared" si="5"/>
        <v>15288</v>
      </c>
      <c r="F55" t="e">
        <f t="shared" si="6"/>
        <v>#N/A</v>
      </c>
      <c r="G55" t="e">
        <f t="shared" si="7"/>
        <v>#N/A</v>
      </c>
    </row>
    <row r="56" spans="2:7">
      <c r="B56" s="196">
        <v>41495</v>
      </c>
      <c r="C56" s="197">
        <v>519</v>
      </c>
      <c r="D56" s="199">
        <f t="shared" si="4"/>
        <v>8</v>
      </c>
      <c r="E56">
        <f t="shared" si="5"/>
        <v>15288</v>
      </c>
      <c r="F56" t="e">
        <f t="shared" si="6"/>
        <v>#N/A</v>
      </c>
      <c r="G56" t="e">
        <f t="shared" si="7"/>
        <v>#N/A</v>
      </c>
    </row>
    <row r="57" spans="2:7">
      <c r="B57" s="194">
        <v>41496</v>
      </c>
      <c r="C57" s="195">
        <v>526</v>
      </c>
      <c r="D57" s="199">
        <f t="shared" si="4"/>
        <v>8</v>
      </c>
      <c r="E57">
        <f t="shared" si="5"/>
        <v>15288</v>
      </c>
      <c r="F57" t="e">
        <f t="shared" si="6"/>
        <v>#N/A</v>
      </c>
      <c r="G57" t="e">
        <f t="shared" si="7"/>
        <v>#N/A</v>
      </c>
    </row>
    <row r="58" spans="2:7">
      <c r="B58" s="196">
        <v>41497</v>
      </c>
      <c r="C58" s="197">
        <v>487</v>
      </c>
      <c r="D58" s="199">
        <f t="shared" si="4"/>
        <v>8</v>
      </c>
      <c r="E58">
        <f t="shared" si="5"/>
        <v>15288</v>
      </c>
      <c r="F58" t="e">
        <f t="shared" si="6"/>
        <v>#N/A</v>
      </c>
      <c r="G58" t="e">
        <f t="shared" si="7"/>
        <v>#N/A</v>
      </c>
    </row>
    <row r="59" spans="2:7">
      <c r="B59" s="194">
        <v>41498</v>
      </c>
      <c r="C59" s="195">
        <v>510</v>
      </c>
      <c r="D59" s="199">
        <f t="shared" si="4"/>
        <v>8</v>
      </c>
      <c r="E59">
        <f t="shared" si="5"/>
        <v>15288</v>
      </c>
      <c r="F59" t="e">
        <f t="shared" si="6"/>
        <v>#N/A</v>
      </c>
      <c r="G59" t="e">
        <f t="shared" si="7"/>
        <v>#N/A</v>
      </c>
    </row>
    <row r="60" spans="2:7">
      <c r="B60" s="196">
        <v>41499</v>
      </c>
      <c r="C60" s="197">
        <v>485</v>
      </c>
      <c r="D60" s="199">
        <f t="shared" si="4"/>
        <v>8</v>
      </c>
      <c r="E60">
        <f t="shared" si="5"/>
        <v>15288</v>
      </c>
      <c r="F60" t="e">
        <f t="shared" si="6"/>
        <v>#N/A</v>
      </c>
      <c r="G60" t="e">
        <f t="shared" si="7"/>
        <v>#N/A</v>
      </c>
    </row>
    <row r="61" spans="2:7">
      <c r="B61" s="194">
        <v>41500</v>
      </c>
      <c r="C61" s="195">
        <v>436</v>
      </c>
      <c r="D61" s="199">
        <f t="shared" si="4"/>
        <v>8</v>
      </c>
      <c r="E61">
        <f t="shared" si="5"/>
        <v>15288</v>
      </c>
      <c r="F61" t="e">
        <f t="shared" si="6"/>
        <v>#N/A</v>
      </c>
      <c r="G61" t="e">
        <f t="shared" si="7"/>
        <v>#N/A</v>
      </c>
    </row>
    <row r="62" spans="2:7">
      <c r="B62" s="196">
        <v>41501</v>
      </c>
      <c r="C62" s="197">
        <v>485</v>
      </c>
      <c r="D62" s="199">
        <f t="shared" si="4"/>
        <v>8</v>
      </c>
      <c r="E62">
        <f t="shared" si="5"/>
        <v>15288</v>
      </c>
      <c r="F62" t="e">
        <f t="shared" si="6"/>
        <v>#N/A</v>
      </c>
      <c r="G62" t="e">
        <f t="shared" si="7"/>
        <v>#N/A</v>
      </c>
    </row>
    <row r="63" spans="2:7">
      <c r="B63" s="194">
        <v>41502</v>
      </c>
      <c r="C63" s="195">
        <v>521</v>
      </c>
      <c r="D63" s="199">
        <f t="shared" si="4"/>
        <v>8</v>
      </c>
      <c r="E63">
        <f t="shared" si="5"/>
        <v>15288</v>
      </c>
      <c r="F63" t="e">
        <f t="shared" si="6"/>
        <v>#N/A</v>
      </c>
      <c r="G63" t="e">
        <f t="shared" si="7"/>
        <v>#N/A</v>
      </c>
    </row>
    <row r="64" spans="2:7">
      <c r="B64" s="196">
        <v>41503</v>
      </c>
      <c r="C64" s="197">
        <v>488</v>
      </c>
      <c r="D64" s="199">
        <f t="shared" si="4"/>
        <v>8</v>
      </c>
      <c r="E64">
        <f t="shared" si="5"/>
        <v>15288</v>
      </c>
      <c r="F64" t="e">
        <f t="shared" si="6"/>
        <v>#N/A</v>
      </c>
      <c r="G64" t="e">
        <f t="shared" si="7"/>
        <v>#N/A</v>
      </c>
    </row>
    <row r="65" spans="2:7">
      <c r="B65" s="194">
        <v>41504</v>
      </c>
      <c r="C65" s="195">
        <v>482</v>
      </c>
      <c r="D65" s="199">
        <f t="shared" si="4"/>
        <v>8</v>
      </c>
      <c r="E65">
        <f t="shared" si="5"/>
        <v>15288</v>
      </c>
      <c r="F65" t="e">
        <f t="shared" si="6"/>
        <v>#N/A</v>
      </c>
      <c r="G65" t="e">
        <f t="shared" si="7"/>
        <v>#N/A</v>
      </c>
    </row>
    <row r="66" spans="2:7">
      <c r="B66" s="196">
        <v>41505</v>
      </c>
      <c r="C66" s="197">
        <v>478</v>
      </c>
      <c r="D66" s="199">
        <f t="shared" si="4"/>
        <v>8</v>
      </c>
      <c r="E66">
        <f t="shared" si="5"/>
        <v>15288</v>
      </c>
      <c r="F66" t="e">
        <f t="shared" si="6"/>
        <v>#N/A</v>
      </c>
      <c r="G66" t="e">
        <f t="shared" si="7"/>
        <v>#N/A</v>
      </c>
    </row>
    <row r="67" spans="2:7">
      <c r="B67" s="194">
        <v>41506</v>
      </c>
      <c r="C67" s="195">
        <v>528</v>
      </c>
      <c r="D67" s="199">
        <f t="shared" si="4"/>
        <v>8</v>
      </c>
      <c r="E67">
        <f t="shared" si="5"/>
        <v>15288</v>
      </c>
      <c r="F67" t="e">
        <f t="shared" si="6"/>
        <v>#N/A</v>
      </c>
      <c r="G67" t="e">
        <f t="shared" si="7"/>
        <v>#N/A</v>
      </c>
    </row>
    <row r="68" spans="2:7">
      <c r="B68" s="196">
        <v>41507</v>
      </c>
      <c r="C68" s="197">
        <v>477</v>
      </c>
      <c r="D68" s="199">
        <f t="shared" si="4"/>
        <v>8</v>
      </c>
      <c r="E68">
        <f t="shared" si="5"/>
        <v>15288</v>
      </c>
      <c r="F68" t="e">
        <f t="shared" si="6"/>
        <v>#N/A</v>
      </c>
      <c r="G68" t="e">
        <f t="shared" si="7"/>
        <v>#N/A</v>
      </c>
    </row>
    <row r="69" spans="2:7">
      <c r="B69" s="194">
        <v>41508</v>
      </c>
      <c r="C69" s="195">
        <v>501</v>
      </c>
      <c r="D69" s="199">
        <f t="shared" si="4"/>
        <v>8</v>
      </c>
      <c r="E69">
        <f t="shared" si="5"/>
        <v>15288</v>
      </c>
      <c r="F69" t="e">
        <f t="shared" si="6"/>
        <v>#N/A</v>
      </c>
      <c r="G69" t="e">
        <f t="shared" si="7"/>
        <v>#N/A</v>
      </c>
    </row>
    <row r="70" spans="2:7">
      <c r="B70" s="196">
        <v>41509</v>
      </c>
      <c r="C70" s="197">
        <v>511</v>
      </c>
      <c r="D70" s="199">
        <f t="shared" ref="D70:D101" si="8">MONTH(B70)</f>
        <v>8</v>
      </c>
      <c r="E70">
        <f t="shared" ref="E70:E101" si="9">SUMIF($D$6:$D$169,$D70,$C$6:$C$169)</f>
        <v>15288</v>
      </c>
      <c r="F70" t="e">
        <f t="shared" ref="F70:F101" si="10">IF(E70=$F$2,C70,NA())</f>
        <v>#N/A</v>
      </c>
      <c r="G70" t="e">
        <f t="shared" si="7"/>
        <v>#N/A</v>
      </c>
    </row>
    <row r="71" spans="2:7">
      <c r="B71" s="194">
        <v>41510</v>
      </c>
      <c r="C71" s="195">
        <v>495</v>
      </c>
      <c r="D71" s="199">
        <f t="shared" si="8"/>
        <v>8</v>
      </c>
      <c r="E71">
        <f t="shared" si="9"/>
        <v>15288</v>
      </c>
      <c r="F71" t="e">
        <f t="shared" si="10"/>
        <v>#N/A</v>
      </c>
      <c r="G71" t="e">
        <f t="shared" ref="G71:G102" si="11">IF(E71=$F$3,C71,NA())</f>
        <v>#N/A</v>
      </c>
    </row>
    <row r="72" spans="2:7">
      <c r="B72" s="196">
        <v>41511</v>
      </c>
      <c r="C72" s="197">
        <v>476</v>
      </c>
      <c r="D72" s="199">
        <f t="shared" si="8"/>
        <v>8</v>
      </c>
      <c r="E72">
        <f t="shared" si="9"/>
        <v>15288</v>
      </c>
      <c r="F72" t="e">
        <f t="shared" si="10"/>
        <v>#N/A</v>
      </c>
      <c r="G72" t="e">
        <f t="shared" si="11"/>
        <v>#N/A</v>
      </c>
    </row>
    <row r="73" spans="2:7">
      <c r="B73" s="194">
        <v>41512</v>
      </c>
      <c r="C73" s="195">
        <v>519</v>
      </c>
      <c r="D73" s="199">
        <f t="shared" si="8"/>
        <v>8</v>
      </c>
      <c r="E73">
        <f t="shared" si="9"/>
        <v>15288</v>
      </c>
      <c r="F73" t="e">
        <f t="shared" si="10"/>
        <v>#N/A</v>
      </c>
      <c r="G73" t="e">
        <f t="shared" si="11"/>
        <v>#N/A</v>
      </c>
    </row>
    <row r="74" spans="2:7">
      <c r="B74" s="196">
        <v>41513</v>
      </c>
      <c r="C74" s="197">
        <v>475</v>
      </c>
      <c r="D74" s="199">
        <f t="shared" si="8"/>
        <v>8</v>
      </c>
      <c r="E74">
        <f t="shared" si="9"/>
        <v>15288</v>
      </c>
      <c r="F74" t="e">
        <f t="shared" si="10"/>
        <v>#N/A</v>
      </c>
      <c r="G74" t="e">
        <f t="shared" si="11"/>
        <v>#N/A</v>
      </c>
    </row>
    <row r="75" spans="2:7">
      <c r="B75" s="194">
        <v>41514</v>
      </c>
      <c r="C75" s="195">
        <v>475</v>
      </c>
      <c r="D75" s="199">
        <f t="shared" si="8"/>
        <v>8</v>
      </c>
      <c r="E75">
        <f t="shared" si="9"/>
        <v>15288</v>
      </c>
      <c r="F75" t="e">
        <f t="shared" si="10"/>
        <v>#N/A</v>
      </c>
      <c r="G75" t="e">
        <f t="shared" si="11"/>
        <v>#N/A</v>
      </c>
    </row>
    <row r="76" spans="2:7">
      <c r="B76" s="196">
        <v>41515</v>
      </c>
      <c r="C76" s="197">
        <v>499</v>
      </c>
      <c r="D76" s="199">
        <f t="shared" si="8"/>
        <v>8</v>
      </c>
      <c r="E76">
        <f t="shared" si="9"/>
        <v>15288</v>
      </c>
      <c r="F76" t="e">
        <f t="shared" si="10"/>
        <v>#N/A</v>
      </c>
      <c r="G76" t="e">
        <f t="shared" si="11"/>
        <v>#N/A</v>
      </c>
    </row>
    <row r="77" spans="2:7">
      <c r="B77" s="194">
        <v>41516</v>
      </c>
      <c r="C77" s="195">
        <v>512</v>
      </c>
      <c r="D77" s="199">
        <f t="shared" si="8"/>
        <v>8</v>
      </c>
      <c r="E77">
        <f t="shared" si="9"/>
        <v>15288</v>
      </c>
      <c r="F77" t="e">
        <f t="shared" si="10"/>
        <v>#N/A</v>
      </c>
      <c r="G77" t="e">
        <f t="shared" si="11"/>
        <v>#N/A</v>
      </c>
    </row>
    <row r="78" spans="2:7">
      <c r="B78" s="196">
        <v>41517</v>
      </c>
      <c r="C78" s="197">
        <v>440</v>
      </c>
      <c r="D78" s="199">
        <f t="shared" si="8"/>
        <v>8</v>
      </c>
      <c r="E78">
        <f t="shared" si="9"/>
        <v>15288</v>
      </c>
      <c r="F78" t="e">
        <f t="shared" si="10"/>
        <v>#N/A</v>
      </c>
      <c r="G78" t="e">
        <f t="shared" si="11"/>
        <v>#N/A</v>
      </c>
    </row>
    <row r="79" spans="2:7">
      <c r="B79" s="194">
        <v>41518</v>
      </c>
      <c r="C79" s="195">
        <v>531</v>
      </c>
      <c r="D79" s="199">
        <f t="shared" si="8"/>
        <v>9</v>
      </c>
      <c r="E79">
        <f t="shared" si="9"/>
        <v>15281</v>
      </c>
      <c r="F79" t="e">
        <f t="shared" si="10"/>
        <v>#N/A</v>
      </c>
      <c r="G79" t="e">
        <f t="shared" si="11"/>
        <v>#N/A</v>
      </c>
    </row>
    <row r="80" spans="2:7">
      <c r="B80" s="196">
        <v>41519</v>
      </c>
      <c r="C80" s="197">
        <v>493</v>
      </c>
      <c r="D80" s="199">
        <f t="shared" si="8"/>
        <v>9</v>
      </c>
      <c r="E80">
        <f t="shared" si="9"/>
        <v>15281</v>
      </c>
      <c r="F80" t="e">
        <f t="shared" si="10"/>
        <v>#N/A</v>
      </c>
      <c r="G80" t="e">
        <f t="shared" si="11"/>
        <v>#N/A</v>
      </c>
    </row>
    <row r="81" spans="2:7">
      <c r="B81" s="194">
        <v>41520</v>
      </c>
      <c r="C81" s="195">
        <v>508</v>
      </c>
      <c r="D81" s="199">
        <f t="shared" si="8"/>
        <v>9</v>
      </c>
      <c r="E81">
        <f t="shared" si="9"/>
        <v>15281</v>
      </c>
      <c r="F81" t="e">
        <f t="shared" si="10"/>
        <v>#N/A</v>
      </c>
      <c r="G81" t="e">
        <f t="shared" si="11"/>
        <v>#N/A</v>
      </c>
    </row>
    <row r="82" spans="2:7">
      <c r="B82" s="196">
        <v>41521</v>
      </c>
      <c r="C82" s="197">
        <v>474</v>
      </c>
      <c r="D82" s="199">
        <f t="shared" si="8"/>
        <v>9</v>
      </c>
      <c r="E82">
        <f t="shared" si="9"/>
        <v>15281</v>
      </c>
      <c r="F82" t="e">
        <f t="shared" si="10"/>
        <v>#N/A</v>
      </c>
      <c r="G82" t="e">
        <f t="shared" si="11"/>
        <v>#N/A</v>
      </c>
    </row>
    <row r="83" spans="2:7">
      <c r="B83" s="194">
        <v>41522</v>
      </c>
      <c r="C83" s="195">
        <v>523</v>
      </c>
      <c r="D83" s="199">
        <f t="shared" si="8"/>
        <v>9</v>
      </c>
      <c r="E83">
        <f t="shared" si="9"/>
        <v>15281</v>
      </c>
      <c r="F83" t="e">
        <f t="shared" si="10"/>
        <v>#N/A</v>
      </c>
      <c r="G83" t="e">
        <f t="shared" si="11"/>
        <v>#N/A</v>
      </c>
    </row>
    <row r="84" spans="2:7">
      <c r="B84" s="196">
        <v>41523</v>
      </c>
      <c r="C84" s="197">
        <v>528</v>
      </c>
      <c r="D84" s="199">
        <f t="shared" si="8"/>
        <v>9</v>
      </c>
      <c r="E84">
        <f t="shared" si="9"/>
        <v>15281</v>
      </c>
      <c r="F84" t="e">
        <f t="shared" si="10"/>
        <v>#N/A</v>
      </c>
      <c r="G84" t="e">
        <f t="shared" si="11"/>
        <v>#N/A</v>
      </c>
    </row>
    <row r="85" spans="2:7">
      <c r="B85" s="194">
        <v>41524</v>
      </c>
      <c r="C85" s="195">
        <v>549</v>
      </c>
      <c r="D85" s="199">
        <f t="shared" si="8"/>
        <v>9</v>
      </c>
      <c r="E85">
        <f t="shared" si="9"/>
        <v>15281</v>
      </c>
      <c r="F85" t="e">
        <f t="shared" si="10"/>
        <v>#N/A</v>
      </c>
      <c r="G85" t="e">
        <f t="shared" si="11"/>
        <v>#N/A</v>
      </c>
    </row>
    <row r="86" spans="2:7">
      <c r="B86" s="196">
        <v>41525</v>
      </c>
      <c r="C86" s="197">
        <v>510</v>
      </c>
      <c r="D86" s="199">
        <f t="shared" si="8"/>
        <v>9</v>
      </c>
      <c r="E86">
        <f t="shared" si="9"/>
        <v>15281</v>
      </c>
      <c r="F86" t="e">
        <f t="shared" si="10"/>
        <v>#N/A</v>
      </c>
      <c r="G86" t="e">
        <f t="shared" si="11"/>
        <v>#N/A</v>
      </c>
    </row>
    <row r="87" spans="2:7">
      <c r="B87" s="194">
        <v>41526</v>
      </c>
      <c r="C87" s="195">
        <v>545</v>
      </c>
      <c r="D87" s="199">
        <f t="shared" si="8"/>
        <v>9</v>
      </c>
      <c r="E87">
        <f t="shared" si="9"/>
        <v>15281</v>
      </c>
      <c r="F87" t="e">
        <f t="shared" si="10"/>
        <v>#N/A</v>
      </c>
      <c r="G87" t="e">
        <f t="shared" si="11"/>
        <v>#N/A</v>
      </c>
    </row>
    <row r="88" spans="2:7">
      <c r="B88" s="196">
        <v>41527</v>
      </c>
      <c r="C88" s="197">
        <v>544</v>
      </c>
      <c r="D88" s="199">
        <f t="shared" si="8"/>
        <v>9</v>
      </c>
      <c r="E88">
        <f t="shared" si="9"/>
        <v>15281</v>
      </c>
      <c r="F88" t="e">
        <f t="shared" si="10"/>
        <v>#N/A</v>
      </c>
      <c r="G88" t="e">
        <f t="shared" si="11"/>
        <v>#N/A</v>
      </c>
    </row>
    <row r="89" spans="2:7">
      <c r="B89" s="194">
        <v>41528</v>
      </c>
      <c r="C89" s="195">
        <v>512</v>
      </c>
      <c r="D89" s="199">
        <f t="shared" si="8"/>
        <v>9</v>
      </c>
      <c r="E89">
        <f t="shared" si="9"/>
        <v>15281</v>
      </c>
      <c r="F89" t="e">
        <f t="shared" si="10"/>
        <v>#N/A</v>
      </c>
      <c r="G89" t="e">
        <f t="shared" si="11"/>
        <v>#N/A</v>
      </c>
    </row>
    <row r="90" spans="2:7">
      <c r="B90" s="196">
        <v>41529</v>
      </c>
      <c r="C90" s="197">
        <v>488</v>
      </c>
      <c r="D90" s="199">
        <f t="shared" si="8"/>
        <v>9</v>
      </c>
      <c r="E90">
        <f t="shared" si="9"/>
        <v>15281</v>
      </c>
      <c r="F90" t="e">
        <f t="shared" si="10"/>
        <v>#N/A</v>
      </c>
      <c r="G90" t="e">
        <f t="shared" si="11"/>
        <v>#N/A</v>
      </c>
    </row>
    <row r="91" spans="2:7">
      <c r="B91" s="194">
        <v>41530</v>
      </c>
      <c r="C91" s="195">
        <v>537</v>
      </c>
      <c r="D91" s="199">
        <f t="shared" si="8"/>
        <v>9</v>
      </c>
      <c r="E91">
        <f t="shared" si="9"/>
        <v>15281</v>
      </c>
      <c r="F91" t="e">
        <f t="shared" si="10"/>
        <v>#N/A</v>
      </c>
      <c r="G91" t="e">
        <f t="shared" si="11"/>
        <v>#N/A</v>
      </c>
    </row>
    <row r="92" spans="2:7">
      <c r="B92" s="196">
        <v>41531</v>
      </c>
      <c r="C92" s="197">
        <v>527</v>
      </c>
      <c r="D92" s="199">
        <f t="shared" si="8"/>
        <v>9</v>
      </c>
      <c r="E92">
        <f t="shared" si="9"/>
        <v>15281</v>
      </c>
      <c r="F92" t="e">
        <f t="shared" si="10"/>
        <v>#N/A</v>
      </c>
      <c r="G92" t="e">
        <f t="shared" si="11"/>
        <v>#N/A</v>
      </c>
    </row>
    <row r="93" spans="2:7">
      <c r="B93" s="194">
        <v>41532</v>
      </c>
      <c r="C93" s="195">
        <v>487</v>
      </c>
      <c r="D93" s="199">
        <f t="shared" si="8"/>
        <v>9</v>
      </c>
      <c r="E93">
        <f t="shared" si="9"/>
        <v>15281</v>
      </c>
      <c r="F93" t="e">
        <f t="shared" si="10"/>
        <v>#N/A</v>
      </c>
      <c r="G93" t="e">
        <f t="shared" si="11"/>
        <v>#N/A</v>
      </c>
    </row>
    <row r="94" spans="2:7">
      <c r="B94" s="196">
        <v>41533</v>
      </c>
      <c r="C94" s="197">
        <v>462</v>
      </c>
      <c r="D94" s="199">
        <f t="shared" si="8"/>
        <v>9</v>
      </c>
      <c r="E94">
        <f t="shared" si="9"/>
        <v>15281</v>
      </c>
      <c r="F94" t="e">
        <f t="shared" si="10"/>
        <v>#N/A</v>
      </c>
      <c r="G94" t="e">
        <f t="shared" si="11"/>
        <v>#N/A</v>
      </c>
    </row>
    <row r="95" spans="2:7">
      <c r="B95" s="194">
        <v>41534</v>
      </c>
      <c r="C95" s="195">
        <v>471</v>
      </c>
      <c r="D95" s="199">
        <f t="shared" si="8"/>
        <v>9</v>
      </c>
      <c r="E95">
        <f t="shared" si="9"/>
        <v>15281</v>
      </c>
      <c r="F95" t="e">
        <f t="shared" si="10"/>
        <v>#N/A</v>
      </c>
      <c r="G95" t="e">
        <f t="shared" si="11"/>
        <v>#N/A</v>
      </c>
    </row>
    <row r="96" spans="2:7">
      <c r="B96" s="196">
        <v>41535</v>
      </c>
      <c r="C96" s="197">
        <v>490</v>
      </c>
      <c r="D96" s="199">
        <f t="shared" si="8"/>
        <v>9</v>
      </c>
      <c r="E96">
        <f t="shared" si="9"/>
        <v>15281</v>
      </c>
      <c r="F96" t="e">
        <f t="shared" si="10"/>
        <v>#N/A</v>
      </c>
      <c r="G96" t="e">
        <f t="shared" si="11"/>
        <v>#N/A</v>
      </c>
    </row>
    <row r="97" spans="2:7">
      <c r="B97" s="194">
        <v>41536</v>
      </c>
      <c r="C97" s="195">
        <v>518</v>
      </c>
      <c r="D97" s="199">
        <f t="shared" si="8"/>
        <v>9</v>
      </c>
      <c r="E97">
        <f t="shared" si="9"/>
        <v>15281</v>
      </c>
      <c r="F97" t="e">
        <f t="shared" si="10"/>
        <v>#N/A</v>
      </c>
      <c r="G97" t="e">
        <f t="shared" si="11"/>
        <v>#N/A</v>
      </c>
    </row>
    <row r="98" spans="2:7">
      <c r="B98" s="196">
        <v>41537</v>
      </c>
      <c r="C98" s="197">
        <v>478</v>
      </c>
      <c r="D98" s="199">
        <f t="shared" si="8"/>
        <v>9</v>
      </c>
      <c r="E98">
        <f t="shared" si="9"/>
        <v>15281</v>
      </c>
      <c r="F98" t="e">
        <f t="shared" si="10"/>
        <v>#N/A</v>
      </c>
      <c r="G98" t="e">
        <f t="shared" si="11"/>
        <v>#N/A</v>
      </c>
    </row>
    <row r="99" spans="2:7">
      <c r="B99" s="194">
        <v>41538</v>
      </c>
      <c r="C99" s="195">
        <v>457</v>
      </c>
      <c r="D99" s="199">
        <f t="shared" si="8"/>
        <v>9</v>
      </c>
      <c r="E99">
        <f t="shared" si="9"/>
        <v>15281</v>
      </c>
      <c r="F99" t="e">
        <f t="shared" si="10"/>
        <v>#N/A</v>
      </c>
      <c r="G99" t="e">
        <f t="shared" si="11"/>
        <v>#N/A</v>
      </c>
    </row>
    <row r="100" spans="2:7">
      <c r="B100" s="196">
        <v>41539</v>
      </c>
      <c r="C100" s="197">
        <v>502</v>
      </c>
      <c r="D100" s="199">
        <f t="shared" si="8"/>
        <v>9</v>
      </c>
      <c r="E100">
        <f t="shared" si="9"/>
        <v>15281</v>
      </c>
      <c r="F100" t="e">
        <f t="shared" si="10"/>
        <v>#N/A</v>
      </c>
      <c r="G100" t="e">
        <f t="shared" si="11"/>
        <v>#N/A</v>
      </c>
    </row>
    <row r="101" spans="2:7">
      <c r="B101" s="194">
        <v>41540</v>
      </c>
      <c r="C101" s="195">
        <v>532</v>
      </c>
      <c r="D101" s="199">
        <f t="shared" si="8"/>
        <v>9</v>
      </c>
      <c r="E101">
        <f t="shared" si="9"/>
        <v>15281</v>
      </c>
      <c r="F101" t="e">
        <f t="shared" si="10"/>
        <v>#N/A</v>
      </c>
      <c r="G101" t="e">
        <f t="shared" si="11"/>
        <v>#N/A</v>
      </c>
    </row>
    <row r="102" spans="2:7">
      <c r="B102" s="196">
        <v>41541</v>
      </c>
      <c r="C102" s="197">
        <v>512</v>
      </c>
      <c r="D102" s="199">
        <f t="shared" ref="D102:D133" si="12">MONTH(B102)</f>
        <v>9</v>
      </c>
      <c r="E102">
        <f t="shared" ref="E102:E133" si="13">SUMIF($D$6:$D$169,$D102,$C$6:$C$169)</f>
        <v>15281</v>
      </c>
      <c r="F102" t="e">
        <f t="shared" ref="F102:F133" si="14">IF(E102=$F$2,C102,NA())</f>
        <v>#N/A</v>
      </c>
      <c r="G102" t="e">
        <f t="shared" si="11"/>
        <v>#N/A</v>
      </c>
    </row>
    <row r="103" spans="2:7">
      <c r="B103" s="194">
        <v>41542</v>
      </c>
      <c r="C103" s="195">
        <v>523</v>
      </c>
      <c r="D103" s="199">
        <f t="shared" si="12"/>
        <v>9</v>
      </c>
      <c r="E103">
        <f t="shared" si="13"/>
        <v>15281</v>
      </c>
      <c r="F103" t="e">
        <f t="shared" si="14"/>
        <v>#N/A</v>
      </c>
      <c r="G103" t="e">
        <f t="shared" ref="G103:G134" si="15">IF(E103=$F$3,C103,NA())</f>
        <v>#N/A</v>
      </c>
    </row>
    <row r="104" spans="2:7">
      <c r="B104" s="196">
        <v>41543</v>
      </c>
      <c r="C104" s="197">
        <v>537</v>
      </c>
      <c r="D104" s="199">
        <f t="shared" si="12"/>
        <v>9</v>
      </c>
      <c r="E104">
        <f t="shared" si="13"/>
        <v>15281</v>
      </c>
      <c r="F104" t="e">
        <f t="shared" si="14"/>
        <v>#N/A</v>
      </c>
      <c r="G104" t="e">
        <f t="shared" si="15"/>
        <v>#N/A</v>
      </c>
    </row>
    <row r="105" spans="2:7">
      <c r="B105" s="194">
        <v>41544</v>
      </c>
      <c r="C105" s="195">
        <v>503</v>
      </c>
      <c r="D105" s="199">
        <f t="shared" si="12"/>
        <v>9</v>
      </c>
      <c r="E105">
        <f t="shared" si="13"/>
        <v>15281</v>
      </c>
      <c r="F105" t="e">
        <f t="shared" si="14"/>
        <v>#N/A</v>
      </c>
      <c r="G105" t="e">
        <f t="shared" si="15"/>
        <v>#N/A</v>
      </c>
    </row>
    <row r="106" spans="2:7">
      <c r="B106" s="196">
        <v>41545</v>
      </c>
      <c r="C106" s="197">
        <v>487</v>
      </c>
      <c r="D106" s="199">
        <f t="shared" si="12"/>
        <v>9</v>
      </c>
      <c r="E106">
        <f t="shared" si="13"/>
        <v>15281</v>
      </c>
      <c r="F106" t="e">
        <f t="shared" si="14"/>
        <v>#N/A</v>
      </c>
      <c r="G106" t="e">
        <f t="shared" si="15"/>
        <v>#N/A</v>
      </c>
    </row>
    <row r="107" spans="2:7">
      <c r="B107" s="194">
        <v>41546</v>
      </c>
      <c r="C107" s="195">
        <v>530</v>
      </c>
      <c r="D107" s="199">
        <f t="shared" si="12"/>
        <v>9</v>
      </c>
      <c r="E107">
        <f t="shared" si="13"/>
        <v>15281</v>
      </c>
      <c r="F107" t="e">
        <f t="shared" si="14"/>
        <v>#N/A</v>
      </c>
      <c r="G107" t="e">
        <f t="shared" si="15"/>
        <v>#N/A</v>
      </c>
    </row>
    <row r="108" spans="2:7">
      <c r="B108" s="196">
        <v>41547</v>
      </c>
      <c r="C108" s="197">
        <v>523</v>
      </c>
      <c r="D108" s="199">
        <f t="shared" si="12"/>
        <v>9</v>
      </c>
      <c r="E108">
        <f t="shared" si="13"/>
        <v>15281</v>
      </c>
      <c r="F108" t="e">
        <f t="shared" si="14"/>
        <v>#N/A</v>
      </c>
      <c r="G108" t="e">
        <f t="shared" si="15"/>
        <v>#N/A</v>
      </c>
    </row>
    <row r="109" spans="2:7">
      <c r="B109" s="194">
        <v>41548</v>
      </c>
      <c r="C109" s="195">
        <v>483</v>
      </c>
      <c r="D109" s="199">
        <f t="shared" si="12"/>
        <v>10</v>
      </c>
      <c r="E109">
        <f t="shared" si="13"/>
        <v>15315</v>
      </c>
      <c r="F109" t="e">
        <f t="shared" si="14"/>
        <v>#N/A</v>
      </c>
      <c r="G109" t="e">
        <f t="shared" si="15"/>
        <v>#N/A</v>
      </c>
    </row>
    <row r="110" spans="2:7">
      <c r="B110" s="196">
        <v>41549</v>
      </c>
      <c r="C110" s="197">
        <v>499</v>
      </c>
      <c r="D110" s="199">
        <f t="shared" si="12"/>
        <v>10</v>
      </c>
      <c r="E110">
        <f t="shared" si="13"/>
        <v>15315</v>
      </c>
      <c r="F110" t="e">
        <f t="shared" si="14"/>
        <v>#N/A</v>
      </c>
      <c r="G110" t="e">
        <f t="shared" si="15"/>
        <v>#N/A</v>
      </c>
    </row>
    <row r="111" spans="2:7">
      <c r="B111" s="194">
        <v>41550</v>
      </c>
      <c r="C111" s="195">
        <v>463</v>
      </c>
      <c r="D111" s="199">
        <f t="shared" si="12"/>
        <v>10</v>
      </c>
      <c r="E111">
        <f t="shared" si="13"/>
        <v>15315</v>
      </c>
      <c r="F111" t="e">
        <f t="shared" si="14"/>
        <v>#N/A</v>
      </c>
      <c r="G111" t="e">
        <f t="shared" si="15"/>
        <v>#N/A</v>
      </c>
    </row>
    <row r="112" spans="2:7">
      <c r="B112" s="196">
        <v>41551</v>
      </c>
      <c r="C112" s="197">
        <v>522</v>
      </c>
      <c r="D112" s="199">
        <f t="shared" si="12"/>
        <v>10</v>
      </c>
      <c r="E112">
        <f t="shared" si="13"/>
        <v>15315</v>
      </c>
      <c r="F112" t="e">
        <f t="shared" si="14"/>
        <v>#N/A</v>
      </c>
      <c r="G112" t="e">
        <f t="shared" si="15"/>
        <v>#N/A</v>
      </c>
    </row>
    <row r="113" spans="2:7">
      <c r="B113" s="194">
        <v>41552</v>
      </c>
      <c r="C113" s="195">
        <v>457</v>
      </c>
      <c r="D113" s="199">
        <f t="shared" si="12"/>
        <v>10</v>
      </c>
      <c r="E113">
        <f t="shared" si="13"/>
        <v>15315</v>
      </c>
      <c r="F113" t="e">
        <f t="shared" si="14"/>
        <v>#N/A</v>
      </c>
      <c r="G113" t="e">
        <f t="shared" si="15"/>
        <v>#N/A</v>
      </c>
    </row>
    <row r="114" spans="2:7">
      <c r="B114" s="196">
        <v>41553</v>
      </c>
      <c r="C114" s="197">
        <v>505</v>
      </c>
      <c r="D114" s="199">
        <f t="shared" si="12"/>
        <v>10</v>
      </c>
      <c r="E114">
        <f t="shared" si="13"/>
        <v>15315</v>
      </c>
      <c r="F114" t="e">
        <f t="shared" si="14"/>
        <v>#N/A</v>
      </c>
      <c r="G114" t="e">
        <f t="shared" si="15"/>
        <v>#N/A</v>
      </c>
    </row>
    <row r="115" spans="2:7">
      <c r="B115" s="194">
        <v>41554</v>
      </c>
      <c r="C115" s="195">
        <v>484</v>
      </c>
      <c r="D115" s="199">
        <f t="shared" si="12"/>
        <v>10</v>
      </c>
      <c r="E115">
        <f t="shared" si="13"/>
        <v>15315</v>
      </c>
      <c r="F115" t="e">
        <f t="shared" si="14"/>
        <v>#N/A</v>
      </c>
      <c r="G115" t="e">
        <f t="shared" si="15"/>
        <v>#N/A</v>
      </c>
    </row>
    <row r="116" spans="2:7">
      <c r="B116" s="196">
        <v>41555</v>
      </c>
      <c r="C116" s="197">
        <v>520</v>
      </c>
      <c r="D116" s="199">
        <f t="shared" si="12"/>
        <v>10</v>
      </c>
      <c r="E116">
        <f t="shared" si="13"/>
        <v>15315</v>
      </c>
      <c r="F116" t="e">
        <f t="shared" si="14"/>
        <v>#N/A</v>
      </c>
      <c r="G116" t="e">
        <f t="shared" si="15"/>
        <v>#N/A</v>
      </c>
    </row>
    <row r="117" spans="2:7">
      <c r="B117" s="194">
        <v>41556</v>
      </c>
      <c r="C117" s="195">
        <v>503</v>
      </c>
      <c r="D117" s="199">
        <f t="shared" si="12"/>
        <v>10</v>
      </c>
      <c r="E117">
        <f t="shared" si="13"/>
        <v>15315</v>
      </c>
      <c r="F117" t="e">
        <f t="shared" si="14"/>
        <v>#N/A</v>
      </c>
      <c r="G117" t="e">
        <f t="shared" si="15"/>
        <v>#N/A</v>
      </c>
    </row>
    <row r="118" spans="2:7">
      <c r="B118" s="196">
        <v>41557</v>
      </c>
      <c r="C118" s="197">
        <v>484</v>
      </c>
      <c r="D118" s="199">
        <f t="shared" si="12"/>
        <v>10</v>
      </c>
      <c r="E118">
        <f t="shared" si="13"/>
        <v>15315</v>
      </c>
      <c r="F118" t="e">
        <f t="shared" si="14"/>
        <v>#N/A</v>
      </c>
      <c r="G118" t="e">
        <f t="shared" si="15"/>
        <v>#N/A</v>
      </c>
    </row>
    <row r="119" spans="2:7">
      <c r="B119" s="194">
        <v>41558</v>
      </c>
      <c r="C119" s="195">
        <v>522</v>
      </c>
      <c r="D119" s="199">
        <f t="shared" si="12"/>
        <v>10</v>
      </c>
      <c r="E119">
        <f t="shared" si="13"/>
        <v>15315</v>
      </c>
      <c r="F119" t="e">
        <f t="shared" si="14"/>
        <v>#N/A</v>
      </c>
      <c r="G119" t="e">
        <f t="shared" si="15"/>
        <v>#N/A</v>
      </c>
    </row>
    <row r="120" spans="2:7">
      <c r="B120" s="196">
        <v>41559</v>
      </c>
      <c r="C120" s="197">
        <v>536</v>
      </c>
      <c r="D120" s="199">
        <f t="shared" si="12"/>
        <v>10</v>
      </c>
      <c r="E120">
        <f t="shared" si="13"/>
        <v>15315</v>
      </c>
      <c r="F120" t="e">
        <f t="shared" si="14"/>
        <v>#N/A</v>
      </c>
      <c r="G120" t="e">
        <f t="shared" si="15"/>
        <v>#N/A</v>
      </c>
    </row>
    <row r="121" spans="2:7">
      <c r="B121" s="194">
        <v>41560</v>
      </c>
      <c r="C121" s="195">
        <v>471</v>
      </c>
      <c r="D121" s="199">
        <f t="shared" si="12"/>
        <v>10</v>
      </c>
      <c r="E121">
        <f t="shared" si="13"/>
        <v>15315</v>
      </c>
      <c r="F121" t="e">
        <f t="shared" si="14"/>
        <v>#N/A</v>
      </c>
      <c r="G121" t="e">
        <f t="shared" si="15"/>
        <v>#N/A</v>
      </c>
    </row>
    <row r="122" spans="2:7">
      <c r="B122" s="196">
        <v>41561</v>
      </c>
      <c r="C122" s="197">
        <v>477</v>
      </c>
      <c r="D122" s="199">
        <f t="shared" si="12"/>
        <v>10</v>
      </c>
      <c r="E122">
        <f t="shared" si="13"/>
        <v>15315</v>
      </c>
      <c r="F122" t="e">
        <f t="shared" si="14"/>
        <v>#N/A</v>
      </c>
      <c r="G122" t="e">
        <f t="shared" si="15"/>
        <v>#N/A</v>
      </c>
    </row>
    <row r="123" spans="2:7">
      <c r="B123" s="194">
        <v>41562</v>
      </c>
      <c r="C123" s="195">
        <v>478</v>
      </c>
      <c r="D123" s="199">
        <f t="shared" si="12"/>
        <v>10</v>
      </c>
      <c r="E123">
        <f t="shared" si="13"/>
        <v>15315</v>
      </c>
      <c r="F123" t="e">
        <f t="shared" si="14"/>
        <v>#N/A</v>
      </c>
      <c r="G123" t="e">
        <f t="shared" si="15"/>
        <v>#N/A</v>
      </c>
    </row>
    <row r="124" spans="2:7">
      <c r="B124" s="196">
        <v>41563</v>
      </c>
      <c r="C124" s="197">
        <v>492</v>
      </c>
      <c r="D124" s="199">
        <f t="shared" si="12"/>
        <v>10</v>
      </c>
      <c r="E124">
        <f t="shared" si="13"/>
        <v>15315</v>
      </c>
      <c r="F124" t="e">
        <f t="shared" si="14"/>
        <v>#N/A</v>
      </c>
      <c r="G124" t="e">
        <f t="shared" si="15"/>
        <v>#N/A</v>
      </c>
    </row>
    <row r="125" spans="2:7">
      <c r="B125" s="194">
        <v>41564</v>
      </c>
      <c r="C125" s="195">
        <v>473</v>
      </c>
      <c r="D125" s="199">
        <f t="shared" si="12"/>
        <v>10</v>
      </c>
      <c r="E125">
        <f t="shared" si="13"/>
        <v>15315</v>
      </c>
      <c r="F125" t="e">
        <f t="shared" si="14"/>
        <v>#N/A</v>
      </c>
      <c r="G125" t="e">
        <f t="shared" si="15"/>
        <v>#N/A</v>
      </c>
    </row>
    <row r="126" spans="2:7">
      <c r="B126" s="196">
        <v>41565</v>
      </c>
      <c r="C126" s="197">
        <v>518</v>
      </c>
      <c r="D126" s="199">
        <f t="shared" si="12"/>
        <v>10</v>
      </c>
      <c r="E126">
        <f t="shared" si="13"/>
        <v>15315</v>
      </c>
      <c r="F126" t="e">
        <f t="shared" si="14"/>
        <v>#N/A</v>
      </c>
      <c r="G126" t="e">
        <f t="shared" si="15"/>
        <v>#N/A</v>
      </c>
    </row>
    <row r="127" spans="2:7">
      <c r="B127" s="194">
        <v>41566</v>
      </c>
      <c r="C127" s="195">
        <v>485</v>
      </c>
      <c r="D127" s="199">
        <f t="shared" si="12"/>
        <v>10</v>
      </c>
      <c r="E127">
        <f t="shared" si="13"/>
        <v>15315</v>
      </c>
      <c r="F127" t="e">
        <f t="shared" si="14"/>
        <v>#N/A</v>
      </c>
      <c r="G127" t="e">
        <f t="shared" si="15"/>
        <v>#N/A</v>
      </c>
    </row>
    <row r="128" spans="2:7">
      <c r="B128" s="196">
        <v>41567</v>
      </c>
      <c r="C128" s="197">
        <v>502</v>
      </c>
      <c r="D128" s="199">
        <f t="shared" si="12"/>
        <v>10</v>
      </c>
      <c r="E128">
        <f t="shared" si="13"/>
        <v>15315</v>
      </c>
      <c r="F128" t="e">
        <f t="shared" si="14"/>
        <v>#N/A</v>
      </c>
      <c r="G128" t="e">
        <f t="shared" si="15"/>
        <v>#N/A</v>
      </c>
    </row>
    <row r="129" spans="2:7">
      <c r="B129" s="194">
        <v>41568</v>
      </c>
      <c r="C129" s="195">
        <v>448</v>
      </c>
      <c r="D129" s="199">
        <f t="shared" si="12"/>
        <v>10</v>
      </c>
      <c r="E129">
        <f t="shared" si="13"/>
        <v>15315</v>
      </c>
      <c r="F129" t="e">
        <f t="shared" si="14"/>
        <v>#N/A</v>
      </c>
      <c r="G129" t="e">
        <f t="shared" si="15"/>
        <v>#N/A</v>
      </c>
    </row>
    <row r="130" spans="2:7">
      <c r="B130" s="196">
        <v>41569</v>
      </c>
      <c r="C130" s="197">
        <v>504</v>
      </c>
      <c r="D130" s="199">
        <f t="shared" si="12"/>
        <v>10</v>
      </c>
      <c r="E130">
        <f t="shared" si="13"/>
        <v>15315</v>
      </c>
      <c r="F130" t="e">
        <f t="shared" si="14"/>
        <v>#N/A</v>
      </c>
      <c r="G130" t="e">
        <f t="shared" si="15"/>
        <v>#N/A</v>
      </c>
    </row>
    <row r="131" spans="2:7">
      <c r="B131" s="194">
        <v>41570</v>
      </c>
      <c r="C131" s="195">
        <v>492</v>
      </c>
      <c r="D131" s="199">
        <f t="shared" si="12"/>
        <v>10</v>
      </c>
      <c r="E131">
        <f t="shared" si="13"/>
        <v>15315</v>
      </c>
      <c r="F131" t="e">
        <f t="shared" si="14"/>
        <v>#N/A</v>
      </c>
      <c r="G131" t="e">
        <f t="shared" si="15"/>
        <v>#N/A</v>
      </c>
    </row>
    <row r="132" spans="2:7">
      <c r="B132" s="196">
        <v>41571</v>
      </c>
      <c r="C132" s="197">
        <v>503</v>
      </c>
      <c r="D132" s="199">
        <f t="shared" si="12"/>
        <v>10</v>
      </c>
      <c r="E132">
        <f t="shared" si="13"/>
        <v>15315</v>
      </c>
      <c r="F132" t="e">
        <f t="shared" si="14"/>
        <v>#N/A</v>
      </c>
      <c r="G132" t="e">
        <f t="shared" si="15"/>
        <v>#N/A</v>
      </c>
    </row>
    <row r="133" spans="2:7">
      <c r="B133" s="194">
        <v>41572</v>
      </c>
      <c r="C133" s="195">
        <v>490</v>
      </c>
      <c r="D133" s="199">
        <f t="shared" si="12"/>
        <v>10</v>
      </c>
      <c r="E133">
        <f t="shared" si="13"/>
        <v>15315</v>
      </c>
      <c r="F133" t="e">
        <f t="shared" si="14"/>
        <v>#N/A</v>
      </c>
      <c r="G133" t="e">
        <f t="shared" si="15"/>
        <v>#N/A</v>
      </c>
    </row>
    <row r="134" spans="2:7">
      <c r="B134" s="196">
        <v>41573</v>
      </c>
      <c r="C134" s="197">
        <v>489</v>
      </c>
      <c r="D134" s="199">
        <f t="shared" ref="D134:D169" si="16">MONTH(B134)</f>
        <v>10</v>
      </c>
      <c r="E134">
        <f t="shared" ref="E134:E169" si="17">SUMIF($D$6:$D$169,$D134,$C$6:$C$169)</f>
        <v>15315</v>
      </c>
      <c r="F134" t="e">
        <f t="shared" ref="F134:F165" si="18">IF(E134=$F$2,C134,NA())</f>
        <v>#N/A</v>
      </c>
      <c r="G134" t="e">
        <f t="shared" si="15"/>
        <v>#N/A</v>
      </c>
    </row>
    <row r="135" spans="2:7">
      <c r="B135" s="194">
        <v>41574</v>
      </c>
      <c r="C135" s="195">
        <v>485</v>
      </c>
      <c r="D135" s="199">
        <f t="shared" si="16"/>
        <v>10</v>
      </c>
      <c r="E135">
        <f t="shared" si="17"/>
        <v>15315</v>
      </c>
      <c r="F135" t="e">
        <f t="shared" si="18"/>
        <v>#N/A</v>
      </c>
      <c r="G135" t="e">
        <f t="shared" ref="G135:G169" si="19">IF(E135=$F$3,C135,NA())</f>
        <v>#N/A</v>
      </c>
    </row>
    <row r="136" spans="2:7">
      <c r="B136" s="196">
        <v>41575</v>
      </c>
      <c r="C136" s="197">
        <v>503</v>
      </c>
      <c r="D136" s="199">
        <f t="shared" si="16"/>
        <v>10</v>
      </c>
      <c r="E136">
        <f t="shared" si="17"/>
        <v>15315</v>
      </c>
      <c r="F136" t="e">
        <f t="shared" si="18"/>
        <v>#N/A</v>
      </c>
      <c r="G136" t="e">
        <f t="shared" si="19"/>
        <v>#N/A</v>
      </c>
    </row>
    <row r="137" spans="2:7">
      <c r="B137" s="194">
        <v>41576</v>
      </c>
      <c r="C137" s="195">
        <v>513</v>
      </c>
      <c r="D137" s="199">
        <f t="shared" si="16"/>
        <v>10</v>
      </c>
      <c r="E137">
        <f t="shared" si="17"/>
        <v>15315</v>
      </c>
      <c r="F137" t="e">
        <f t="shared" si="18"/>
        <v>#N/A</v>
      </c>
      <c r="G137" t="e">
        <f t="shared" si="19"/>
        <v>#N/A</v>
      </c>
    </row>
    <row r="138" spans="2:7">
      <c r="B138" s="196">
        <v>41577</v>
      </c>
      <c r="C138" s="197">
        <v>502</v>
      </c>
      <c r="D138" s="199">
        <f t="shared" si="16"/>
        <v>10</v>
      </c>
      <c r="E138">
        <f t="shared" si="17"/>
        <v>15315</v>
      </c>
      <c r="F138" t="e">
        <f t="shared" si="18"/>
        <v>#N/A</v>
      </c>
      <c r="G138" t="e">
        <f t="shared" si="19"/>
        <v>#N/A</v>
      </c>
    </row>
    <row r="139" spans="2:7">
      <c r="B139" s="194">
        <v>41578</v>
      </c>
      <c r="C139" s="195">
        <v>512</v>
      </c>
      <c r="D139" s="199">
        <f t="shared" si="16"/>
        <v>10</v>
      </c>
      <c r="E139">
        <f t="shared" si="17"/>
        <v>15315</v>
      </c>
      <c r="F139" t="e">
        <f t="shared" si="18"/>
        <v>#N/A</v>
      </c>
      <c r="G139" t="e">
        <f t="shared" si="19"/>
        <v>#N/A</v>
      </c>
    </row>
    <row r="140" spans="2:7">
      <c r="B140" s="196">
        <v>41579</v>
      </c>
      <c r="C140" s="197">
        <v>534</v>
      </c>
      <c r="D140" s="199">
        <f t="shared" si="16"/>
        <v>11</v>
      </c>
      <c r="E140">
        <f t="shared" si="17"/>
        <v>15124</v>
      </c>
      <c r="F140" t="e">
        <f t="shared" si="18"/>
        <v>#N/A</v>
      </c>
      <c r="G140" t="e">
        <f t="shared" si="19"/>
        <v>#N/A</v>
      </c>
    </row>
    <row r="141" spans="2:7">
      <c r="B141" s="194">
        <v>41580</v>
      </c>
      <c r="C141" s="195">
        <v>480</v>
      </c>
      <c r="D141" s="199">
        <f t="shared" si="16"/>
        <v>11</v>
      </c>
      <c r="E141">
        <f t="shared" si="17"/>
        <v>15124</v>
      </c>
      <c r="F141" t="e">
        <f t="shared" si="18"/>
        <v>#N/A</v>
      </c>
      <c r="G141" t="e">
        <f t="shared" si="19"/>
        <v>#N/A</v>
      </c>
    </row>
    <row r="142" spans="2:7">
      <c r="B142" s="196">
        <v>41581</v>
      </c>
      <c r="C142" s="197">
        <v>441</v>
      </c>
      <c r="D142" s="199">
        <f t="shared" si="16"/>
        <v>11</v>
      </c>
      <c r="E142">
        <f t="shared" si="17"/>
        <v>15124</v>
      </c>
      <c r="F142" t="e">
        <f t="shared" si="18"/>
        <v>#N/A</v>
      </c>
      <c r="G142" t="e">
        <f t="shared" si="19"/>
        <v>#N/A</v>
      </c>
    </row>
    <row r="143" spans="2:7">
      <c r="B143" s="194">
        <v>41582</v>
      </c>
      <c r="C143" s="195">
        <v>511</v>
      </c>
      <c r="D143" s="199">
        <f t="shared" si="16"/>
        <v>11</v>
      </c>
      <c r="E143">
        <f t="shared" si="17"/>
        <v>15124</v>
      </c>
      <c r="F143" t="e">
        <f t="shared" si="18"/>
        <v>#N/A</v>
      </c>
      <c r="G143" t="e">
        <f t="shared" si="19"/>
        <v>#N/A</v>
      </c>
    </row>
    <row r="144" spans="2:7">
      <c r="B144" s="196">
        <v>41583</v>
      </c>
      <c r="C144" s="197">
        <v>494</v>
      </c>
      <c r="D144" s="199">
        <f t="shared" si="16"/>
        <v>11</v>
      </c>
      <c r="E144">
        <f t="shared" si="17"/>
        <v>15124</v>
      </c>
      <c r="F144" t="e">
        <f t="shared" si="18"/>
        <v>#N/A</v>
      </c>
      <c r="G144" t="e">
        <f t="shared" si="19"/>
        <v>#N/A</v>
      </c>
    </row>
    <row r="145" spans="2:7">
      <c r="B145" s="194">
        <v>41584</v>
      </c>
      <c r="C145" s="195">
        <v>494</v>
      </c>
      <c r="D145" s="199">
        <f t="shared" si="16"/>
        <v>11</v>
      </c>
      <c r="E145">
        <f t="shared" si="17"/>
        <v>15124</v>
      </c>
      <c r="F145" t="e">
        <f t="shared" si="18"/>
        <v>#N/A</v>
      </c>
      <c r="G145" t="e">
        <f t="shared" si="19"/>
        <v>#N/A</v>
      </c>
    </row>
    <row r="146" spans="2:7">
      <c r="B146" s="196">
        <v>41585</v>
      </c>
      <c r="C146" s="197">
        <v>520</v>
      </c>
      <c r="D146" s="199">
        <f t="shared" si="16"/>
        <v>11</v>
      </c>
      <c r="E146">
        <f t="shared" si="17"/>
        <v>15124</v>
      </c>
      <c r="F146" t="e">
        <f t="shared" si="18"/>
        <v>#N/A</v>
      </c>
      <c r="G146" t="e">
        <f t="shared" si="19"/>
        <v>#N/A</v>
      </c>
    </row>
    <row r="147" spans="2:7">
      <c r="B147" s="194">
        <v>41586</v>
      </c>
      <c r="C147" s="195">
        <v>587</v>
      </c>
      <c r="D147" s="199">
        <f t="shared" si="16"/>
        <v>11</v>
      </c>
      <c r="E147">
        <f t="shared" si="17"/>
        <v>15124</v>
      </c>
      <c r="F147" t="e">
        <f t="shared" si="18"/>
        <v>#N/A</v>
      </c>
      <c r="G147" t="e">
        <f t="shared" si="19"/>
        <v>#N/A</v>
      </c>
    </row>
    <row r="148" spans="2:7">
      <c r="B148" s="196">
        <v>41587</v>
      </c>
      <c r="C148" s="197">
        <v>503</v>
      </c>
      <c r="D148" s="199">
        <f t="shared" si="16"/>
        <v>11</v>
      </c>
      <c r="E148">
        <f t="shared" si="17"/>
        <v>15124</v>
      </c>
      <c r="F148" t="e">
        <f t="shared" si="18"/>
        <v>#N/A</v>
      </c>
      <c r="G148" t="e">
        <f t="shared" si="19"/>
        <v>#N/A</v>
      </c>
    </row>
    <row r="149" spans="2:7">
      <c r="B149" s="194">
        <v>41588</v>
      </c>
      <c r="C149" s="195">
        <v>505</v>
      </c>
      <c r="D149" s="199">
        <f t="shared" si="16"/>
        <v>11</v>
      </c>
      <c r="E149">
        <f t="shared" si="17"/>
        <v>15124</v>
      </c>
      <c r="F149" t="e">
        <f t="shared" si="18"/>
        <v>#N/A</v>
      </c>
      <c r="G149" t="e">
        <f t="shared" si="19"/>
        <v>#N/A</v>
      </c>
    </row>
    <row r="150" spans="2:7">
      <c r="B150" s="196">
        <v>41589</v>
      </c>
      <c r="C150" s="197">
        <v>540</v>
      </c>
      <c r="D150" s="199">
        <f t="shared" si="16"/>
        <v>11</v>
      </c>
      <c r="E150">
        <f t="shared" si="17"/>
        <v>15124</v>
      </c>
      <c r="F150" t="e">
        <f t="shared" si="18"/>
        <v>#N/A</v>
      </c>
      <c r="G150" t="e">
        <f t="shared" si="19"/>
        <v>#N/A</v>
      </c>
    </row>
    <row r="151" spans="2:7">
      <c r="B151" s="194">
        <v>41590</v>
      </c>
      <c r="C151" s="195">
        <v>458</v>
      </c>
      <c r="D151" s="199">
        <f t="shared" si="16"/>
        <v>11</v>
      </c>
      <c r="E151">
        <f t="shared" si="17"/>
        <v>15124</v>
      </c>
      <c r="F151" t="e">
        <f t="shared" si="18"/>
        <v>#N/A</v>
      </c>
      <c r="G151" t="e">
        <f t="shared" si="19"/>
        <v>#N/A</v>
      </c>
    </row>
    <row r="152" spans="2:7">
      <c r="B152" s="196">
        <v>41591</v>
      </c>
      <c r="C152" s="197">
        <v>548</v>
      </c>
      <c r="D152" s="199">
        <f t="shared" si="16"/>
        <v>11</v>
      </c>
      <c r="E152">
        <f t="shared" si="17"/>
        <v>15124</v>
      </c>
      <c r="F152" t="e">
        <f t="shared" si="18"/>
        <v>#N/A</v>
      </c>
      <c r="G152" t="e">
        <f t="shared" si="19"/>
        <v>#N/A</v>
      </c>
    </row>
    <row r="153" spans="2:7">
      <c r="B153" s="194">
        <v>41592</v>
      </c>
      <c r="C153" s="195">
        <v>535</v>
      </c>
      <c r="D153" s="199">
        <f t="shared" si="16"/>
        <v>11</v>
      </c>
      <c r="E153">
        <f t="shared" si="17"/>
        <v>15124</v>
      </c>
      <c r="F153" t="e">
        <f t="shared" si="18"/>
        <v>#N/A</v>
      </c>
      <c r="G153" t="e">
        <f t="shared" si="19"/>
        <v>#N/A</v>
      </c>
    </row>
    <row r="154" spans="2:7">
      <c r="B154" s="196">
        <v>41593</v>
      </c>
      <c r="C154" s="197">
        <v>477</v>
      </c>
      <c r="D154" s="199">
        <f t="shared" si="16"/>
        <v>11</v>
      </c>
      <c r="E154">
        <f t="shared" si="17"/>
        <v>15124</v>
      </c>
      <c r="F154" t="e">
        <f t="shared" si="18"/>
        <v>#N/A</v>
      </c>
      <c r="G154" t="e">
        <f t="shared" si="19"/>
        <v>#N/A</v>
      </c>
    </row>
    <row r="155" spans="2:7">
      <c r="B155" s="194">
        <v>41594</v>
      </c>
      <c r="C155" s="195">
        <v>551</v>
      </c>
      <c r="D155" s="199">
        <f t="shared" si="16"/>
        <v>11</v>
      </c>
      <c r="E155">
        <f t="shared" si="17"/>
        <v>15124</v>
      </c>
      <c r="F155" t="e">
        <f t="shared" si="18"/>
        <v>#N/A</v>
      </c>
      <c r="G155" t="e">
        <f t="shared" si="19"/>
        <v>#N/A</v>
      </c>
    </row>
    <row r="156" spans="2:7">
      <c r="B156" s="196">
        <v>41595</v>
      </c>
      <c r="C156" s="197">
        <v>516</v>
      </c>
      <c r="D156" s="199">
        <f t="shared" si="16"/>
        <v>11</v>
      </c>
      <c r="E156">
        <f t="shared" si="17"/>
        <v>15124</v>
      </c>
      <c r="F156" t="e">
        <f t="shared" si="18"/>
        <v>#N/A</v>
      </c>
      <c r="G156" t="e">
        <f t="shared" si="19"/>
        <v>#N/A</v>
      </c>
    </row>
    <row r="157" spans="2:7">
      <c r="B157" s="194">
        <v>41596</v>
      </c>
      <c r="C157" s="195">
        <v>503</v>
      </c>
      <c r="D157" s="199">
        <f t="shared" si="16"/>
        <v>11</v>
      </c>
      <c r="E157">
        <f t="shared" si="17"/>
        <v>15124</v>
      </c>
      <c r="F157" t="e">
        <f t="shared" si="18"/>
        <v>#N/A</v>
      </c>
      <c r="G157" t="e">
        <f t="shared" si="19"/>
        <v>#N/A</v>
      </c>
    </row>
    <row r="158" spans="2:7">
      <c r="B158" s="196">
        <v>41597</v>
      </c>
      <c r="C158" s="197">
        <v>467</v>
      </c>
      <c r="D158" s="199">
        <f t="shared" si="16"/>
        <v>11</v>
      </c>
      <c r="E158">
        <f t="shared" si="17"/>
        <v>15124</v>
      </c>
      <c r="F158" t="e">
        <f t="shared" si="18"/>
        <v>#N/A</v>
      </c>
      <c r="G158" t="e">
        <f t="shared" si="19"/>
        <v>#N/A</v>
      </c>
    </row>
    <row r="159" spans="2:7">
      <c r="B159" s="194">
        <v>41598</v>
      </c>
      <c r="C159" s="195">
        <v>491</v>
      </c>
      <c r="D159" s="199">
        <f t="shared" si="16"/>
        <v>11</v>
      </c>
      <c r="E159">
        <f t="shared" si="17"/>
        <v>15124</v>
      </c>
      <c r="F159" t="e">
        <f t="shared" si="18"/>
        <v>#N/A</v>
      </c>
      <c r="G159" t="e">
        <f t="shared" si="19"/>
        <v>#N/A</v>
      </c>
    </row>
    <row r="160" spans="2:7">
      <c r="B160" s="196">
        <v>41599</v>
      </c>
      <c r="C160" s="197">
        <v>478</v>
      </c>
      <c r="D160" s="199">
        <f t="shared" si="16"/>
        <v>11</v>
      </c>
      <c r="E160">
        <f t="shared" si="17"/>
        <v>15124</v>
      </c>
      <c r="F160" t="e">
        <f t="shared" si="18"/>
        <v>#N/A</v>
      </c>
      <c r="G160" t="e">
        <f t="shared" si="19"/>
        <v>#N/A</v>
      </c>
    </row>
    <row r="161" spans="2:7">
      <c r="B161" s="194">
        <v>41600</v>
      </c>
      <c r="C161" s="195">
        <v>481</v>
      </c>
      <c r="D161" s="199">
        <f t="shared" si="16"/>
        <v>11</v>
      </c>
      <c r="E161">
        <f t="shared" si="17"/>
        <v>15124</v>
      </c>
      <c r="F161" t="e">
        <f t="shared" si="18"/>
        <v>#N/A</v>
      </c>
      <c r="G161" t="e">
        <f t="shared" si="19"/>
        <v>#N/A</v>
      </c>
    </row>
    <row r="162" spans="2:7">
      <c r="B162" s="196">
        <v>41601</v>
      </c>
      <c r="C162" s="197">
        <v>505</v>
      </c>
      <c r="D162" s="199">
        <f t="shared" si="16"/>
        <v>11</v>
      </c>
      <c r="E162">
        <f t="shared" si="17"/>
        <v>15124</v>
      </c>
      <c r="F162" t="e">
        <f t="shared" si="18"/>
        <v>#N/A</v>
      </c>
      <c r="G162" t="e">
        <f t="shared" si="19"/>
        <v>#N/A</v>
      </c>
    </row>
    <row r="163" spans="2:7">
      <c r="B163" s="194">
        <v>41602</v>
      </c>
      <c r="C163" s="195">
        <v>485</v>
      </c>
      <c r="D163" s="199">
        <f t="shared" si="16"/>
        <v>11</v>
      </c>
      <c r="E163">
        <f t="shared" si="17"/>
        <v>15124</v>
      </c>
      <c r="F163" t="e">
        <f t="shared" si="18"/>
        <v>#N/A</v>
      </c>
      <c r="G163" t="e">
        <f t="shared" si="19"/>
        <v>#N/A</v>
      </c>
    </row>
    <row r="164" spans="2:7">
      <c r="B164" s="196">
        <v>41603</v>
      </c>
      <c r="C164" s="197">
        <v>483</v>
      </c>
      <c r="D164" s="199">
        <f t="shared" si="16"/>
        <v>11</v>
      </c>
      <c r="E164">
        <f t="shared" si="17"/>
        <v>15124</v>
      </c>
      <c r="F164" t="e">
        <f t="shared" si="18"/>
        <v>#N/A</v>
      </c>
      <c r="G164" t="e">
        <f t="shared" si="19"/>
        <v>#N/A</v>
      </c>
    </row>
    <row r="165" spans="2:7">
      <c r="B165" s="194">
        <v>41604</v>
      </c>
      <c r="C165" s="195">
        <v>529</v>
      </c>
      <c r="D165" s="199">
        <f t="shared" si="16"/>
        <v>11</v>
      </c>
      <c r="E165">
        <f t="shared" si="17"/>
        <v>15124</v>
      </c>
      <c r="F165" t="e">
        <f t="shared" si="18"/>
        <v>#N/A</v>
      </c>
      <c r="G165" t="e">
        <f t="shared" si="19"/>
        <v>#N/A</v>
      </c>
    </row>
    <row r="166" spans="2:7">
      <c r="B166" s="196">
        <v>41605</v>
      </c>
      <c r="C166" s="197">
        <v>506</v>
      </c>
      <c r="D166" s="199">
        <f t="shared" si="16"/>
        <v>11</v>
      </c>
      <c r="E166">
        <f t="shared" si="17"/>
        <v>15124</v>
      </c>
      <c r="F166" t="e">
        <f t="shared" ref="F166:F169" si="20">IF(E166=$F$2,C166,NA())</f>
        <v>#N/A</v>
      </c>
      <c r="G166" t="e">
        <f t="shared" si="19"/>
        <v>#N/A</v>
      </c>
    </row>
    <row r="167" spans="2:7">
      <c r="B167" s="194">
        <v>41606</v>
      </c>
      <c r="C167" s="195">
        <v>478</v>
      </c>
      <c r="D167" s="199">
        <f t="shared" si="16"/>
        <v>11</v>
      </c>
      <c r="E167">
        <f t="shared" si="17"/>
        <v>15124</v>
      </c>
      <c r="F167" t="e">
        <f t="shared" si="20"/>
        <v>#N/A</v>
      </c>
      <c r="G167" t="e">
        <f t="shared" si="19"/>
        <v>#N/A</v>
      </c>
    </row>
    <row r="168" spans="2:7">
      <c r="B168" s="196">
        <v>41607</v>
      </c>
      <c r="C168" s="197">
        <v>503</v>
      </c>
      <c r="D168" s="199">
        <f t="shared" si="16"/>
        <v>11</v>
      </c>
      <c r="E168">
        <f t="shared" si="17"/>
        <v>15124</v>
      </c>
      <c r="F168" t="e">
        <f t="shared" si="20"/>
        <v>#N/A</v>
      </c>
      <c r="G168" t="e">
        <f t="shared" si="19"/>
        <v>#N/A</v>
      </c>
    </row>
    <row r="169" spans="2:7">
      <c r="B169" s="194">
        <v>41608</v>
      </c>
      <c r="C169" s="195">
        <v>521</v>
      </c>
      <c r="D169" s="199">
        <f t="shared" si="16"/>
        <v>11</v>
      </c>
      <c r="E169">
        <f t="shared" si="17"/>
        <v>15124</v>
      </c>
      <c r="F169" t="e">
        <f t="shared" si="20"/>
        <v>#N/A</v>
      </c>
      <c r="G169" t="e">
        <f t="shared" si="19"/>
        <v>#N/A</v>
      </c>
    </row>
  </sheetData>
  <autoFilter ref="B5:G169" xr:uid="{E5E5BFDE-0DCE-4107-97C3-F75F12593388}">
    <sortState xmlns:xlrd2="http://schemas.microsoft.com/office/spreadsheetml/2017/richdata2" ref="B6:G169">
      <sortCondition ref="G5:G169"/>
    </sortState>
  </autoFilter>
  <mergeCells count="1">
    <mergeCell ref="B3:D3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9691-B227-48F7-AE28-8D4163E112C5}">
  <sheetPr codeName="Sheet35">
    <tabColor rgb="FFFF0000"/>
  </sheetPr>
  <dimension ref="B1:I169"/>
  <sheetViews>
    <sheetView zoomScale="127" workbookViewId="0">
      <selection activeCell="F8" sqref="F8"/>
    </sheetView>
  </sheetViews>
  <sheetFormatPr defaultRowHeight="15"/>
  <cols>
    <col min="1" max="1" width="4" customWidth="1"/>
    <col min="2" max="2" width="9.7109375" customWidth="1"/>
    <col min="3" max="3" width="15.7109375" customWidth="1"/>
    <col min="4" max="4" width="10.7109375" customWidth="1"/>
    <col min="5" max="5" width="12.7109375" bestFit="1" customWidth="1"/>
    <col min="6" max="6" width="10.7109375" bestFit="1" customWidth="1"/>
    <col min="9" max="9" width="10.42578125" bestFit="1" customWidth="1"/>
  </cols>
  <sheetData>
    <row r="1" spans="2:9" ht="15.75" thickBot="1"/>
    <row r="2" spans="2:9">
      <c r="B2" s="191" t="s">
        <v>946</v>
      </c>
      <c r="E2" t="s">
        <v>951</v>
      </c>
      <c r="F2">
        <f>MAX(E6:E169)</f>
        <v>15737</v>
      </c>
    </row>
    <row r="3" spans="2:9" ht="24.75" customHeight="1">
      <c r="B3" s="680" t="s">
        <v>947</v>
      </c>
      <c r="C3" s="681"/>
      <c r="D3" s="681"/>
      <c r="E3" t="s">
        <v>952</v>
      </c>
      <c r="F3">
        <f>MIN(E6:E169)</f>
        <v>5543</v>
      </c>
      <c r="I3" s="199"/>
    </row>
    <row r="4" spans="2:9" ht="22.15" customHeight="1">
      <c r="B4" s="198"/>
      <c r="C4" s="198"/>
    </row>
    <row r="5" spans="2:9">
      <c r="B5" s="192" t="s">
        <v>359</v>
      </c>
      <c r="C5" s="193" t="s">
        <v>948</v>
      </c>
      <c r="D5" t="s">
        <v>4033</v>
      </c>
      <c r="E5" t="s">
        <v>950</v>
      </c>
      <c r="F5" t="s">
        <v>60</v>
      </c>
      <c r="I5" s="556"/>
    </row>
    <row r="6" spans="2:9">
      <c r="B6" s="194">
        <v>41456</v>
      </c>
      <c r="C6" s="195">
        <v>475</v>
      </c>
      <c r="D6" s="199">
        <f>MONTH(B6)</f>
        <v>7</v>
      </c>
      <c r="E6">
        <f>SUMIF($D$6:$D$169,$D6,$C$6:$C$169)</f>
        <v>15737</v>
      </c>
      <c r="F6">
        <f>IF(E6=$F$2,C6,NA())</f>
        <v>475</v>
      </c>
    </row>
    <row r="7" spans="2:9">
      <c r="B7" s="196">
        <v>41457</v>
      </c>
      <c r="C7" s="197">
        <v>509</v>
      </c>
      <c r="D7" s="199">
        <f t="shared" ref="D7:D70" si="0">MONTH(B7)</f>
        <v>7</v>
      </c>
      <c r="E7">
        <f>SUMIF($D$6:$D$169,$D7,$C$6:$C$169)</f>
        <v>15737</v>
      </c>
      <c r="F7">
        <f t="shared" ref="F7:F70" si="1">IF(E7=$F$2,C7,NA())</f>
        <v>509</v>
      </c>
      <c r="G7" s="600">
        <f>MONTH(B7)</f>
        <v>7</v>
      </c>
    </row>
    <row r="8" spans="2:9">
      <c r="B8" s="194">
        <v>41458</v>
      </c>
      <c r="C8" s="195">
        <v>479</v>
      </c>
      <c r="D8" s="199">
        <f t="shared" si="0"/>
        <v>7</v>
      </c>
      <c r="E8">
        <f>SUMIF($D$6:$D$169,$D8,$C$6:$C$169)</f>
        <v>15737</v>
      </c>
      <c r="F8">
        <f>IF(E8=$F$2,C8,NA())</f>
        <v>479</v>
      </c>
    </row>
    <row r="9" spans="2:9">
      <c r="B9" s="196">
        <v>41459</v>
      </c>
      <c r="C9" s="197">
        <v>473</v>
      </c>
      <c r="D9" s="199">
        <f t="shared" si="0"/>
        <v>7</v>
      </c>
      <c r="E9">
        <f>SUMIF($D$6:$D$169,$D9,$C$6:$C$169)</f>
        <v>15737</v>
      </c>
      <c r="F9">
        <f>IF(E9=$F$2,C9,NA())</f>
        <v>473</v>
      </c>
    </row>
    <row r="10" spans="2:9">
      <c r="B10" s="194">
        <v>41460</v>
      </c>
      <c r="C10" s="195">
        <v>528</v>
      </c>
      <c r="D10" s="199">
        <f t="shared" si="0"/>
        <v>7</v>
      </c>
      <c r="E10">
        <f>SUMIF($D$6:$D$169,$D10,$C$6:$C$169)</f>
        <v>15737</v>
      </c>
      <c r="F10">
        <f>IF(E10=$F$2,C10,NA())</f>
        <v>528</v>
      </c>
    </row>
    <row r="11" spans="2:9">
      <c r="B11" s="196">
        <v>41461</v>
      </c>
      <c r="C11" s="197">
        <v>520</v>
      </c>
      <c r="D11" s="199">
        <f t="shared" si="0"/>
        <v>7</v>
      </c>
      <c r="E11">
        <f t="shared" ref="E11:E74" si="2">SUMIF($D$6:$D$169,$D11,$C$6:$C$169)</f>
        <v>15737</v>
      </c>
      <c r="F11">
        <f t="shared" si="1"/>
        <v>520</v>
      </c>
    </row>
    <row r="12" spans="2:9">
      <c r="B12" s="194">
        <v>41462</v>
      </c>
      <c r="C12" s="195">
        <v>500</v>
      </c>
      <c r="D12" s="199">
        <f t="shared" si="0"/>
        <v>7</v>
      </c>
      <c r="E12">
        <f t="shared" si="2"/>
        <v>15737</v>
      </c>
      <c r="F12">
        <f>IF(E12=$F$2,C12,NA())</f>
        <v>500</v>
      </c>
    </row>
    <row r="13" spans="2:9">
      <c r="B13" s="196">
        <v>41463</v>
      </c>
      <c r="C13" s="197">
        <v>534</v>
      </c>
      <c r="D13" s="199">
        <f t="shared" si="0"/>
        <v>7</v>
      </c>
      <c r="E13">
        <f t="shared" si="2"/>
        <v>15737</v>
      </c>
      <c r="F13">
        <f t="shared" si="1"/>
        <v>534</v>
      </c>
    </row>
    <row r="14" spans="2:9">
      <c r="B14" s="194">
        <v>41464</v>
      </c>
      <c r="C14" s="195">
        <v>488</v>
      </c>
      <c r="D14" s="199">
        <f t="shared" si="0"/>
        <v>7</v>
      </c>
      <c r="E14">
        <f>SUMIF($D$6:$D$169,$D14,$C$6:$C$169)</f>
        <v>15737</v>
      </c>
      <c r="F14">
        <f>IF(E14=$F$2,C14,NA())</f>
        <v>488</v>
      </c>
    </row>
    <row r="15" spans="2:9">
      <c r="B15" s="196">
        <v>41465</v>
      </c>
      <c r="C15" s="197">
        <v>489</v>
      </c>
      <c r="D15" s="199">
        <f t="shared" si="0"/>
        <v>7</v>
      </c>
      <c r="E15">
        <f t="shared" si="2"/>
        <v>15737</v>
      </c>
      <c r="F15">
        <f t="shared" si="1"/>
        <v>489</v>
      </c>
    </row>
    <row r="16" spans="2:9">
      <c r="B16" s="194">
        <v>41466</v>
      </c>
      <c r="C16" s="195">
        <v>490</v>
      </c>
      <c r="D16" s="199">
        <f t="shared" si="0"/>
        <v>7</v>
      </c>
      <c r="E16">
        <f t="shared" si="2"/>
        <v>15737</v>
      </c>
      <c r="F16">
        <f>IF(E16=$F$2,C16,NA())</f>
        <v>490</v>
      </c>
    </row>
    <row r="17" spans="2:6">
      <c r="B17" s="196">
        <v>41467</v>
      </c>
      <c r="C17" s="197">
        <v>511</v>
      </c>
      <c r="D17" s="199">
        <f t="shared" si="0"/>
        <v>7</v>
      </c>
      <c r="E17">
        <f t="shared" si="2"/>
        <v>15737</v>
      </c>
      <c r="F17">
        <f t="shared" si="1"/>
        <v>511</v>
      </c>
    </row>
    <row r="18" spans="2:6">
      <c r="B18" s="194">
        <v>41468</v>
      </c>
      <c r="C18" s="195">
        <v>521</v>
      </c>
      <c r="D18" s="199">
        <f t="shared" si="0"/>
        <v>7</v>
      </c>
      <c r="E18">
        <f>SUMIF($D$6:$D$169,$D18,$C$6:$C$169)</f>
        <v>15737</v>
      </c>
      <c r="F18">
        <f t="shared" si="1"/>
        <v>521</v>
      </c>
    </row>
    <row r="19" spans="2:6">
      <c r="B19" s="196">
        <v>41469</v>
      </c>
      <c r="C19" s="197">
        <v>513</v>
      </c>
      <c r="D19" s="199">
        <f t="shared" si="0"/>
        <v>7</v>
      </c>
      <c r="E19">
        <f t="shared" si="2"/>
        <v>15737</v>
      </c>
      <c r="F19">
        <f t="shared" si="1"/>
        <v>513</v>
      </c>
    </row>
    <row r="20" spans="2:6">
      <c r="B20" s="194">
        <v>41470</v>
      </c>
      <c r="C20" s="195">
        <v>508</v>
      </c>
      <c r="D20" s="199">
        <f t="shared" si="0"/>
        <v>7</v>
      </c>
      <c r="E20">
        <f t="shared" si="2"/>
        <v>15737</v>
      </c>
      <c r="F20">
        <f t="shared" si="1"/>
        <v>508</v>
      </c>
    </row>
    <row r="21" spans="2:6">
      <c r="B21" s="196">
        <v>41471</v>
      </c>
      <c r="C21" s="197">
        <v>527</v>
      </c>
      <c r="D21" s="199">
        <f t="shared" si="0"/>
        <v>7</v>
      </c>
      <c r="E21">
        <f t="shared" si="2"/>
        <v>15737</v>
      </c>
      <c r="F21">
        <f t="shared" si="1"/>
        <v>527</v>
      </c>
    </row>
    <row r="22" spans="2:6">
      <c r="B22" s="194">
        <v>41472</v>
      </c>
      <c r="C22" s="195">
        <v>565</v>
      </c>
      <c r="D22" s="199">
        <f t="shared" si="0"/>
        <v>7</v>
      </c>
      <c r="E22">
        <f t="shared" si="2"/>
        <v>15737</v>
      </c>
      <c r="F22">
        <f t="shared" si="1"/>
        <v>565</v>
      </c>
    </row>
    <row r="23" spans="2:6">
      <c r="B23" s="196">
        <v>41473</v>
      </c>
      <c r="C23" s="197">
        <v>492</v>
      </c>
      <c r="D23" s="199">
        <f t="shared" si="0"/>
        <v>7</v>
      </c>
      <c r="E23">
        <f t="shared" si="2"/>
        <v>15737</v>
      </c>
      <c r="F23">
        <f t="shared" si="1"/>
        <v>492</v>
      </c>
    </row>
    <row r="24" spans="2:6">
      <c r="B24" s="194">
        <v>41474</v>
      </c>
      <c r="C24" s="195">
        <v>508</v>
      </c>
      <c r="D24" s="199">
        <f t="shared" si="0"/>
        <v>7</v>
      </c>
      <c r="E24">
        <f t="shared" si="2"/>
        <v>15737</v>
      </c>
      <c r="F24">
        <f t="shared" si="1"/>
        <v>508</v>
      </c>
    </row>
    <row r="25" spans="2:6">
      <c r="B25" s="196">
        <v>41475</v>
      </c>
      <c r="C25" s="197">
        <v>490</v>
      </c>
      <c r="D25" s="199">
        <f t="shared" si="0"/>
        <v>7</v>
      </c>
      <c r="E25">
        <f t="shared" si="2"/>
        <v>15737</v>
      </c>
      <c r="F25">
        <f t="shared" si="1"/>
        <v>490</v>
      </c>
    </row>
    <row r="26" spans="2:6">
      <c r="B26" s="194">
        <v>41476</v>
      </c>
      <c r="C26" s="195">
        <v>464</v>
      </c>
      <c r="D26" s="199">
        <f t="shared" si="0"/>
        <v>7</v>
      </c>
      <c r="E26">
        <f t="shared" si="2"/>
        <v>15737</v>
      </c>
      <c r="F26">
        <f t="shared" si="1"/>
        <v>464</v>
      </c>
    </row>
    <row r="27" spans="2:6">
      <c r="B27" s="196">
        <v>41477</v>
      </c>
      <c r="C27" s="197">
        <v>549</v>
      </c>
      <c r="D27" s="199">
        <f t="shared" si="0"/>
        <v>7</v>
      </c>
      <c r="E27">
        <f t="shared" si="2"/>
        <v>15737</v>
      </c>
      <c r="F27">
        <f t="shared" si="1"/>
        <v>549</v>
      </c>
    </row>
    <row r="28" spans="2:6">
      <c r="B28" s="194">
        <v>41478</v>
      </c>
      <c r="C28" s="195">
        <v>489</v>
      </c>
      <c r="D28" s="199">
        <f t="shared" si="0"/>
        <v>7</v>
      </c>
      <c r="E28">
        <f t="shared" si="2"/>
        <v>15737</v>
      </c>
      <c r="F28">
        <f t="shared" si="1"/>
        <v>489</v>
      </c>
    </row>
    <row r="29" spans="2:6">
      <c r="B29" s="196">
        <v>41479</v>
      </c>
      <c r="C29" s="197">
        <v>514</v>
      </c>
      <c r="D29" s="199">
        <f t="shared" si="0"/>
        <v>7</v>
      </c>
      <c r="E29">
        <f t="shared" si="2"/>
        <v>15737</v>
      </c>
      <c r="F29">
        <f t="shared" si="1"/>
        <v>514</v>
      </c>
    </row>
    <row r="30" spans="2:6">
      <c r="B30" s="194">
        <v>41480</v>
      </c>
      <c r="C30" s="195">
        <v>504</v>
      </c>
      <c r="D30" s="199">
        <f t="shared" si="0"/>
        <v>7</v>
      </c>
      <c r="E30">
        <f t="shared" si="2"/>
        <v>15737</v>
      </c>
      <c r="F30">
        <f t="shared" si="1"/>
        <v>504</v>
      </c>
    </row>
    <row r="31" spans="2:6">
      <c r="B31" s="196">
        <v>41481</v>
      </c>
      <c r="C31" s="197">
        <v>515</v>
      </c>
      <c r="D31" s="199">
        <f t="shared" si="0"/>
        <v>7</v>
      </c>
      <c r="E31">
        <f t="shared" si="2"/>
        <v>15737</v>
      </c>
      <c r="F31">
        <f t="shared" si="1"/>
        <v>515</v>
      </c>
    </row>
    <row r="32" spans="2:6">
      <c r="B32" s="194">
        <v>41482</v>
      </c>
      <c r="C32" s="195">
        <v>545</v>
      </c>
      <c r="D32" s="199">
        <f t="shared" si="0"/>
        <v>7</v>
      </c>
      <c r="E32">
        <f t="shared" si="2"/>
        <v>15737</v>
      </c>
      <c r="F32">
        <f t="shared" si="1"/>
        <v>545</v>
      </c>
    </row>
    <row r="33" spans="2:6">
      <c r="B33" s="196">
        <v>41483</v>
      </c>
      <c r="C33" s="197">
        <v>496</v>
      </c>
      <c r="D33" s="199">
        <f t="shared" si="0"/>
        <v>7</v>
      </c>
      <c r="E33">
        <f t="shared" si="2"/>
        <v>15737</v>
      </c>
      <c r="F33">
        <f t="shared" si="1"/>
        <v>496</v>
      </c>
    </row>
    <row r="34" spans="2:6">
      <c r="B34" s="194">
        <v>41484</v>
      </c>
      <c r="C34" s="195">
        <v>492</v>
      </c>
      <c r="D34" s="199">
        <f t="shared" si="0"/>
        <v>7</v>
      </c>
      <c r="E34">
        <f t="shared" si="2"/>
        <v>15737</v>
      </c>
      <c r="F34">
        <f t="shared" si="1"/>
        <v>492</v>
      </c>
    </row>
    <row r="35" spans="2:6">
      <c r="B35" s="196">
        <v>41485</v>
      </c>
      <c r="C35" s="197">
        <v>535</v>
      </c>
      <c r="D35" s="199">
        <f t="shared" si="0"/>
        <v>7</v>
      </c>
      <c r="E35">
        <f t="shared" si="2"/>
        <v>15737</v>
      </c>
      <c r="F35">
        <f t="shared" si="1"/>
        <v>535</v>
      </c>
    </row>
    <row r="36" spans="2:6">
      <c r="B36" s="194">
        <v>41486</v>
      </c>
      <c r="C36" s="195">
        <v>514</v>
      </c>
      <c r="D36" s="199">
        <f t="shared" si="0"/>
        <v>7</v>
      </c>
      <c r="E36">
        <f t="shared" si="2"/>
        <v>15737</v>
      </c>
      <c r="F36">
        <f t="shared" si="1"/>
        <v>514</v>
      </c>
    </row>
    <row r="37" spans="2:6">
      <c r="B37" s="196">
        <v>41487</v>
      </c>
      <c r="C37" s="197">
        <v>527</v>
      </c>
      <c r="D37" s="199">
        <f t="shared" si="0"/>
        <v>8</v>
      </c>
      <c r="E37">
        <f t="shared" si="2"/>
        <v>15288</v>
      </c>
      <c r="F37" t="e">
        <f t="shared" si="1"/>
        <v>#N/A</v>
      </c>
    </row>
    <row r="38" spans="2:6">
      <c r="B38" s="194">
        <v>41488</v>
      </c>
      <c r="C38" s="195">
        <v>481</v>
      </c>
      <c r="D38" s="199">
        <f t="shared" si="0"/>
        <v>8</v>
      </c>
      <c r="E38">
        <f t="shared" si="2"/>
        <v>15288</v>
      </c>
      <c r="F38" t="e">
        <f t="shared" si="1"/>
        <v>#N/A</v>
      </c>
    </row>
    <row r="39" spans="2:6">
      <c r="B39" s="196">
        <v>41489</v>
      </c>
      <c r="C39" s="197">
        <v>499</v>
      </c>
      <c r="D39" s="199">
        <f t="shared" si="0"/>
        <v>8</v>
      </c>
      <c r="E39">
        <f t="shared" si="2"/>
        <v>15288</v>
      </c>
      <c r="F39" t="e">
        <f t="shared" si="1"/>
        <v>#N/A</v>
      </c>
    </row>
    <row r="40" spans="2:6">
      <c r="B40" s="194">
        <v>41490</v>
      </c>
      <c r="C40" s="195">
        <v>487</v>
      </c>
      <c r="D40" s="199">
        <f t="shared" si="0"/>
        <v>8</v>
      </c>
      <c r="E40">
        <f t="shared" si="2"/>
        <v>15288</v>
      </c>
      <c r="F40" t="e">
        <f t="shared" si="1"/>
        <v>#N/A</v>
      </c>
    </row>
    <row r="41" spans="2:6">
      <c r="B41" s="196">
        <v>41491</v>
      </c>
      <c r="C41" s="197">
        <v>528</v>
      </c>
      <c r="D41" s="199">
        <f t="shared" si="0"/>
        <v>8</v>
      </c>
      <c r="E41">
        <f t="shared" si="2"/>
        <v>15288</v>
      </c>
      <c r="F41" t="e">
        <f t="shared" si="1"/>
        <v>#N/A</v>
      </c>
    </row>
    <row r="42" spans="2:6">
      <c r="B42" s="194">
        <v>41492</v>
      </c>
      <c r="C42" s="195">
        <v>479</v>
      </c>
      <c r="D42" s="199">
        <f t="shared" si="0"/>
        <v>8</v>
      </c>
      <c r="E42">
        <f t="shared" si="2"/>
        <v>15288</v>
      </c>
      <c r="F42" t="e">
        <f t="shared" si="1"/>
        <v>#N/A</v>
      </c>
    </row>
    <row r="43" spans="2:6">
      <c r="B43" s="196">
        <v>41493</v>
      </c>
      <c r="C43" s="197">
        <v>486</v>
      </c>
      <c r="D43" s="199">
        <f t="shared" si="0"/>
        <v>8</v>
      </c>
      <c r="E43">
        <f t="shared" si="2"/>
        <v>15288</v>
      </c>
      <c r="F43" t="e">
        <f t="shared" si="1"/>
        <v>#N/A</v>
      </c>
    </row>
    <row r="44" spans="2:6">
      <c r="B44" s="194">
        <v>41494</v>
      </c>
      <c r="C44" s="195">
        <v>476</v>
      </c>
      <c r="D44" s="199">
        <f t="shared" si="0"/>
        <v>8</v>
      </c>
      <c r="E44">
        <f t="shared" si="2"/>
        <v>15288</v>
      </c>
      <c r="F44" t="e">
        <f t="shared" si="1"/>
        <v>#N/A</v>
      </c>
    </row>
    <row r="45" spans="2:6">
      <c r="B45" s="196">
        <v>41495</v>
      </c>
      <c r="C45" s="197">
        <v>519</v>
      </c>
      <c r="D45" s="199">
        <f t="shared" si="0"/>
        <v>8</v>
      </c>
      <c r="E45">
        <f t="shared" si="2"/>
        <v>15288</v>
      </c>
      <c r="F45" t="e">
        <f t="shared" si="1"/>
        <v>#N/A</v>
      </c>
    </row>
    <row r="46" spans="2:6">
      <c r="B46" s="194">
        <v>41496</v>
      </c>
      <c r="C46" s="195">
        <v>526</v>
      </c>
      <c r="D46" s="199">
        <f t="shared" si="0"/>
        <v>8</v>
      </c>
      <c r="E46">
        <f t="shared" si="2"/>
        <v>15288</v>
      </c>
      <c r="F46" t="e">
        <f t="shared" si="1"/>
        <v>#N/A</v>
      </c>
    </row>
    <row r="47" spans="2:6">
      <c r="B47" s="196">
        <v>41497</v>
      </c>
      <c r="C47" s="197">
        <v>487</v>
      </c>
      <c r="D47" s="199">
        <f t="shared" si="0"/>
        <v>8</v>
      </c>
      <c r="E47">
        <f t="shared" si="2"/>
        <v>15288</v>
      </c>
      <c r="F47" t="e">
        <f t="shared" si="1"/>
        <v>#N/A</v>
      </c>
    </row>
    <row r="48" spans="2:6">
      <c r="B48" s="194">
        <v>41498</v>
      </c>
      <c r="C48" s="195">
        <v>510</v>
      </c>
      <c r="D48" s="199">
        <f t="shared" si="0"/>
        <v>8</v>
      </c>
      <c r="E48">
        <f t="shared" si="2"/>
        <v>15288</v>
      </c>
      <c r="F48" t="e">
        <f t="shared" si="1"/>
        <v>#N/A</v>
      </c>
    </row>
    <row r="49" spans="2:6">
      <c r="B49" s="196">
        <v>41499</v>
      </c>
      <c r="C49" s="197">
        <v>485</v>
      </c>
      <c r="D49" s="199">
        <f t="shared" si="0"/>
        <v>8</v>
      </c>
      <c r="E49">
        <f t="shared" si="2"/>
        <v>15288</v>
      </c>
      <c r="F49" t="e">
        <f t="shared" si="1"/>
        <v>#N/A</v>
      </c>
    </row>
    <row r="50" spans="2:6">
      <c r="B50" s="194">
        <v>41500</v>
      </c>
      <c r="C50" s="195">
        <v>436</v>
      </c>
      <c r="D50" s="199">
        <f t="shared" si="0"/>
        <v>8</v>
      </c>
      <c r="E50">
        <f t="shared" si="2"/>
        <v>15288</v>
      </c>
      <c r="F50" t="e">
        <f t="shared" si="1"/>
        <v>#N/A</v>
      </c>
    </row>
    <row r="51" spans="2:6">
      <c r="B51" s="196">
        <v>41501</v>
      </c>
      <c r="C51" s="197">
        <v>485</v>
      </c>
      <c r="D51" s="199">
        <f t="shared" si="0"/>
        <v>8</v>
      </c>
      <c r="E51">
        <f t="shared" si="2"/>
        <v>15288</v>
      </c>
      <c r="F51" t="e">
        <f t="shared" si="1"/>
        <v>#N/A</v>
      </c>
    </row>
    <row r="52" spans="2:6">
      <c r="B52" s="194">
        <v>41502</v>
      </c>
      <c r="C52" s="195">
        <v>521</v>
      </c>
      <c r="D52" s="199">
        <f t="shared" si="0"/>
        <v>8</v>
      </c>
      <c r="E52">
        <f t="shared" si="2"/>
        <v>15288</v>
      </c>
      <c r="F52" t="e">
        <f t="shared" si="1"/>
        <v>#N/A</v>
      </c>
    </row>
    <row r="53" spans="2:6">
      <c r="B53" s="196">
        <v>41503</v>
      </c>
      <c r="C53" s="197">
        <v>488</v>
      </c>
      <c r="D53" s="199">
        <f t="shared" si="0"/>
        <v>8</v>
      </c>
      <c r="E53">
        <f t="shared" si="2"/>
        <v>15288</v>
      </c>
      <c r="F53" t="e">
        <f t="shared" si="1"/>
        <v>#N/A</v>
      </c>
    </row>
    <row r="54" spans="2:6">
      <c r="B54" s="194">
        <v>41504</v>
      </c>
      <c r="C54" s="195">
        <v>482</v>
      </c>
      <c r="D54" s="199">
        <f t="shared" si="0"/>
        <v>8</v>
      </c>
      <c r="E54">
        <f t="shared" si="2"/>
        <v>15288</v>
      </c>
      <c r="F54" t="e">
        <f t="shared" si="1"/>
        <v>#N/A</v>
      </c>
    </row>
    <row r="55" spans="2:6">
      <c r="B55" s="196">
        <v>41505</v>
      </c>
      <c r="C55" s="197">
        <v>478</v>
      </c>
      <c r="D55" s="199">
        <f t="shared" si="0"/>
        <v>8</v>
      </c>
      <c r="E55">
        <f t="shared" si="2"/>
        <v>15288</v>
      </c>
      <c r="F55" t="e">
        <f t="shared" si="1"/>
        <v>#N/A</v>
      </c>
    </row>
    <row r="56" spans="2:6">
      <c r="B56" s="194">
        <v>41506</v>
      </c>
      <c r="C56" s="195">
        <v>528</v>
      </c>
      <c r="D56" s="199">
        <f t="shared" si="0"/>
        <v>8</v>
      </c>
      <c r="E56">
        <f t="shared" si="2"/>
        <v>15288</v>
      </c>
      <c r="F56" t="e">
        <f t="shared" si="1"/>
        <v>#N/A</v>
      </c>
    </row>
    <row r="57" spans="2:6">
      <c r="B57" s="196">
        <v>41507</v>
      </c>
      <c r="C57" s="197">
        <v>477</v>
      </c>
      <c r="D57" s="199">
        <f t="shared" si="0"/>
        <v>8</v>
      </c>
      <c r="E57">
        <f t="shared" si="2"/>
        <v>15288</v>
      </c>
      <c r="F57" t="e">
        <f t="shared" si="1"/>
        <v>#N/A</v>
      </c>
    </row>
    <row r="58" spans="2:6">
      <c r="B58" s="194">
        <v>41508</v>
      </c>
      <c r="C58" s="195">
        <v>501</v>
      </c>
      <c r="D58" s="199">
        <f t="shared" si="0"/>
        <v>8</v>
      </c>
      <c r="E58">
        <f t="shared" si="2"/>
        <v>15288</v>
      </c>
      <c r="F58" t="e">
        <f t="shared" si="1"/>
        <v>#N/A</v>
      </c>
    </row>
    <row r="59" spans="2:6">
      <c r="B59" s="196">
        <v>41509</v>
      </c>
      <c r="C59" s="197">
        <v>511</v>
      </c>
      <c r="D59" s="199">
        <f t="shared" si="0"/>
        <v>8</v>
      </c>
      <c r="E59">
        <f t="shared" si="2"/>
        <v>15288</v>
      </c>
      <c r="F59" t="e">
        <f t="shared" si="1"/>
        <v>#N/A</v>
      </c>
    </row>
    <row r="60" spans="2:6">
      <c r="B60" s="194">
        <v>41510</v>
      </c>
      <c r="C60" s="195">
        <v>495</v>
      </c>
      <c r="D60" s="199">
        <f t="shared" si="0"/>
        <v>8</v>
      </c>
      <c r="E60">
        <f t="shared" si="2"/>
        <v>15288</v>
      </c>
      <c r="F60" t="e">
        <f t="shared" si="1"/>
        <v>#N/A</v>
      </c>
    </row>
    <row r="61" spans="2:6">
      <c r="B61" s="196">
        <v>41511</v>
      </c>
      <c r="C61" s="197">
        <v>476</v>
      </c>
      <c r="D61" s="199">
        <f t="shared" si="0"/>
        <v>8</v>
      </c>
      <c r="E61">
        <f t="shared" si="2"/>
        <v>15288</v>
      </c>
      <c r="F61" t="e">
        <f t="shared" si="1"/>
        <v>#N/A</v>
      </c>
    </row>
    <row r="62" spans="2:6">
      <c r="B62" s="194">
        <v>41512</v>
      </c>
      <c r="C62" s="195">
        <v>519</v>
      </c>
      <c r="D62" s="199">
        <f t="shared" si="0"/>
        <v>8</v>
      </c>
      <c r="E62">
        <f t="shared" si="2"/>
        <v>15288</v>
      </c>
      <c r="F62" t="e">
        <f t="shared" si="1"/>
        <v>#N/A</v>
      </c>
    </row>
    <row r="63" spans="2:6">
      <c r="B63" s="196">
        <v>41513</v>
      </c>
      <c r="C63" s="197">
        <v>475</v>
      </c>
      <c r="D63" s="199">
        <f t="shared" si="0"/>
        <v>8</v>
      </c>
      <c r="E63">
        <f t="shared" si="2"/>
        <v>15288</v>
      </c>
      <c r="F63" t="e">
        <f t="shared" si="1"/>
        <v>#N/A</v>
      </c>
    </row>
    <row r="64" spans="2:6">
      <c r="B64" s="194">
        <v>41514</v>
      </c>
      <c r="C64" s="195">
        <v>475</v>
      </c>
      <c r="D64" s="199">
        <f t="shared" si="0"/>
        <v>8</v>
      </c>
      <c r="E64">
        <f t="shared" si="2"/>
        <v>15288</v>
      </c>
      <c r="F64" t="e">
        <f t="shared" si="1"/>
        <v>#N/A</v>
      </c>
    </row>
    <row r="65" spans="2:6">
      <c r="B65" s="196">
        <v>41515</v>
      </c>
      <c r="C65" s="197">
        <v>499</v>
      </c>
      <c r="D65" s="199">
        <f t="shared" si="0"/>
        <v>8</v>
      </c>
      <c r="E65">
        <f t="shared" si="2"/>
        <v>15288</v>
      </c>
      <c r="F65" t="e">
        <f t="shared" si="1"/>
        <v>#N/A</v>
      </c>
    </row>
    <row r="66" spans="2:6">
      <c r="B66" s="194">
        <v>41516</v>
      </c>
      <c r="C66" s="195">
        <v>512</v>
      </c>
      <c r="D66" s="199">
        <f t="shared" si="0"/>
        <v>8</v>
      </c>
      <c r="E66">
        <f t="shared" si="2"/>
        <v>15288</v>
      </c>
      <c r="F66" t="e">
        <f t="shared" si="1"/>
        <v>#N/A</v>
      </c>
    </row>
    <row r="67" spans="2:6">
      <c r="B67" s="196">
        <v>41517</v>
      </c>
      <c r="C67" s="197">
        <v>440</v>
      </c>
      <c r="D67" s="199">
        <f t="shared" si="0"/>
        <v>8</v>
      </c>
      <c r="E67">
        <f t="shared" si="2"/>
        <v>15288</v>
      </c>
      <c r="F67" t="e">
        <f t="shared" si="1"/>
        <v>#N/A</v>
      </c>
    </row>
    <row r="68" spans="2:6">
      <c r="B68" s="194">
        <v>41518</v>
      </c>
      <c r="C68" s="195">
        <v>531</v>
      </c>
      <c r="D68" s="199">
        <f t="shared" si="0"/>
        <v>9</v>
      </c>
      <c r="E68">
        <f t="shared" si="2"/>
        <v>15281</v>
      </c>
      <c r="F68" t="e">
        <f t="shared" si="1"/>
        <v>#N/A</v>
      </c>
    </row>
    <row r="69" spans="2:6">
      <c r="B69" s="196">
        <v>41519</v>
      </c>
      <c r="C69" s="197">
        <v>493</v>
      </c>
      <c r="D69" s="199">
        <f t="shared" si="0"/>
        <v>9</v>
      </c>
      <c r="E69">
        <f t="shared" si="2"/>
        <v>15281</v>
      </c>
      <c r="F69" t="e">
        <f t="shared" si="1"/>
        <v>#N/A</v>
      </c>
    </row>
    <row r="70" spans="2:6">
      <c r="B70" s="194">
        <v>41520</v>
      </c>
      <c r="C70" s="195">
        <v>508</v>
      </c>
      <c r="D70" s="199">
        <f t="shared" si="0"/>
        <v>9</v>
      </c>
      <c r="E70">
        <f t="shared" si="2"/>
        <v>15281</v>
      </c>
      <c r="F70" t="e">
        <f t="shared" si="1"/>
        <v>#N/A</v>
      </c>
    </row>
    <row r="71" spans="2:6">
      <c r="B71" s="196">
        <v>41521</v>
      </c>
      <c r="C71" s="197">
        <v>474</v>
      </c>
      <c r="D71" s="199">
        <f t="shared" ref="D71:D134" si="3">MONTH(B71)</f>
        <v>9</v>
      </c>
      <c r="E71">
        <f t="shared" si="2"/>
        <v>15281</v>
      </c>
      <c r="F71" t="e">
        <f t="shared" ref="F71:F134" si="4">IF(E71=$F$2,C71,NA())</f>
        <v>#N/A</v>
      </c>
    </row>
    <row r="72" spans="2:6">
      <c r="B72" s="194">
        <v>41522</v>
      </c>
      <c r="C72" s="195">
        <v>523</v>
      </c>
      <c r="D72" s="199">
        <f t="shared" si="3"/>
        <v>9</v>
      </c>
      <c r="E72">
        <f t="shared" si="2"/>
        <v>15281</v>
      </c>
      <c r="F72" t="e">
        <f t="shared" si="4"/>
        <v>#N/A</v>
      </c>
    </row>
    <row r="73" spans="2:6">
      <c r="B73" s="196">
        <v>41523</v>
      </c>
      <c r="C73" s="197">
        <v>528</v>
      </c>
      <c r="D73" s="199">
        <f t="shared" si="3"/>
        <v>9</v>
      </c>
      <c r="E73">
        <f t="shared" si="2"/>
        <v>15281</v>
      </c>
      <c r="F73" t="e">
        <f t="shared" si="4"/>
        <v>#N/A</v>
      </c>
    </row>
    <row r="74" spans="2:6">
      <c r="B74" s="194">
        <v>41524</v>
      </c>
      <c r="C74" s="195">
        <v>549</v>
      </c>
      <c r="D74" s="199">
        <f t="shared" si="3"/>
        <v>9</v>
      </c>
      <c r="E74">
        <f t="shared" si="2"/>
        <v>15281</v>
      </c>
      <c r="F74" t="e">
        <f t="shared" si="4"/>
        <v>#N/A</v>
      </c>
    </row>
    <row r="75" spans="2:6">
      <c r="B75" s="196">
        <v>41525</v>
      </c>
      <c r="C75" s="197">
        <v>510</v>
      </c>
      <c r="D75" s="199">
        <f t="shared" si="3"/>
        <v>9</v>
      </c>
      <c r="E75">
        <f t="shared" ref="E75:E138" si="5">SUMIF($D$6:$D$169,$D75,$C$6:$C$169)</f>
        <v>15281</v>
      </c>
      <c r="F75" t="e">
        <f t="shared" si="4"/>
        <v>#N/A</v>
      </c>
    </row>
    <row r="76" spans="2:6">
      <c r="B76" s="194">
        <v>41526</v>
      </c>
      <c r="C76" s="195">
        <v>545</v>
      </c>
      <c r="D76" s="199">
        <f t="shared" si="3"/>
        <v>9</v>
      </c>
      <c r="E76">
        <f t="shared" si="5"/>
        <v>15281</v>
      </c>
      <c r="F76" t="e">
        <f t="shared" si="4"/>
        <v>#N/A</v>
      </c>
    </row>
    <row r="77" spans="2:6">
      <c r="B77" s="196">
        <v>41527</v>
      </c>
      <c r="C77" s="197">
        <v>544</v>
      </c>
      <c r="D77" s="199">
        <f t="shared" si="3"/>
        <v>9</v>
      </c>
      <c r="E77">
        <f t="shared" si="5"/>
        <v>15281</v>
      </c>
      <c r="F77" t="e">
        <f t="shared" si="4"/>
        <v>#N/A</v>
      </c>
    </row>
    <row r="78" spans="2:6">
      <c r="B78" s="194">
        <v>41528</v>
      </c>
      <c r="C78" s="195">
        <v>512</v>
      </c>
      <c r="D78" s="199">
        <f t="shared" si="3"/>
        <v>9</v>
      </c>
      <c r="E78">
        <f t="shared" si="5"/>
        <v>15281</v>
      </c>
      <c r="F78" t="e">
        <f t="shared" si="4"/>
        <v>#N/A</v>
      </c>
    </row>
    <row r="79" spans="2:6">
      <c r="B79" s="196">
        <v>41529</v>
      </c>
      <c r="C79" s="197">
        <v>488</v>
      </c>
      <c r="D79" s="199">
        <f t="shared" si="3"/>
        <v>9</v>
      </c>
      <c r="E79">
        <f t="shared" si="5"/>
        <v>15281</v>
      </c>
      <c r="F79" t="e">
        <f t="shared" si="4"/>
        <v>#N/A</v>
      </c>
    </row>
    <row r="80" spans="2:6">
      <c r="B80" s="194">
        <v>41530</v>
      </c>
      <c r="C80" s="195">
        <v>537</v>
      </c>
      <c r="D80" s="199">
        <f t="shared" si="3"/>
        <v>9</v>
      </c>
      <c r="E80">
        <f t="shared" si="5"/>
        <v>15281</v>
      </c>
      <c r="F80" t="e">
        <f t="shared" si="4"/>
        <v>#N/A</v>
      </c>
    </row>
    <row r="81" spans="2:6">
      <c r="B81" s="196">
        <v>41531</v>
      </c>
      <c r="C81" s="197">
        <v>527</v>
      </c>
      <c r="D81" s="199">
        <f t="shared" si="3"/>
        <v>9</v>
      </c>
      <c r="E81">
        <f t="shared" si="5"/>
        <v>15281</v>
      </c>
      <c r="F81" t="e">
        <f t="shared" si="4"/>
        <v>#N/A</v>
      </c>
    </row>
    <row r="82" spans="2:6">
      <c r="B82" s="194">
        <v>41532</v>
      </c>
      <c r="C82" s="195">
        <v>487</v>
      </c>
      <c r="D82" s="199">
        <f t="shared" si="3"/>
        <v>9</v>
      </c>
      <c r="E82">
        <f t="shared" si="5"/>
        <v>15281</v>
      </c>
      <c r="F82" t="e">
        <f t="shared" si="4"/>
        <v>#N/A</v>
      </c>
    </row>
    <row r="83" spans="2:6">
      <c r="B83" s="196">
        <v>41533</v>
      </c>
      <c r="C83" s="197">
        <v>462</v>
      </c>
      <c r="D83" s="199">
        <f t="shared" si="3"/>
        <v>9</v>
      </c>
      <c r="E83">
        <f t="shared" si="5"/>
        <v>15281</v>
      </c>
      <c r="F83" t="e">
        <f t="shared" si="4"/>
        <v>#N/A</v>
      </c>
    </row>
    <row r="84" spans="2:6">
      <c r="B84" s="194">
        <v>41534</v>
      </c>
      <c r="C84" s="195">
        <v>471</v>
      </c>
      <c r="D84" s="199">
        <f t="shared" si="3"/>
        <v>9</v>
      </c>
      <c r="E84">
        <f t="shared" si="5"/>
        <v>15281</v>
      </c>
      <c r="F84" t="e">
        <f t="shared" si="4"/>
        <v>#N/A</v>
      </c>
    </row>
    <row r="85" spans="2:6">
      <c r="B85" s="196">
        <v>41535</v>
      </c>
      <c r="C85" s="197">
        <v>490</v>
      </c>
      <c r="D85" s="199">
        <f t="shared" si="3"/>
        <v>9</v>
      </c>
      <c r="E85">
        <f t="shared" si="5"/>
        <v>15281</v>
      </c>
      <c r="F85" t="e">
        <f t="shared" si="4"/>
        <v>#N/A</v>
      </c>
    </row>
    <row r="86" spans="2:6">
      <c r="B86" s="194">
        <v>41536</v>
      </c>
      <c r="C86" s="195">
        <v>518</v>
      </c>
      <c r="D86" s="199">
        <f t="shared" si="3"/>
        <v>9</v>
      </c>
      <c r="E86">
        <f t="shared" si="5"/>
        <v>15281</v>
      </c>
      <c r="F86" t="e">
        <f t="shared" si="4"/>
        <v>#N/A</v>
      </c>
    </row>
    <row r="87" spans="2:6">
      <c r="B87" s="196">
        <v>41537</v>
      </c>
      <c r="C87" s="197">
        <v>478</v>
      </c>
      <c r="D87" s="199">
        <f t="shared" si="3"/>
        <v>9</v>
      </c>
      <c r="E87">
        <f t="shared" si="5"/>
        <v>15281</v>
      </c>
      <c r="F87" t="e">
        <f t="shared" si="4"/>
        <v>#N/A</v>
      </c>
    </row>
    <row r="88" spans="2:6">
      <c r="B88" s="194">
        <v>41538</v>
      </c>
      <c r="C88" s="195">
        <v>457</v>
      </c>
      <c r="D88" s="199">
        <f t="shared" si="3"/>
        <v>9</v>
      </c>
      <c r="E88">
        <f t="shared" si="5"/>
        <v>15281</v>
      </c>
      <c r="F88" t="e">
        <f t="shared" si="4"/>
        <v>#N/A</v>
      </c>
    </row>
    <row r="89" spans="2:6">
      <c r="B89" s="196">
        <v>41539</v>
      </c>
      <c r="C89" s="197">
        <v>502</v>
      </c>
      <c r="D89" s="199">
        <f t="shared" si="3"/>
        <v>9</v>
      </c>
      <c r="E89">
        <f t="shared" si="5"/>
        <v>15281</v>
      </c>
      <c r="F89" t="e">
        <f t="shared" si="4"/>
        <v>#N/A</v>
      </c>
    </row>
    <row r="90" spans="2:6">
      <c r="B90" s="194">
        <v>41540</v>
      </c>
      <c r="C90" s="195">
        <v>532</v>
      </c>
      <c r="D90" s="199">
        <f t="shared" si="3"/>
        <v>9</v>
      </c>
      <c r="E90">
        <f t="shared" si="5"/>
        <v>15281</v>
      </c>
      <c r="F90" t="e">
        <f t="shared" si="4"/>
        <v>#N/A</v>
      </c>
    </row>
    <row r="91" spans="2:6">
      <c r="B91" s="196">
        <v>41541</v>
      </c>
      <c r="C91" s="197">
        <v>512</v>
      </c>
      <c r="D91" s="199">
        <f t="shared" si="3"/>
        <v>9</v>
      </c>
      <c r="E91">
        <f t="shared" si="5"/>
        <v>15281</v>
      </c>
      <c r="F91" t="e">
        <f t="shared" si="4"/>
        <v>#N/A</v>
      </c>
    </row>
    <row r="92" spans="2:6">
      <c r="B92" s="194">
        <v>41542</v>
      </c>
      <c r="C92" s="195">
        <v>523</v>
      </c>
      <c r="D92" s="199">
        <f t="shared" si="3"/>
        <v>9</v>
      </c>
      <c r="E92">
        <f t="shared" si="5"/>
        <v>15281</v>
      </c>
      <c r="F92" t="e">
        <f t="shared" si="4"/>
        <v>#N/A</v>
      </c>
    </row>
    <row r="93" spans="2:6">
      <c r="B93" s="196">
        <v>41543</v>
      </c>
      <c r="C93" s="197">
        <v>537</v>
      </c>
      <c r="D93" s="199">
        <f t="shared" si="3"/>
        <v>9</v>
      </c>
      <c r="E93">
        <f t="shared" si="5"/>
        <v>15281</v>
      </c>
      <c r="F93" t="e">
        <f t="shared" si="4"/>
        <v>#N/A</v>
      </c>
    </row>
    <row r="94" spans="2:6">
      <c r="B94" s="194">
        <v>41544</v>
      </c>
      <c r="C94" s="195">
        <v>503</v>
      </c>
      <c r="D94" s="199">
        <f t="shared" si="3"/>
        <v>9</v>
      </c>
      <c r="E94">
        <f t="shared" si="5"/>
        <v>15281</v>
      </c>
      <c r="F94" t="e">
        <f t="shared" si="4"/>
        <v>#N/A</v>
      </c>
    </row>
    <row r="95" spans="2:6">
      <c r="B95" s="196">
        <v>41545</v>
      </c>
      <c r="C95" s="197">
        <v>487</v>
      </c>
      <c r="D95" s="199">
        <f t="shared" si="3"/>
        <v>9</v>
      </c>
      <c r="E95">
        <f t="shared" si="5"/>
        <v>15281</v>
      </c>
      <c r="F95" t="e">
        <f t="shared" si="4"/>
        <v>#N/A</v>
      </c>
    </row>
    <row r="96" spans="2:6">
      <c r="B96" s="194">
        <v>41546</v>
      </c>
      <c r="C96" s="195">
        <v>530</v>
      </c>
      <c r="D96" s="199">
        <f t="shared" si="3"/>
        <v>9</v>
      </c>
      <c r="E96">
        <f t="shared" si="5"/>
        <v>15281</v>
      </c>
      <c r="F96" t="e">
        <f t="shared" si="4"/>
        <v>#N/A</v>
      </c>
    </row>
    <row r="97" spans="2:6">
      <c r="B97" s="196">
        <v>41547</v>
      </c>
      <c r="C97" s="197">
        <v>523</v>
      </c>
      <c r="D97" s="199">
        <f t="shared" si="3"/>
        <v>9</v>
      </c>
      <c r="E97">
        <f t="shared" si="5"/>
        <v>15281</v>
      </c>
      <c r="F97" t="e">
        <f t="shared" si="4"/>
        <v>#N/A</v>
      </c>
    </row>
    <row r="98" spans="2:6">
      <c r="B98" s="194">
        <v>41548</v>
      </c>
      <c r="C98" s="195">
        <v>483</v>
      </c>
      <c r="D98" s="199">
        <f t="shared" si="3"/>
        <v>10</v>
      </c>
      <c r="E98">
        <f t="shared" si="5"/>
        <v>15315</v>
      </c>
      <c r="F98" t="e">
        <f t="shared" si="4"/>
        <v>#N/A</v>
      </c>
    </row>
    <row r="99" spans="2:6">
      <c r="B99" s="196">
        <v>41549</v>
      </c>
      <c r="C99" s="197">
        <v>499</v>
      </c>
      <c r="D99" s="199">
        <f t="shared" si="3"/>
        <v>10</v>
      </c>
      <c r="E99">
        <f t="shared" si="5"/>
        <v>15315</v>
      </c>
      <c r="F99" t="e">
        <f t="shared" si="4"/>
        <v>#N/A</v>
      </c>
    </row>
    <row r="100" spans="2:6">
      <c r="B100" s="194">
        <v>41550</v>
      </c>
      <c r="C100" s="195">
        <v>463</v>
      </c>
      <c r="D100" s="199">
        <f t="shared" si="3"/>
        <v>10</v>
      </c>
      <c r="E100">
        <f t="shared" si="5"/>
        <v>15315</v>
      </c>
      <c r="F100" t="e">
        <f t="shared" si="4"/>
        <v>#N/A</v>
      </c>
    </row>
    <row r="101" spans="2:6">
      <c r="B101" s="196">
        <v>41551</v>
      </c>
      <c r="C101" s="197">
        <v>522</v>
      </c>
      <c r="D101" s="199">
        <f t="shared" si="3"/>
        <v>10</v>
      </c>
      <c r="E101">
        <f t="shared" si="5"/>
        <v>15315</v>
      </c>
      <c r="F101" t="e">
        <f t="shared" si="4"/>
        <v>#N/A</v>
      </c>
    </row>
    <row r="102" spans="2:6">
      <c r="B102" s="194">
        <v>41552</v>
      </c>
      <c r="C102" s="195">
        <v>457</v>
      </c>
      <c r="D102" s="199">
        <f t="shared" si="3"/>
        <v>10</v>
      </c>
      <c r="E102">
        <f t="shared" si="5"/>
        <v>15315</v>
      </c>
      <c r="F102" t="e">
        <f t="shared" si="4"/>
        <v>#N/A</v>
      </c>
    </row>
    <row r="103" spans="2:6">
      <c r="B103" s="196">
        <v>41553</v>
      </c>
      <c r="C103" s="197">
        <v>505</v>
      </c>
      <c r="D103" s="199">
        <f t="shared" si="3"/>
        <v>10</v>
      </c>
      <c r="E103">
        <f t="shared" si="5"/>
        <v>15315</v>
      </c>
      <c r="F103" t="e">
        <f t="shared" si="4"/>
        <v>#N/A</v>
      </c>
    </row>
    <row r="104" spans="2:6">
      <c r="B104" s="194">
        <v>41554</v>
      </c>
      <c r="C104" s="195">
        <v>484</v>
      </c>
      <c r="D104" s="199">
        <f t="shared" si="3"/>
        <v>10</v>
      </c>
      <c r="E104">
        <f t="shared" si="5"/>
        <v>15315</v>
      </c>
      <c r="F104" t="e">
        <f t="shared" si="4"/>
        <v>#N/A</v>
      </c>
    </row>
    <row r="105" spans="2:6">
      <c r="B105" s="196">
        <v>41555</v>
      </c>
      <c r="C105" s="197">
        <v>520</v>
      </c>
      <c r="D105" s="199">
        <f t="shared" si="3"/>
        <v>10</v>
      </c>
      <c r="E105">
        <f t="shared" si="5"/>
        <v>15315</v>
      </c>
      <c r="F105" t="e">
        <f t="shared" si="4"/>
        <v>#N/A</v>
      </c>
    </row>
    <row r="106" spans="2:6">
      <c r="B106" s="194">
        <v>41556</v>
      </c>
      <c r="C106" s="195">
        <v>503</v>
      </c>
      <c r="D106" s="199">
        <f t="shared" si="3"/>
        <v>10</v>
      </c>
      <c r="E106">
        <f t="shared" si="5"/>
        <v>15315</v>
      </c>
      <c r="F106" t="e">
        <f t="shared" si="4"/>
        <v>#N/A</v>
      </c>
    </row>
    <row r="107" spans="2:6">
      <c r="B107" s="196">
        <v>41557</v>
      </c>
      <c r="C107" s="197">
        <v>484</v>
      </c>
      <c r="D107" s="199">
        <f t="shared" si="3"/>
        <v>10</v>
      </c>
      <c r="E107">
        <f t="shared" si="5"/>
        <v>15315</v>
      </c>
      <c r="F107" t="e">
        <f t="shared" si="4"/>
        <v>#N/A</v>
      </c>
    </row>
    <row r="108" spans="2:6">
      <c r="B108" s="194">
        <v>41558</v>
      </c>
      <c r="C108" s="195">
        <v>522</v>
      </c>
      <c r="D108" s="199">
        <f t="shared" si="3"/>
        <v>10</v>
      </c>
      <c r="E108">
        <f t="shared" si="5"/>
        <v>15315</v>
      </c>
      <c r="F108" t="e">
        <f t="shared" si="4"/>
        <v>#N/A</v>
      </c>
    </row>
    <row r="109" spans="2:6">
      <c r="B109" s="196">
        <v>41559</v>
      </c>
      <c r="C109" s="197">
        <v>536</v>
      </c>
      <c r="D109" s="199">
        <f t="shared" si="3"/>
        <v>10</v>
      </c>
      <c r="E109">
        <f t="shared" si="5"/>
        <v>15315</v>
      </c>
      <c r="F109" t="e">
        <f t="shared" si="4"/>
        <v>#N/A</v>
      </c>
    </row>
    <row r="110" spans="2:6">
      <c r="B110" s="194">
        <v>41560</v>
      </c>
      <c r="C110" s="195">
        <v>471</v>
      </c>
      <c r="D110" s="199">
        <f t="shared" si="3"/>
        <v>10</v>
      </c>
      <c r="E110">
        <f t="shared" si="5"/>
        <v>15315</v>
      </c>
      <c r="F110" t="e">
        <f t="shared" si="4"/>
        <v>#N/A</v>
      </c>
    </row>
    <row r="111" spans="2:6">
      <c r="B111" s="196">
        <v>41561</v>
      </c>
      <c r="C111" s="197">
        <v>477</v>
      </c>
      <c r="D111" s="199">
        <f t="shared" si="3"/>
        <v>10</v>
      </c>
      <c r="E111">
        <f t="shared" si="5"/>
        <v>15315</v>
      </c>
      <c r="F111" t="e">
        <f t="shared" si="4"/>
        <v>#N/A</v>
      </c>
    </row>
    <row r="112" spans="2:6">
      <c r="B112" s="194">
        <v>41562</v>
      </c>
      <c r="C112" s="195">
        <v>478</v>
      </c>
      <c r="D112" s="199">
        <f t="shared" si="3"/>
        <v>10</v>
      </c>
      <c r="E112">
        <f t="shared" si="5"/>
        <v>15315</v>
      </c>
      <c r="F112" t="e">
        <f t="shared" si="4"/>
        <v>#N/A</v>
      </c>
    </row>
    <row r="113" spans="2:6">
      <c r="B113" s="196">
        <v>41563</v>
      </c>
      <c r="C113" s="197">
        <v>492</v>
      </c>
      <c r="D113" s="199">
        <f t="shared" si="3"/>
        <v>10</v>
      </c>
      <c r="E113">
        <f t="shared" si="5"/>
        <v>15315</v>
      </c>
      <c r="F113" t="e">
        <f t="shared" si="4"/>
        <v>#N/A</v>
      </c>
    </row>
    <row r="114" spans="2:6">
      <c r="B114" s="194">
        <v>41564</v>
      </c>
      <c r="C114" s="195">
        <v>473</v>
      </c>
      <c r="D114" s="199">
        <f t="shared" si="3"/>
        <v>10</v>
      </c>
      <c r="E114">
        <f t="shared" si="5"/>
        <v>15315</v>
      </c>
      <c r="F114" t="e">
        <f t="shared" si="4"/>
        <v>#N/A</v>
      </c>
    </row>
    <row r="115" spans="2:6">
      <c r="B115" s="196">
        <v>41565</v>
      </c>
      <c r="C115" s="197">
        <v>518</v>
      </c>
      <c r="D115" s="199">
        <f t="shared" si="3"/>
        <v>10</v>
      </c>
      <c r="E115">
        <f t="shared" si="5"/>
        <v>15315</v>
      </c>
      <c r="F115" t="e">
        <f t="shared" si="4"/>
        <v>#N/A</v>
      </c>
    </row>
    <row r="116" spans="2:6">
      <c r="B116" s="194">
        <v>41566</v>
      </c>
      <c r="C116" s="195">
        <v>485</v>
      </c>
      <c r="D116" s="199">
        <f t="shared" si="3"/>
        <v>10</v>
      </c>
      <c r="E116">
        <f t="shared" si="5"/>
        <v>15315</v>
      </c>
      <c r="F116" t="e">
        <f t="shared" si="4"/>
        <v>#N/A</v>
      </c>
    </row>
    <row r="117" spans="2:6">
      <c r="B117" s="196">
        <v>41567</v>
      </c>
      <c r="C117" s="197">
        <v>502</v>
      </c>
      <c r="D117" s="199">
        <f t="shared" si="3"/>
        <v>10</v>
      </c>
      <c r="E117">
        <f t="shared" si="5"/>
        <v>15315</v>
      </c>
      <c r="F117" t="e">
        <f t="shared" si="4"/>
        <v>#N/A</v>
      </c>
    </row>
    <row r="118" spans="2:6">
      <c r="B118" s="194">
        <v>41568</v>
      </c>
      <c r="C118" s="195">
        <v>448</v>
      </c>
      <c r="D118" s="199">
        <f t="shared" si="3"/>
        <v>10</v>
      </c>
      <c r="E118">
        <f t="shared" si="5"/>
        <v>15315</v>
      </c>
      <c r="F118" t="e">
        <f t="shared" si="4"/>
        <v>#N/A</v>
      </c>
    </row>
    <row r="119" spans="2:6">
      <c r="B119" s="196">
        <v>41569</v>
      </c>
      <c r="C119" s="197">
        <v>504</v>
      </c>
      <c r="D119" s="199">
        <f t="shared" si="3"/>
        <v>10</v>
      </c>
      <c r="E119">
        <f t="shared" si="5"/>
        <v>15315</v>
      </c>
      <c r="F119" t="e">
        <f t="shared" si="4"/>
        <v>#N/A</v>
      </c>
    </row>
    <row r="120" spans="2:6">
      <c r="B120" s="194">
        <v>41570</v>
      </c>
      <c r="C120" s="195">
        <v>492</v>
      </c>
      <c r="D120" s="199">
        <f t="shared" si="3"/>
        <v>10</v>
      </c>
      <c r="E120">
        <f t="shared" si="5"/>
        <v>15315</v>
      </c>
      <c r="F120" t="e">
        <f t="shared" si="4"/>
        <v>#N/A</v>
      </c>
    </row>
    <row r="121" spans="2:6">
      <c r="B121" s="196">
        <v>41571</v>
      </c>
      <c r="C121" s="197">
        <v>503</v>
      </c>
      <c r="D121" s="199">
        <f t="shared" si="3"/>
        <v>10</v>
      </c>
      <c r="E121">
        <f t="shared" si="5"/>
        <v>15315</v>
      </c>
      <c r="F121" t="e">
        <f t="shared" si="4"/>
        <v>#N/A</v>
      </c>
    </row>
    <row r="122" spans="2:6">
      <c r="B122" s="194">
        <v>41572</v>
      </c>
      <c r="C122" s="195">
        <v>490</v>
      </c>
      <c r="D122" s="199">
        <f t="shared" si="3"/>
        <v>10</v>
      </c>
      <c r="E122">
        <f t="shared" si="5"/>
        <v>15315</v>
      </c>
      <c r="F122" t="e">
        <f t="shared" si="4"/>
        <v>#N/A</v>
      </c>
    </row>
    <row r="123" spans="2:6">
      <c r="B123" s="196">
        <v>41573</v>
      </c>
      <c r="C123" s="197">
        <v>489</v>
      </c>
      <c r="D123" s="199">
        <f t="shared" si="3"/>
        <v>10</v>
      </c>
      <c r="E123">
        <f t="shared" si="5"/>
        <v>15315</v>
      </c>
      <c r="F123" t="e">
        <f t="shared" si="4"/>
        <v>#N/A</v>
      </c>
    </row>
    <row r="124" spans="2:6">
      <c r="B124" s="194">
        <v>41574</v>
      </c>
      <c r="C124" s="195">
        <v>485</v>
      </c>
      <c r="D124" s="199">
        <f t="shared" si="3"/>
        <v>10</v>
      </c>
      <c r="E124">
        <f t="shared" si="5"/>
        <v>15315</v>
      </c>
      <c r="F124" t="e">
        <f t="shared" si="4"/>
        <v>#N/A</v>
      </c>
    </row>
    <row r="125" spans="2:6">
      <c r="B125" s="196">
        <v>41575</v>
      </c>
      <c r="C125" s="197">
        <v>503</v>
      </c>
      <c r="D125" s="199">
        <f t="shared" si="3"/>
        <v>10</v>
      </c>
      <c r="E125">
        <f t="shared" si="5"/>
        <v>15315</v>
      </c>
      <c r="F125" t="e">
        <f t="shared" si="4"/>
        <v>#N/A</v>
      </c>
    </row>
    <row r="126" spans="2:6">
      <c r="B126" s="194">
        <v>41576</v>
      </c>
      <c r="C126" s="195">
        <v>513</v>
      </c>
      <c r="D126" s="199">
        <f t="shared" si="3"/>
        <v>10</v>
      </c>
      <c r="E126">
        <f t="shared" si="5"/>
        <v>15315</v>
      </c>
      <c r="F126" t="e">
        <f t="shared" si="4"/>
        <v>#N/A</v>
      </c>
    </row>
    <row r="127" spans="2:6">
      <c r="B127" s="196">
        <v>41577</v>
      </c>
      <c r="C127" s="197">
        <v>502</v>
      </c>
      <c r="D127" s="199">
        <f t="shared" si="3"/>
        <v>10</v>
      </c>
      <c r="E127">
        <f t="shared" si="5"/>
        <v>15315</v>
      </c>
      <c r="F127" t="e">
        <f t="shared" si="4"/>
        <v>#N/A</v>
      </c>
    </row>
    <row r="128" spans="2:6">
      <c r="B128" s="194">
        <v>41578</v>
      </c>
      <c r="C128" s="195">
        <v>512</v>
      </c>
      <c r="D128" s="199">
        <f t="shared" si="3"/>
        <v>10</v>
      </c>
      <c r="E128">
        <f t="shared" si="5"/>
        <v>15315</v>
      </c>
      <c r="F128" t="e">
        <f t="shared" si="4"/>
        <v>#N/A</v>
      </c>
    </row>
    <row r="129" spans="2:6">
      <c r="B129" s="196">
        <v>41579</v>
      </c>
      <c r="C129" s="197">
        <v>534</v>
      </c>
      <c r="D129" s="199">
        <f t="shared" si="3"/>
        <v>11</v>
      </c>
      <c r="E129">
        <f t="shared" si="5"/>
        <v>15124</v>
      </c>
      <c r="F129" t="e">
        <f t="shared" si="4"/>
        <v>#N/A</v>
      </c>
    </row>
    <row r="130" spans="2:6">
      <c r="B130" s="194">
        <v>41580</v>
      </c>
      <c r="C130" s="195">
        <v>480</v>
      </c>
      <c r="D130" s="199">
        <f t="shared" si="3"/>
        <v>11</v>
      </c>
      <c r="E130">
        <f t="shared" si="5"/>
        <v>15124</v>
      </c>
      <c r="F130" t="e">
        <f t="shared" si="4"/>
        <v>#N/A</v>
      </c>
    </row>
    <row r="131" spans="2:6">
      <c r="B131" s="196">
        <v>41581</v>
      </c>
      <c r="C131" s="197">
        <v>441</v>
      </c>
      <c r="D131" s="199">
        <f t="shared" si="3"/>
        <v>11</v>
      </c>
      <c r="E131">
        <f t="shared" si="5"/>
        <v>15124</v>
      </c>
      <c r="F131" t="e">
        <f t="shared" si="4"/>
        <v>#N/A</v>
      </c>
    </row>
    <row r="132" spans="2:6">
      <c r="B132" s="194">
        <v>41582</v>
      </c>
      <c r="C132" s="195">
        <v>511</v>
      </c>
      <c r="D132" s="199">
        <f t="shared" si="3"/>
        <v>11</v>
      </c>
      <c r="E132">
        <f t="shared" si="5"/>
        <v>15124</v>
      </c>
      <c r="F132" t="e">
        <f t="shared" si="4"/>
        <v>#N/A</v>
      </c>
    </row>
    <row r="133" spans="2:6">
      <c r="B133" s="196">
        <v>41583</v>
      </c>
      <c r="C133" s="197">
        <v>494</v>
      </c>
      <c r="D133" s="199">
        <f t="shared" si="3"/>
        <v>11</v>
      </c>
      <c r="E133">
        <f t="shared" si="5"/>
        <v>15124</v>
      </c>
      <c r="F133" t="e">
        <f t="shared" si="4"/>
        <v>#N/A</v>
      </c>
    </row>
    <row r="134" spans="2:6">
      <c r="B134" s="194">
        <v>41584</v>
      </c>
      <c r="C134" s="195">
        <v>494</v>
      </c>
      <c r="D134" s="199">
        <f t="shared" si="3"/>
        <v>11</v>
      </c>
      <c r="E134">
        <f t="shared" si="5"/>
        <v>15124</v>
      </c>
      <c r="F134" t="e">
        <f t="shared" si="4"/>
        <v>#N/A</v>
      </c>
    </row>
    <row r="135" spans="2:6">
      <c r="B135" s="196">
        <v>41585</v>
      </c>
      <c r="C135" s="197">
        <v>520</v>
      </c>
      <c r="D135" s="199">
        <f t="shared" ref="D135:D169" si="6">MONTH(B135)</f>
        <v>11</v>
      </c>
      <c r="E135">
        <f t="shared" si="5"/>
        <v>15124</v>
      </c>
      <c r="F135" t="e">
        <f t="shared" ref="F135:F169" si="7">IF(E135=$F$2,C135,NA())</f>
        <v>#N/A</v>
      </c>
    </row>
    <row r="136" spans="2:6">
      <c r="B136" s="194">
        <v>41586</v>
      </c>
      <c r="C136" s="195">
        <v>587</v>
      </c>
      <c r="D136" s="199">
        <f t="shared" si="6"/>
        <v>11</v>
      </c>
      <c r="E136">
        <f t="shared" si="5"/>
        <v>15124</v>
      </c>
      <c r="F136" t="e">
        <f t="shared" si="7"/>
        <v>#N/A</v>
      </c>
    </row>
    <row r="137" spans="2:6">
      <c r="B137" s="196">
        <v>41587</v>
      </c>
      <c r="C137" s="197">
        <v>503</v>
      </c>
      <c r="D137" s="199">
        <f t="shared" si="6"/>
        <v>11</v>
      </c>
      <c r="E137">
        <f t="shared" si="5"/>
        <v>15124</v>
      </c>
      <c r="F137" t="e">
        <f t="shared" si="7"/>
        <v>#N/A</v>
      </c>
    </row>
    <row r="138" spans="2:6">
      <c r="B138" s="194">
        <v>41588</v>
      </c>
      <c r="C138" s="195">
        <v>505</v>
      </c>
      <c r="D138" s="199">
        <f t="shared" si="6"/>
        <v>11</v>
      </c>
      <c r="E138">
        <f t="shared" si="5"/>
        <v>15124</v>
      </c>
      <c r="F138" t="e">
        <f t="shared" si="7"/>
        <v>#N/A</v>
      </c>
    </row>
    <row r="139" spans="2:6">
      <c r="B139" s="196">
        <v>41589</v>
      </c>
      <c r="C139" s="197">
        <v>540</v>
      </c>
      <c r="D139" s="199">
        <f t="shared" si="6"/>
        <v>11</v>
      </c>
      <c r="E139">
        <f t="shared" ref="E139:E169" si="8">SUMIF($D$6:$D$169,$D139,$C$6:$C$169)</f>
        <v>15124</v>
      </c>
      <c r="F139" t="e">
        <f t="shared" si="7"/>
        <v>#N/A</v>
      </c>
    </row>
    <row r="140" spans="2:6">
      <c r="B140" s="194">
        <v>41590</v>
      </c>
      <c r="C140" s="195">
        <v>458</v>
      </c>
      <c r="D140" s="199">
        <f t="shared" si="6"/>
        <v>11</v>
      </c>
      <c r="E140">
        <f t="shared" si="8"/>
        <v>15124</v>
      </c>
      <c r="F140" t="e">
        <f t="shared" si="7"/>
        <v>#N/A</v>
      </c>
    </row>
    <row r="141" spans="2:6">
      <c r="B141" s="196">
        <v>41591</v>
      </c>
      <c r="C141" s="197">
        <v>548</v>
      </c>
      <c r="D141" s="199">
        <f t="shared" si="6"/>
        <v>11</v>
      </c>
      <c r="E141">
        <f t="shared" si="8"/>
        <v>15124</v>
      </c>
      <c r="F141" t="e">
        <f t="shared" si="7"/>
        <v>#N/A</v>
      </c>
    </row>
    <row r="142" spans="2:6">
      <c r="B142" s="194">
        <v>41592</v>
      </c>
      <c r="C142" s="195">
        <v>535</v>
      </c>
      <c r="D142" s="199">
        <f t="shared" si="6"/>
        <v>11</v>
      </c>
      <c r="E142">
        <f t="shared" si="8"/>
        <v>15124</v>
      </c>
      <c r="F142" t="e">
        <f t="shared" si="7"/>
        <v>#N/A</v>
      </c>
    </row>
    <row r="143" spans="2:6">
      <c r="B143" s="196">
        <v>41593</v>
      </c>
      <c r="C143" s="197">
        <v>477</v>
      </c>
      <c r="D143" s="199">
        <f t="shared" si="6"/>
        <v>11</v>
      </c>
      <c r="E143">
        <f t="shared" si="8"/>
        <v>15124</v>
      </c>
      <c r="F143" t="e">
        <f t="shared" si="7"/>
        <v>#N/A</v>
      </c>
    </row>
    <row r="144" spans="2:6">
      <c r="B144" s="194">
        <v>41594</v>
      </c>
      <c r="C144" s="195">
        <v>551</v>
      </c>
      <c r="D144" s="199">
        <f t="shared" si="6"/>
        <v>11</v>
      </c>
      <c r="E144">
        <f t="shared" si="8"/>
        <v>15124</v>
      </c>
      <c r="F144" t="e">
        <f t="shared" si="7"/>
        <v>#N/A</v>
      </c>
    </row>
    <row r="145" spans="2:6">
      <c r="B145" s="196">
        <v>41595</v>
      </c>
      <c r="C145" s="197">
        <v>516</v>
      </c>
      <c r="D145" s="199">
        <f t="shared" si="6"/>
        <v>11</v>
      </c>
      <c r="E145">
        <f t="shared" si="8"/>
        <v>15124</v>
      </c>
      <c r="F145" t="e">
        <f t="shared" si="7"/>
        <v>#N/A</v>
      </c>
    </row>
    <row r="146" spans="2:6">
      <c r="B146" s="194">
        <v>41596</v>
      </c>
      <c r="C146" s="195">
        <v>503</v>
      </c>
      <c r="D146" s="199">
        <f t="shared" si="6"/>
        <v>11</v>
      </c>
      <c r="E146">
        <f t="shared" si="8"/>
        <v>15124</v>
      </c>
      <c r="F146" t="e">
        <f t="shared" si="7"/>
        <v>#N/A</v>
      </c>
    </row>
    <row r="147" spans="2:6">
      <c r="B147" s="196">
        <v>41597</v>
      </c>
      <c r="C147" s="197">
        <v>467</v>
      </c>
      <c r="D147" s="199">
        <f t="shared" si="6"/>
        <v>11</v>
      </c>
      <c r="E147">
        <f t="shared" si="8"/>
        <v>15124</v>
      </c>
      <c r="F147" t="e">
        <f t="shared" si="7"/>
        <v>#N/A</v>
      </c>
    </row>
    <row r="148" spans="2:6">
      <c r="B148" s="194">
        <v>41598</v>
      </c>
      <c r="C148" s="195">
        <v>491</v>
      </c>
      <c r="D148" s="199">
        <f t="shared" si="6"/>
        <v>11</v>
      </c>
      <c r="E148">
        <f t="shared" si="8"/>
        <v>15124</v>
      </c>
      <c r="F148" t="e">
        <f t="shared" si="7"/>
        <v>#N/A</v>
      </c>
    </row>
    <row r="149" spans="2:6">
      <c r="B149" s="196">
        <v>41599</v>
      </c>
      <c r="C149" s="197">
        <v>478</v>
      </c>
      <c r="D149" s="199">
        <f t="shared" si="6"/>
        <v>11</v>
      </c>
      <c r="E149">
        <f t="shared" si="8"/>
        <v>15124</v>
      </c>
      <c r="F149" t="e">
        <f t="shared" si="7"/>
        <v>#N/A</v>
      </c>
    </row>
    <row r="150" spans="2:6">
      <c r="B150" s="194">
        <v>41600</v>
      </c>
      <c r="C150" s="195">
        <v>481</v>
      </c>
      <c r="D150" s="199">
        <f t="shared" si="6"/>
        <v>11</v>
      </c>
      <c r="E150">
        <f t="shared" si="8"/>
        <v>15124</v>
      </c>
      <c r="F150" t="e">
        <f t="shared" si="7"/>
        <v>#N/A</v>
      </c>
    </row>
    <row r="151" spans="2:6">
      <c r="B151" s="196">
        <v>41601</v>
      </c>
      <c r="C151" s="197">
        <v>505</v>
      </c>
      <c r="D151" s="199">
        <f t="shared" si="6"/>
        <v>11</v>
      </c>
      <c r="E151">
        <f t="shared" si="8"/>
        <v>15124</v>
      </c>
      <c r="F151" t="e">
        <f t="shared" si="7"/>
        <v>#N/A</v>
      </c>
    </row>
    <row r="152" spans="2:6">
      <c r="B152" s="194">
        <v>41602</v>
      </c>
      <c r="C152" s="195">
        <v>485</v>
      </c>
      <c r="D152" s="199">
        <f t="shared" si="6"/>
        <v>11</v>
      </c>
      <c r="E152">
        <f t="shared" si="8"/>
        <v>15124</v>
      </c>
      <c r="F152" t="e">
        <f t="shared" si="7"/>
        <v>#N/A</v>
      </c>
    </row>
    <row r="153" spans="2:6">
      <c r="B153" s="196">
        <v>41603</v>
      </c>
      <c r="C153" s="197">
        <v>483</v>
      </c>
      <c r="D153" s="199">
        <f t="shared" si="6"/>
        <v>11</v>
      </c>
      <c r="E153">
        <f t="shared" si="8"/>
        <v>15124</v>
      </c>
      <c r="F153" t="e">
        <f t="shared" si="7"/>
        <v>#N/A</v>
      </c>
    </row>
    <row r="154" spans="2:6">
      <c r="B154" s="194">
        <v>41604</v>
      </c>
      <c r="C154" s="195">
        <v>529</v>
      </c>
      <c r="D154" s="199">
        <f t="shared" si="6"/>
        <v>11</v>
      </c>
      <c r="E154">
        <f t="shared" si="8"/>
        <v>15124</v>
      </c>
      <c r="F154" t="e">
        <f t="shared" si="7"/>
        <v>#N/A</v>
      </c>
    </row>
    <row r="155" spans="2:6">
      <c r="B155" s="196">
        <v>41605</v>
      </c>
      <c r="C155" s="197">
        <v>506</v>
      </c>
      <c r="D155" s="199">
        <f t="shared" si="6"/>
        <v>11</v>
      </c>
      <c r="E155">
        <f t="shared" si="8"/>
        <v>15124</v>
      </c>
      <c r="F155" t="e">
        <f t="shared" si="7"/>
        <v>#N/A</v>
      </c>
    </row>
    <row r="156" spans="2:6">
      <c r="B156" s="194">
        <v>41606</v>
      </c>
      <c r="C156" s="195">
        <v>478</v>
      </c>
      <c r="D156" s="199">
        <f t="shared" si="6"/>
        <v>11</v>
      </c>
      <c r="E156">
        <f t="shared" si="8"/>
        <v>15124</v>
      </c>
      <c r="F156" t="e">
        <f t="shared" si="7"/>
        <v>#N/A</v>
      </c>
    </row>
    <row r="157" spans="2:6">
      <c r="B157" s="196">
        <v>41607</v>
      </c>
      <c r="C157" s="197">
        <v>503</v>
      </c>
      <c r="D157" s="199">
        <f t="shared" si="6"/>
        <v>11</v>
      </c>
      <c r="E157">
        <f t="shared" si="8"/>
        <v>15124</v>
      </c>
      <c r="F157" t="e">
        <f t="shared" si="7"/>
        <v>#N/A</v>
      </c>
    </row>
    <row r="158" spans="2:6">
      <c r="B158" s="194">
        <v>41608</v>
      </c>
      <c r="C158" s="195">
        <v>521</v>
      </c>
      <c r="D158" s="199">
        <f t="shared" si="6"/>
        <v>11</v>
      </c>
      <c r="E158">
        <f t="shared" si="8"/>
        <v>15124</v>
      </c>
      <c r="F158" t="e">
        <f t="shared" si="7"/>
        <v>#N/A</v>
      </c>
    </row>
    <row r="159" spans="2:6">
      <c r="B159" s="196">
        <v>41609</v>
      </c>
      <c r="C159" s="197">
        <v>481</v>
      </c>
      <c r="D159" s="199">
        <f t="shared" si="6"/>
        <v>12</v>
      </c>
      <c r="E159">
        <f t="shared" si="8"/>
        <v>5543</v>
      </c>
      <c r="F159" t="e">
        <f t="shared" si="7"/>
        <v>#N/A</v>
      </c>
    </row>
    <row r="160" spans="2:6">
      <c r="B160" s="194">
        <v>41610</v>
      </c>
      <c r="C160" s="195">
        <v>508</v>
      </c>
      <c r="D160" s="199">
        <f t="shared" si="6"/>
        <v>12</v>
      </c>
      <c r="E160">
        <f t="shared" si="8"/>
        <v>5543</v>
      </c>
      <c r="F160" t="e">
        <f t="shared" si="7"/>
        <v>#N/A</v>
      </c>
    </row>
    <row r="161" spans="2:6">
      <c r="B161" s="196">
        <v>41611</v>
      </c>
      <c r="C161" s="197">
        <v>551</v>
      </c>
      <c r="D161" s="199">
        <f t="shared" si="6"/>
        <v>12</v>
      </c>
      <c r="E161">
        <f t="shared" si="8"/>
        <v>5543</v>
      </c>
      <c r="F161" t="e">
        <f t="shared" si="7"/>
        <v>#N/A</v>
      </c>
    </row>
    <row r="162" spans="2:6">
      <c r="B162" s="194">
        <v>41612</v>
      </c>
      <c r="C162" s="195">
        <v>473</v>
      </c>
      <c r="D162" s="199">
        <f t="shared" si="6"/>
        <v>12</v>
      </c>
      <c r="E162">
        <f t="shared" si="8"/>
        <v>5543</v>
      </c>
      <c r="F162" t="e">
        <f t="shared" si="7"/>
        <v>#N/A</v>
      </c>
    </row>
    <row r="163" spans="2:6">
      <c r="B163" s="196">
        <v>41613</v>
      </c>
      <c r="C163" s="197">
        <v>493</v>
      </c>
      <c r="D163" s="199">
        <f t="shared" si="6"/>
        <v>12</v>
      </c>
      <c r="E163">
        <f t="shared" si="8"/>
        <v>5543</v>
      </c>
      <c r="F163" t="e">
        <f t="shared" si="7"/>
        <v>#N/A</v>
      </c>
    </row>
    <row r="164" spans="2:6">
      <c r="B164" s="194">
        <v>41614</v>
      </c>
      <c r="C164" s="195">
        <v>489</v>
      </c>
      <c r="D164" s="199">
        <f t="shared" si="6"/>
        <v>12</v>
      </c>
      <c r="E164">
        <f t="shared" si="8"/>
        <v>5543</v>
      </c>
      <c r="F164" t="e">
        <f t="shared" si="7"/>
        <v>#N/A</v>
      </c>
    </row>
    <row r="165" spans="2:6">
      <c r="B165" s="196">
        <v>41615</v>
      </c>
      <c r="C165" s="197">
        <v>497</v>
      </c>
      <c r="D165" s="199">
        <f t="shared" si="6"/>
        <v>12</v>
      </c>
      <c r="E165">
        <f t="shared" si="8"/>
        <v>5543</v>
      </c>
      <c r="F165" t="e">
        <f t="shared" si="7"/>
        <v>#N/A</v>
      </c>
    </row>
    <row r="166" spans="2:6">
      <c r="B166" s="194">
        <v>41616</v>
      </c>
      <c r="C166" s="195">
        <v>507</v>
      </c>
      <c r="D166" s="199">
        <f t="shared" si="6"/>
        <v>12</v>
      </c>
      <c r="E166">
        <f t="shared" si="8"/>
        <v>5543</v>
      </c>
      <c r="F166" t="e">
        <f t="shared" si="7"/>
        <v>#N/A</v>
      </c>
    </row>
    <row r="167" spans="2:6">
      <c r="B167" s="196">
        <v>41617</v>
      </c>
      <c r="C167" s="197">
        <v>481</v>
      </c>
      <c r="D167" s="199">
        <f t="shared" si="6"/>
        <v>12</v>
      </c>
      <c r="E167">
        <f t="shared" si="8"/>
        <v>5543</v>
      </c>
      <c r="F167" t="e">
        <f t="shared" si="7"/>
        <v>#N/A</v>
      </c>
    </row>
    <row r="168" spans="2:6">
      <c r="B168" s="194">
        <v>41618</v>
      </c>
      <c r="C168" s="195">
        <v>542</v>
      </c>
      <c r="D168" s="199">
        <f t="shared" si="6"/>
        <v>12</v>
      </c>
      <c r="E168">
        <f t="shared" si="8"/>
        <v>5543</v>
      </c>
      <c r="F168" t="e">
        <f t="shared" si="7"/>
        <v>#N/A</v>
      </c>
    </row>
    <row r="169" spans="2:6">
      <c r="B169" s="196">
        <v>41619</v>
      </c>
      <c r="C169" s="197">
        <v>521</v>
      </c>
      <c r="D169" s="199">
        <f t="shared" si="6"/>
        <v>12</v>
      </c>
      <c r="E169">
        <f t="shared" si="8"/>
        <v>5543</v>
      </c>
      <c r="F169" t="e">
        <f t="shared" si="7"/>
        <v>#N/A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7B07-6167-4B48-B3AA-4EA65B7DF4AE}">
  <sheetPr codeName="Sheet36">
    <tabColor rgb="FFFF0000"/>
  </sheetPr>
  <dimension ref="A1:D204"/>
  <sheetViews>
    <sheetView zoomScale="160" zoomScaleNormal="160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activeCell="H2" sqref="H2"/>
    </sheetView>
  </sheetViews>
  <sheetFormatPr defaultColWidth="9.140625" defaultRowHeight="12.75"/>
  <cols>
    <col min="1" max="1" width="15.140625" style="172" customWidth="1"/>
    <col min="2" max="2" width="13.140625" style="172" customWidth="1"/>
    <col min="3" max="3" width="11.5703125" style="172" customWidth="1"/>
    <col min="4" max="4" width="16.5703125" style="172" customWidth="1"/>
    <col min="5" max="16384" width="9.140625" style="172"/>
  </cols>
  <sheetData>
    <row r="1" spans="1:4" ht="41.25" customHeight="1">
      <c r="A1" s="490" t="s">
        <v>972</v>
      </c>
      <c r="B1" s="682" t="s">
        <v>3943</v>
      </c>
      <c r="C1" s="683"/>
      <c r="D1" s="683"/>
    </row>
    <row r="2" spans="1:4" ht="32.25" customHeight="1">
      <c r="A2" s="173"/>
      <c r="B2" s="177"/>
    </row>
    <row r="3" spans="1:4" ht="13.5" customHeight="1">
      <c r="A3" s="173"/>
      <c r="B3" s="177"/>
    </row>
    <row r="4" spans="1:4" ht="13.5" customHeight="1">
      <c r="A4" s="173"/>
      <c r="B4" s="177"/>
    </row>
    <row r="5" spans="1:4" ht="13.5" customHeight="1">
      <c r="A5" s="173"/>
      <c r="B5" s="177"/>
    </row>
    <row r="6" spans="1:4" ht="13.5" customHeight="1">
      <c r="A6" s="173"/>
      <c r="B6" s="177"/>
    </row>
    <row r="7" spans="1:4" ht="13.5" customHeight="1">
      <c r="A7" s="173"/>
      <c r="B7" s="177"/>
    </row>
    <row r="8" spans="1:4" ht="13.5" customHeight="1">
      <c r="A8" s="173"/>
      <c r="B8" s="177"/>
    </row>
    <row r="9" spans="1:4" ht="13.5" customHeight="1">
      <c r="A9" s="173"/>
      <c r="B9" s="177"/>
    </row>
    <row r="10" spans="1:4" ht="13.5" customHeight="1">
      <c r="A10" s="173"/>
      <c r="B10" s="177"/>
    </row>
    <row r="11" spans="1:4" ht="13.5" customHeight="1">
      <c r="A11" s="173"/>
      <c r="B11" s="177"/>
    </row>
    <row r="12" spans="1:4" ht="13.5" customHeight="1">
      <c r="A12" s="173"/>
      <c r="B12" s="177"/>
    </row>
    <row r="13" spans="1:4" ht="13.5" customHeight="1">
      <c r="A13" s="173"/>
      <c r="B13" s="177"/>
    </row>
    <row r="14" spans="1:4" ht="13.5" customHeight="1">
      <c r="A14" s="173"/>
      <c r="B14" s="177"/>
    </row>
    <row r="15" spans="1:4" ht="13.5" customHeight="1">
      <c r="A15" s="173"/>
      <c r="B15" s="177"/>
    </row>
    <row r="16" spans="1:4" ht="13.5" customHeight="1">
      <c r="A16" s="173"/>
      <c r="B16" s="177"/>
    </row>
    <row r="17" spans="1:2" ht="13.5" customHeight="1">
      <c r="A17" s="173"/>
      <c r="B17" s="177"/>
    </row>
    <row r="18" spans="1:2" ht="13.5" customHeight="1">
      <c r="A18" s="173"/>
      <c r="B18" s="177"/>
    </row>
    <row r="19" spans="1:2" ht="13.5" customHeight="1">
      <c r="A19" s="173"/>
      <c r="B19" s="177"/>
    </row>
    <row r="20" spans="1:2" ht="13.5" customHeight="1">
      <c r="A20" s="173"/>
      <c r="B20" s="177"/>
    </row>
    <row r="21" spans="1:2" ht="13.5" customHeight="1">
      <c r="A21" s="173"/>
      <c r="B21" s="177"/>
    </row>
    <row r="22" spans="1:2" ht="13.5" customHeight="1">
      <c r="A22" s="173"/>
      <c r="B22" s="177"/>
    </row>
    <row r="23" spans="1:2" ht="13.5" customHeight="1">
      <c r="A23" s="173"/>
      <c r="B23" s="177"/>
    </row>
    <row r="24" spans="1:2" ht="13.5" customHeight="1">
      <c r="A24" s="173"/>
      <c r="B24" s="177"/>
    </row>
    <row r="25" spans="1:2" ht="13.5" customHeight="1">
      <c r="A25" s="173"/>
      <c r="B25" s="177"/>
    </row>
    <row r="26" spans="1:2" ht="13.5" customHeight="1">
      <c r="A26" s="173"/>
      <c r="B26" s="177"/>
    </row>
    <row r="27" spans="1:2" ht="13.5" customHeight="1">
      <c r="A27" s="173"/>
      <c r="B27" s="177"/>
    </row>
    <row r="28" spans="1:2" ht="13.5" customHeight="1">
      <c r="A28" s="173"/>
      <c r="B28" s="177"/>
    </row>
    <row r="29" spans="1:2" ht="13.5" customHeight="1">
      <c r="A29" s="173"/>
      <c r="B29" s="177"/>
    </row>
    <row r="30" spans="1:2" ht="13.5" customHeight="1">
      <c r="A30" s="173"/>
      <c r="B30" s="177"/>
    </row>
    <row r="31" spans="1:2" ht="13.5" customHeight="1">
      <c r="A31" s="173"/>
      <c r="B31" s="177"/>
    </row>
    <row r="32" spans="1:2" ht="13.5" customHeight="1">
      <c r="A32" s="173"/>
      <c r="B32" s="177"/>
    </row>
    <row r="33" spans="1:2" ht="13.5" customHeight="1">
      <c r="A33" s="173"/>
      <c r="B33" s="177"/>
    </row>
    <row r="34" spans="1:2" ht="13.5" customHeight="1">
      <c r="A34" s="173"/>
      <c r="B34" s="177"/>
    </row>
    <row r="35" spans="1:2" ht="13.5" customHeight="1">
      <c r="A35" s="173"/>
      <c r="B35" s="177"/>
    </row>
    <row r="36" spans="1:2" ht="13.5" customHeight="1">
      <c r="A36" s="173"/>
      <c r="B36" s="177"/>
    </row>
    <row r="37" spans="1:2" ht="13.5" customHeight="1">
      <c r="A37" s="173"/>
      <c r="B37" s="177"/>
    </row>
    <row r="38" spans="1:2" ht="13.5" customHeight="1">
      <c r="A38" s="173"/>
      <c r="B38" s="177"/>
    </row>
    <row r="39" spans="1:2" ht="13.5" customHeight="1">
      <c r="A39" s="173"/>
      <c r="B39" s="177"/>
    </row>
    <row r="40" spans="1:2" ht="13.5" customHeight="1">
      <c r="A40" s="173"/>
      <c r="B40" s="177"/>
    </row>
    <row r="41" spans="1:2" ht="13.5" customHeight="1">
      <c r="A41" s="173"/>
      <c r="B41" s="177"/>
    </row>
    <row r="42" spans="1:2" ht="13.5" customHeight="1">
      <c r="A42" s="173"/>
      <c r="B42" s="177"/>
    </row>
    <row r="43" spans="1:2" ht="13.5" customHeight="1">
      <c r="A43" s="173"/>
      <c r="B43" s="177"/>
    </row>
    <row r="44" spans="1:2" ht="13.5" customHeight="1">
      <c r="A44" s="173"/>
      <c r="B44" s="177"/>
    </row>
    <row r="45" spans="1:2" ht="13.5" customHeight="1">
      <c r="A45" s="173"/>
      <c r="B45" s="177"/>
    </row>
    <row r="46" spans="1:2" ht="13.5" customHeight="1">
      <c r="A46" s="173"/>
      <c r="B46" s="177"/>
    </row>
    <row r="47" spans="1:2" ht="13.5" customHeight="1">
      <c r="A47" s="173"/>
      <c r="B47" s="177"/>
    </row>
    <row r="48" spans="1:2" ht="13.5" customHeight="1">
      <c r="A48" s="173"/>
      <c r="B48" s="177"/>
    </row>
    <row r="49" spans="1:2" ht="13.5" customHeight="1">
      <c r="A49" s="173"/>
      <c r="B49" s="177"/>
    </row>
    <row r="50" spans="1:2" ht="13.5" customHeight="1">
      <c r="A50" s="173"/>
      <c r="B50" s="177"/>
    </row>
    <row r="51" spans="1:2" ht="13.5" customHeight="1">
      <c r="A51" s="173"/>
      <c r="B51" s="177"/>
    </row>
    <row r="52" spans="1:2" ht="13.5" customHeight="1">
      <c r="A52" s="173"/>
      <c r="B52" s="177"/>
    </row>
    <row r="53" spans="1:2" ht="13.5" customHeight="1">
      <c r="A53" s="173"/>
      <c r="B53" s="177"/>
    </row>
    <row r="54" spans="1:2" ht="13.5" customHeight="1">
      <c r="A54" s="173"/>
      <c r="B54" s="177"/>
    </row>
    <row r="55" spans="1:2" ht="13.5" customHeight="1">
      <c r="A55" s="173"/>
      <c r="B55" s="177"/>
    </row>
    <row r="56" spans="1:2" ht="13.5" customHeight="1">
      <c r="A56" s="173"/>
      <c r="B56" s="177"/>
    </row>
    <row r="57" spans="1:2" ht="13.5" customHeight="1">
      <c r="A57" s="173"/>
      <c r="B57" s="177"/>
    </row>
    <row r="58" spans="1:2" ht="13.5" customHeight="1">
      <c r="A58" s="173"/>
      <c r="B58" s="177"/>
    </row>
    <row r="59" spans="1:2" ht="13.5" customHeight="1">
      <c r="A59" s="173"/>
      <c r="B59" s="177"/>
    </row>
    <row r="60" spans="1:2" ht="13.5" customHeight="1">
      <c r="A60" s="173"/>
      <c r="B60" s="177"/>
    </row>
    <row r="61" spans="1:2" ht="13.5" customHeight="1">
      <c r="A61" s="173"/>
      <c r="B61" s="177"/>
    </row>
    <row r="62" spans="1:2" ht="13.5" customHeight="1">
      <c r="A62" s="173"/>
      <c r="B62" s="177"/>
    </row>
    <row r="63" spans="1:2" ht="13.5" customHeight="1">
      <c r="A63" s="173"/>
      <c r="B63" s="177"/>
    </row>
    <row r="64" spans="1:2" ht="13.5" customHeight="1">
      <c r="A64" s="173"/>
      <c r="B64" s="177"/>
    </row>
    <row r="65" spans="1:2" ht="13.5" customHeight="1">
      <c r="A65" s="173"/>
      <c r="B65" s="177"/>
    </row>
    <row r="66" spans="1:2" ht="13.5" customHeight="1">
      <c r="A66" s="173"/>
      <c r="B66" s="177"/>
    </row>
    <row r="67" spans="1:2" ht="13.5" customHeight="1">
      <c r="A67" s="173"/>
      <c r="B67" s="177"/>
    </row>
    <row r="68" spans="1:2" ht="13.5" customHeight="1">
      <c r="A68" s="173"/>
      <c r="B68" s="177"/>
    </row>
    <row r="69" spans="1:2" ht="13.5" customHeight="1">
      <c r="A69" s="173"/>
      <c r="B69" s="177"/>
    </row>
    <row r="70" spans="1:2" ht="13.5" customHeight="1">
      <c r="A70" s="173"/>
      <c r="B70" s="177"/>
    </row>
    <row r="71" spans="1:2" ht="13.5" customHeight="1">
      <c r="A71" s="173"/>
      <c r="B71" s="177"/>
    </row>
    <row r="72" spans="1:2" ht="13.5" customHeight="1">
      <c r="A72" s="173"/>
      <c r="B72" s="177"/>
    </row>
    <row r="73" spans="1:2" ht="13.5" customHeight="1">
      <c r="A73" s="173"/>
      <c r="B73" s="177"/>
    </row>
    <row r="74" spans="1:2" ht="13.5" customHeight="1">
      <c r="A74" s="173"/>
      <c r="B74" s="177"/>
    </row>
    <row r="75" spans="1:2" ht="13.5" customHeight="1">
      <c r="A75" s="173"/>
      <c r="B75" s="177"/>
    </row>
    <row r="76" spans="1:2" ht="13.5" customHeight="1">
      <c r="A76" s="173"/>
      <c r="B76" s="177"/>
    </row>
    <row r="77" spans="1:2" ht="13.5" customHeight="1">
      <c r="A77" s="173"/>
      <c r="B77" s="177"/>
    </row>
    <row r="78" spans="1:2" ht="13.5" customHeight="1">
      <c r="A78" s="173"/>
      <c r="B78" s="177"/>
    </row>
    <row r="79" spans="1:2" ht="13.5" customHeight="1">
      <c r="A79" s="173"/>
      <c r="B79" s="177"/>
    </row>
    <row r="80" spans="1:2" ht="13.5" customHeight="1">
      <c r="A80" s="173"/>
      <c r="B80" s="177"/>
    </row>
    <row r="81" spans="1:2" ht="13.5" customHeight="1">
      <c r="A81" s="173"/>
      <c r="B81" s="177"/>
    </row>
    <row r="82" spans="1:2">
      <c r="B82" s="178"/>
    </row>
    <row r="83" spans="1:2">
      <c r="B83" s="178"/>
    </row>
    <row r="84" spans="1:2">
      <c r="B84" s="178"/>
    </row>
    <row r="85" spans="1:2">
      <c r="B85" s="178"/>
    </row>
    <row r="86" spans="1:2">
      <c r="B86" s="178"/>
    </row>
    <row r="87" spans="1:2">
      <c r="B87" s="178"/>
    </row>
    <row r="88" spans="1:2">
      <c r="B88" s="178"/>
    </row>
    <row r="89" spans="1:2">
      <c r="B89" s="178"/>
    </row>
    <row r="90" spans="1:2">
      <c r="B90" s="178"/>
    </row>
    <row r="91" spans="1:2">
      <c r="B91" s="178"/>
    </row>
    <row r="92" spans="1:2">
      <c r="B92" s="178"/>
    </row>
    <row r="93" spans="1:2">
      <c r="B93" s="178"/>
    </row>
    <row r="94" spans="1:2">
      <c r="B94" s="178"/>
    </row>
    <row r="95" spans="1:2">
      <c r="B95" s="178"/>
    </row>
    <row r="96" spans="1:2">
      <c r="B96" s="178"/>
    </row>
    <row r="97" spans="2:2">
      <c r="B97" s="178"/>
    </row>
    <row r="98" spans="2:2">
      <c r="B98" s="178"/>
    </row>
    <row r="99" spans="2:2">
      <c r="B99" s="178"/>
    </row>
    <row r="100" spans="2:2">
      <c r="B100" s="178"/>
    </row>
    <row r="101" spans="2:2">
      <c r="B101" s="178"/>
    </row>
    <row r="102" spans="2:2">
      <c r="B102" s="178"/>
    </row>
    <row r="103" spans="2:2">
      <c r="B103" s="178"/>
    </row>
    <row r="104" spans="2:2">
      <c r="B104" s="178"/>
    </row>
    <row r="105" spans="2:2">
      <c r="B105" s="178"/>
    </row>
    <row r="106" spans="2:2">
      <c r="B106" s="178"/>
    </row>
    <row r="107" spans="2:2">
      <c r="B107" s="178"/>
    </row>
    <row r="108" spans="2:2">
      <c r="B108" s="178"/>
    </row>
    <row r="109" spans="2:2">
      <c r="B109" s="178"/>
    </row>
    <row r="110" spans="2:2">
      <c r="B110" s="178"/>
    </row>
    <row r="111" spans="2:2">
      <c r="B111" s="178"/>
    </row>
    <row r="112" spans="2:2">
      <c r="B112" s="178"/>
    </row>
    <row r="113" spans="2:2">
      <c r="B113" s="178"/>
    </row>
    <row r="114" spans="2:2">
      <c r="B114" s="178"/>
    </row>
    <row r="115" spans="2:2">
      <c r="B115" s="178"/>
    </row>
    <row r="116" spans="2:2">
      <c r="B116" s="178"/>
    </row>
    <row r="117" spans="2:2">
      <c r="B117" s="178"/>
    </row>
    <row r="118" spans="2:2">
      <c r="B118" s="178"/>
    </row>
    <row r="119" spans="2:2">
      <c r="B119" s="178"/>
    </row>
    <row r="120" spans="2:2">
      <c r="B120" s="178"/>
    </row>
    <row r="121" spans="2:2">
      <c r="B121" s="178"/>
    </row>
    <row r="122" spans="2:2">
      <c r="B122" s="178"/>
    </row>
    <row r="123" spans="2:2">
      <c r="B123" s="178"/>
    </row>
    <row r="124" spans="2:2">
      <c r="B124" s="178"/>
    </row>
    <row r="125" spans="2:2">
      <c r="B125" s="178"/>
    </row>
    <row r="126" spans="2:2">
      <c r="B126" s="178"/>
    </row>
    <row r="127" spans="2:2">
      <c r="B127" s="178"/>
    </row>
    <row r="128" spans="2:2">
      <c r="B128" s="178"/>
    </row>
    <row r="129" spans="2:2">
      <c r="B129" s="178"/>
    </row>
    <row r="130" spans="2:2">
      <c r="B130" s="178"/>
    </row>
    <row r="131" spans="2:2">
      <c r="B131" s="178"/>
    </row>
    <row r="132" spans="2:2">
      <c r="B132" s="178"/>
    </row>
    <row r="133" spans="2:2">
      <c r="B133" s="178"/>
    </row>
    <row r="134" spans="2:2">
      <c r="B134" s="178"/>
    </row>
    <row r="135" spans="2:2">
      <c r="B135" s="178"/>
    </row>
    <row r="136" spans="2:2">
      <c r="B136" s="178"/>
    </row>
    <row r="137" spans="2:2">
      <c r="B137" s="178"/>
    </row>
    <row r="138" spans="2:2">
      <c r="B138" s="178"/>
    </row>
    <row r="139" spans="2:2">
      <c r="B139" s="178"/>
    </row>
    <row r="140" spans="2:2">
      <c r="B140" s="178"/>
    </row>
    <row r="141" spans="2:2">
      <c r="B141" s="178"/>
    </row>
    <row r="142" spans="2:2">
      <c r="B142" s="178"/>
    </row>
    <row r="143" spans="2:2">
      <c r="B143" s="178"/>
    </row>
    <row r="144" spans="2:2">
      <c r="B144" s="178"/>
    </row>
    <row r="145" spans="2:2">
      <c r="B145" s="178"/>
    </row>
    <row r="146" spans="2:2">
      <c r="B146" s="178"/>
    </row>
    <row r="147" spans="2:2">
      <c r="B147" s="178"/>
    </row>
    <row r="148" spans="2:2">
      <c r="B148" s="178"/>
    </row>
    <row r="149" spans="2:2">
      <c r="B149" s="178"/>
    </row>
    <row r="150" spans="2:2">
      <c r="B150" s="178"/>
    </row>
    <row r="151" spans="2:2">
      <c r="B151" s="178"/>
    </row>
    <row r="152" spans="2:2">
      <c r="B152" s="178"/>
    </row>
    <row r="153" spans="2:2">
      <c r="B153" s="178"/>
    </row>
    <row r="154" spans="2:2">
      <c r="B154" s="178"/>
    </row>
    <row r="155" spans="2:2">
      <c r="B155" s="178"/>
    </row>
    <row r="156" spans="2:2">
      <c r="B156" s="178"/>
    </row>
    <row r="157" spans="2:2">
      <c r="B157" s="178"/>
    </row>
    <row r="158" spans="2:2">
      <c r="B158" s="178"/>
    </row>
    <row r="159" spans="2:2">
      <c r="B159" s="178"/>
    </row>
    <row r="160" spans="2:2">
      <c r="B160" s="178"/>
    </row>
    <row r="161" spans="2:2">
      <c r="B161" s="178"/>
    </row>
    <row r="162" spans="2:2">
      <c r="B162" s="178"/>
    </row>
    <row r="163" spans="2:2">
      <c r="B163" s="178"/>
    </row>
    <row r="164" spans="2:2">
      <c r="B164" s="178"/>
    </row>
    <row r="165" spans="2:2">
      <c r="B165" s="178"/>
    </row>
    <row r="166" spans="2:2">
      <c r="B166" s="178"/>
    </row>
    <row r="167" spans="2:2">
      <c r="B167" s="178"/>
    </row>
    <row r="168" spans="2:2">
      <c r="B168" s="178"/>
    </row>
    <row r="169" spans="2:2">
      <c r="B169" s="178"/>
    </row>
    <row r="170" spans="2:2">
      <c r="B170" s="178"/>
    </row>
    <row r="171" spans="2:2">
      <c r="B171" s="178"/>
    </row>
    <row r="172" spans="2:2">
      <c r="B172" s="178"/>
    </row>
    <row r="173" spans="2:2">
      <c r="B173" s="178"/>
    </row>
    <row r="174" spans="2:2">
      <c r="B174" s="178"/>
    </row>
    <row r="175" spans="2:2">
      <c r="B175" s="178"/>
    </row>
    <row r="176" spans="2:2">
      <c r="B176" s="178"/>
    </row>
    <row r="177" spans="2:2">
      <c r="B177" s="178"/>
    </row>
    <row r="178" spans="2:2">
      <c r="B178" s="178"/>
    </row>
    <row r="179" spans="2:2">
      <c r="B179" s="178"/>
    </row>
    <row r="180" spans="2:2">
      <c r="B180" s="178"/>
    </row>
    <row r="181" spans="2:2">
      <c r="B181" s="178"/>
    </row>
    <row r="182" spans="2:2">
      <c r="B182" s="178"/>
    </row>
    <row r="183" spans="2:2">
      <c r="B183" s="178"/>
    </row>
    <row r="184" spans="2:2">
      <c r="B184" s="178"/>
    </row>
    <row r="185" spans="2:2">
      <c r="B185" s="178"/>
    </row>
    <row r="186" spans="2:2">
      <c r="B186" s="178"/>
    </row>
    <row r="187" spans="2:2">
      <c r="B187" s="178"/>
    </row>
    <row r="188" spans="2:2">
      <c r="B188" s="178"/>
    </row>
    <row r="189" spans="2:2">
      <c r="B189" s="178"/>
    </row>
    <row r="190" spans="2:2">
      <c r="B190" s="178"/>
    </row>
    <row r="191" spans="2:2">
      <c r="B191" s="178"/>
    </row>
    <row r="192" spans="2:2">
      <c r="B192" s="178"/>
    </row>
    <row r="193" spans="2:2">
      <c r="B193" s="178"/>
    </row>
    <row r="194" spans="2:2">
      <c r="B194" s="178"/>
    </row>
    <row r="195" spans="2:2">
      <c r="B195" s="178"/>
    </row>
    <row r="196" spans="2:2">
      <c r="B196" s="178"/>
    </row>
    <row r="197" spans="2:2">
      <c r="B197" s="178"/>
    </row>
    <row r="198" spans="2:2">
      <c r="B198" s="178"/>
    </row>
    <row r="199" spans="2:2">
      <c r="B199" s="178"/>
    </row>
    <row r="200" spans="2:2">
      <c r="B200" s="178"/>
    </row>
    <row r="201" spans="2:2">
      <c r="B201" s="178"/>
    </row>
    <row r="202" spans="2:2">
      <c r="B202" s="178"/>
    </row>
    <row r="203" spans="2:2">
      <c r="B203" s="178"/>
    </row>
    <row r="204" spans="2:2">
      <c r="B204" s="178"/>
    </row>
  </sheetData>
  <mergeCells count="1">
    <mergeCell ref="B1:D1"/>
  </mergeCells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FF0000"/>
  </sheetPr>
  <dimension ref="C1:O8"/>
  <sheetViews>
    <sheetView topLeftCell="B1" workbookViewId="0">
      <selection activeCell="D10" sqref="D10"/>
    </sheetView>
  </sheetViews>
  <sheetFormatPr defaultColWidth="8.85546875" defaultRowHeight="12.75"/>
  <cols>
    <col min="1" max="2" width="8.85546875" style="1"/>
    <col min="3" max="3" width="16.7109375" style="1" customWidth="1"/>
    <col min="4" max="16384" width="8.85546875" style="1"/>
  </cols>
  <sheetData>
    <row r="1" spans="3:15" ht="15">
      <c r="C1" s="220" t="s">
        <v>949</v>
      </c>
    </row>
    <row r="5" spans="3:15">
      <c r="C5" s="1" t="s">
        <v>950</v>
      </c>
      <c r="D5" s="224">
        <v>41133</v>
      </c>
      <c r="E5" s="224">
        <v>41182</v>
      </c>
      <c r="F5" s="224">
        <v>41213</v>
      </c>
      <c r="G5" s="224">
        <v>41243</v>
      </c>
      <c r="H5" s="224">
        <v>41274</v>
      </c>
      <c r="I5" s="224">
        <v>41305</v>
      </c>
      <c r="J5" s="224">
        <v>41333</v>
      </c>
      <c r="K5" s="224">
        <v>41364</v>
      </c>
      <c r="L5" s="224">
        <v>41394</v>
      </c>
      <c r="M5" s="224">
        <v>41425</v>
      </c>
      <c r="N5" s="224">
        <v>41455</v>
      </c>
      <c r="O5" s="224">
        <v>41486</v>
      </c>
    </row>
    <row r="6" spans="3:15">
      <c r="C6" s="1" t="s">
        <v>951</v>
      </c>
      <c r="D6" s="1">
        <v>10</v>
      </c>
      <c r="E6" s="1">
        <v>12</v>
      </c>
      <c r="F6" s="1">
        <v>15</v>
      </c>
      <c r="G6" s="1">
        <v>18</v>
      </c>
      <c r="H6" s="1">
        <v>16</v>
      </c>
      <c r="I6" s="1">
        <v>20</v>
      </c>
      <c r="J6" s="1">
        <v>24</v>
      </c>
      <c r="K6" s="1">
        <v>28</v>
      </c>
      <c r="L6" s="1">
        <v>22</v>
      </c>
      <c r="M6" s="1">
        <v>20</v>
      </c>
      <c r="N6" s="1">
        <v>19</v>
      </c>
      <c r="O6" s="1">
        <v>27</v>
      </c>
    </row>
    <row r="7" spans="3:15">
      <c r="C7" s="1" t="s">
        <v>952</v>
      </c>
      <c r="D7" s="1">
        <v>5</v>
      </c>
      <c r="E7" s="1">
        <v>7</v>
      </c>
      <c r="F7" s="1">
        <v>8</v>
      </c>
      <c r="G7" s="1">
        <v>10</v>
      </c>
      <c r="H7" s="1">
        <v>8</v>
      </c>
      <c r="I7" s="1">
        <v>15</v>
      </c>
      <c r="J7" s="1">
        <v>17</v>
      </c>
      <c r="K7" s="1">
        <v>20</v>
      </c>
      <c r="L7" s="1">
        <v>18</v>
      </c>
      <c r="M7" s="1">
        <v>15</v>
      </c>
      <c r="N7" s="1">
        <v>13</v>
      </c>
      <c r="O7" s="1">
        <v>22</v>
      </c>
    </row>
    <row r="8" spans="3:15">
      <c r="C8" s="1" t="s">
        <v>953</v>
      </c>
      <c r="D8" s="1">
        <v>7</v>
      </c>
      <c r="E8" s="1">
        <v>10</v>
      </c>
      <c r="F8" s="1">
        <v>12</v>
      </c>
      <c r="G8" s="1">
        <v>15</v>
      </c>
      <c r="H8" s="1">
        <v>12</v>
      </c>
      <c r="I8" s="1">
        <v>18</v>
      </c>
      <c r="J8" s="1">
        <v>20</v>
      </c>
      <c r="K8" s="1">
        <v>25</v>
      </c>
      <c r="L8" s="1">
        <v>20</v>
      </c>
      <c r="M8" s="1">
        <v>17</v>
      </c>
      <c r="N8" s="1">
        <v>15</v>
      </c>
      <c r="O8" s="1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tabColor rgb="FFFF0000"/>
  </sheetPr>
  <dimension ref="B2:N22"/>
  <sheetViews>
    <sheetView zoomScale="130" zoomScaleNormal="130" workbookViewId="0">
      <selection activeCell="C16" sqref="C16"/>
    </sheetView>
  </sheetViews>
  <sheetFormatPr defaultRowHeight="15"/>
  <cols>
    <col min="2" max="2" width="10.7109375" customWidth="1"/>
    <col min="3" max="3" width="12" customWidth="1"/>
    <col min="4" max="4" width="10.5703125" customWidth="1"/>
    <col min="5" max="5" width="13.5703125" customWidth="1"/>
    <col min="6" max="6" width="12.42578125" customWidth="1"/>
    <col min="7" max="7" width="10.5703125" customWidth="1"/>
  </cols>
  <sheetData>
    <row r="2" spans="2:14">
      <c r="B2" s="32" t="s">
        <v>959</v>
      </c>
    </row>
    <row r="4" spans="2:14" ht="52.9" customHeight="1">
      <c r="B4" s="228" t="s">
        <v>381</v>
      </c>
      <c r="C4" s="228" t="s">
        <v>960</v>
      </c>
      <c r="D4" s="228" t="s">
        <v>961</v>
      </c>
      <c r="E4" s="228" t="s">
        <v>962</v>
      </c>
      <c r="F4" s="228" t="s">
        <v>963</v>
      </c>
      <c r="G4" s="228" t="s">
        <v>964</v>
      </c>
    </row>
    <row r="5" spans="2:14">
      <c r="B5" s="227">
        <v>2007</v>
      </c>
      <c r="C5" s="226">
        <v>1000</v>
      </c>
      <c r="D5" s="226">
        <v>800</v>
      </c>
      <c r="E5" s="226">
        <f t="shared" ref="E5:E10" si="0">C5-D5</f>
        <v>200</v>
      </c>
      <c r="F5" s="222">
        <v>230</v>
      </c>
      <c r="G5" s="225">
        <v>0.30000000000000004</v>
      </c>
    </row>
    <row r="6" spans="2:14">
      <c r="B6" s="227">
        <v>2008</v>
      </c>
      <c r="C6" s="226">
        <v>1200</v>
      </c>
      <c r="D6" s="226">
        <v>950</v>
      </c>
      <c r="E6" s="226">
        <f t="shared" si="0"/>
        <v>250</v>
      </c>
      <c r="F6" s="222">
        <v>130</v>
      </c>
      <c r="G6" s="225">
        <v>0.25</v>
      </c>
    </row>
    <row r="7" spans="2:14">
      <c r="B7" s="227">
        <v>2009</v>
      </c>
      <c r="C7" s="226">
        <v>1600</v>
      </c>
      <c r="D7" s="226">
        <v>1480</v>
      </c>
      <c r="E7" s="226">
        <f t="shared" si="0"/>
        <v>120</v>
      </c>
      <c r="F7" s="222">
        <v>180</v>
      </c>
      <c r="G7" s="225">
        <v>0.4</v>
      </c>
    </row>
    <row r="8" spans="2:14">
      <c r="B8" s="227">
        <v>2010</v>
      </c>
      <c r="C8" s="226">
        <v>1400</v>
      </c>
      <c r="D8" s="226">
        <v>1200</v>
      </c>
      <c r="E8" s="226">
        <f t="shared" si="0"/>
        <v>200</v>
      </c>
      <c r="F8" s="222">
        <v>120</v>
      </c>
      <c r="G8" s="225">
        <v>0.4</v>
      </c>
    </row>
    <row r="9" spans="2:14">
      <c r="B9" s="227">
        <v>2011</v>
      </c>
      <c r="C9" s="226">
        <v>1800</v>
      </c>
      <c r="D9" s="226">
        <v>1400</v>
      </c>
      <c r="E9" s="226">
        <f t="shared" si="0"/>
        <v>400</v>
      </c>
      <c r="F9" s="222">
        <v>230</v>
      </c>
      <c r="G9" s="225">
        <v>0.30000000000000004</v>
      </c>
    </row>
    <row r="10" spans="2:14">
      <c r="B10" s="227">
        <v>2012</v>
      </c>
      <c r="C10" s="226">
        <v>2200</v>
      </c>
      <c r="D10" s="226">
        <v>1500</v>
      </c>
      <c r="E10" s="226">
        <f t="shared" si="0"/>
        <v>700</v>
      </c>
      <c r="F10" s="222">
        <v>150</v>
      </c>
      <c r="G10" s="225">
        <v>0.30000000000000004</v>
      </c>
    </row>
    <row r="14" spans="2:14" ht="16.899999999999999" customHeight="1">
      <c r="C14" s="575" t="b">
        <v>1</v>
      </c>
      <c r="D14" s="575" t="b">
        <v>1</v>
      </c>
      <c r="E14" s="575" t="b">
        <v>1</v>
      </c>
    </row>
    <row r="15" spans="2:14" ht="18.600000000000001" customHeight="1">
      <c r="C15" s="574">
        <f>IF(C$14,C5,NA())</f>
        <v>1000</v>
      </c>
      <c r="D15" s="574">
        <f t="shared" ref="C15:E16" si="1">IF(D$14,D5,NA())</f>
        <v>800</v>
      </c>
      <c r="E15" s="574">
        <f t="shared" si="1"/>
        <v>200</v>
      </c>
    </row>
    <row r="16" spans="2:14">
      <c r="C16" s="106">
        <f t="shared" si="1"/>
        <v>1200</v>
      </c>
      <c r="D16" s="106">
        <f t="shared" si="1"/>
        <v>950</v>
      </c>
      <c r="E16" s="106">
        <f t="shared" si="1"/>
        <v>250</v>
      </c>
      <c r="J16" t="s">
        <v>76</v>
      </c>
      <c r="L16" t="s">
        <v>4048</v>
      </c>
      <c r="N16" t="s">
        <v>4049</v>
      </c>
    </row>
    <row r="17" spans="3:5">
      <c r="C17" s="106">
        <f t="shared" ref="C17:E17" si="2">IF(C$14,C7,NA())</f>
        <v>1600</v>
      </c>
      <c r="D17" s="106">
        <f t="shared" si="2"/>
        <v>1480</v>
      </c>
      <c r="E17" s="106">
        <f t="shared" si="2"/>
        <v>120</v>
      </c>
    </row>
    <row r="18" spans="3:5">
      <c r="C18" s="106">
        <f t="shared" ref="C18:E18" si="3">IF(C$14,C8,NA())</f>
        <v>1400</v>
      </c>
      <c r="D18" s="106">
        <f t="shared" si="3"/>
        <v>1200</v>
      </c>
      <c r="E18" s="106">
        <f t="shared" si="3"/>
        <v>200</v>
      </c>
    </row>
    <row r="19" spans="3:5">
      <c r="C19" s="106">
        <f t="shared" ref="C19:E19" si="4">IF(C$14,C9,NA())</f>
        <v>1800</v>
      </c>
      <c r="D19" s="106">
        <f t="shared" si="4"/>
        <v>1400</v>
      </c>
      <c r="E19" s="106">
        <f t="shared" si="4"/>
        <v>400</v>
      </c>
    </row>
    <row r="20" spans="3:5">
      <c r="C20" s="106">
        <f t="shared" ref="C20:E20" si="5">IF(C$14,C10,NA())</f>
        <v>2200</v>
      </c>
      <c r="D20" s="106">
        <f t="shared" si="5"/>
        <v>1500</v>
      </c>
      <c r="E20" s="106">
        <f t="shared" si="5"/>
        <v>700</v>
      </c>
    </row>
    <row r="21" spans="3:5">
      <c r="C21" s="443"/>
    </row>
    <row r="22" spans="3:5">
      <c r="C22" s="443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6129" r:id="rId4" name="Check Box 1">
              <controlPr defaultSize="0" autoFill="0" autoLine="0" autoPict="0">
                <anchor moveWithCells="1">
                  <from>
                    <xdr:col>8</xdr:col>
                    <xdr:colOff>552450</xdr:colOff>
                    <xdr:row>13</xdr:row>
                    <xdr:rowOff>76200</xdr:rowOff>
                  </from>
                  <to>
                    <xdr:col>10</xdr:col>
                    <xdr:colOff>209550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30" r:id="rId5" name="Check Box 2">
              <controlPr defaultSize="0" autoFill="0" autoLine="0" autoPict="0">
                <anchor moveWithCells="1">
                  <from>
                    <xdr:col>10</xdr:col>
                    <xdr:colOff>476250</xdr:colOff>
                    <xdr:row>13</xdr:row>
                    <xdr:rowOff>133350</xdr:rowOff>
                  </from>
                  <to>
                    <xdr:col>12</xdr:col>
                    <xdr:colOff>104775</xdr:colOff>
                    <xdr:row>14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31" r:id="rId6" name="Check Box 3">
              <controlPr defaultSize="0" autoFill="0" autoLine="0" autoPict="0">
                <anchor moveWithCells="1">
                  <from>
                    <xdr:col>12</xdr:col>
                    <xdr:colOff>323850</xdr:colOff>
                    <xdr:row>13</xdr:row>
                    <xdr:rowOff>171450</xdr:rowOff>
                  </from>
                  <to>
                    <xdr:col>13</xdr:col>
                    <xdr:colOff>466725</xdr:colOff>
                    <xdr:row>14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32" r:id="rId7" name="Check Box 4">
              <controlPr defaultSize="0" autoFill="0" autoLine="0" autoPict="0">
                <anchor moveWithCells="1">
                  <from>
                    <xdr:col>15</xdr:col>
                    <xdr:colOff>533400</xdr:colOff>
                    <xdr:row>14</xdr:row>
                    <xdr:rowOff>38100</xdr:rowOff>
                  </from>
                  <to>
                    <xdr:col>17</xdr:col>
                    <xdr:colOff>57150</xdr:colOff>
                    <xdr:row>15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58CF-40A8-4F3A-B290-25E7F6A1188F}">
  <sheetPr codeName="Sheet39">
    <tabColor rgb="FFFF0000"/>
  </sheetPr>
  <dimension ref="B2:G16"/>
  <sheetViews>
    <sheetView zoomScale="70" workbookViewId="0">
      <selection activeCell="N20" sqref="N20"/>
    </sheetView>
  </sheetViews>
  <sheetFormatPr defaultRowHeight="15"/>
  <cols>
    <col min="3" max="3" width="17.85546875" customWidth="1"/>
    <col min="4" max="4" width="10.140625" customWidth="1"/>
    <col min="6" max="6" width="12.28515625" customWidth="1"/>
    <col min="7" max="7" width="14.7109375" customWidth="1"/>
  </cols>
  <sheetData>
    <row r="2" spans="2:7">
      <c r="B2" s="32" t="s">
        <v>959</v>
      </c>
    </row>
    <row r="4" spans="2:7" ht="45">
      <c r="B4" s="228" t="s">
        <v>381</v>
      </c>
      <c r="C4" s="228" t="s">
        <v>960</v>
      </c>
      <c r="D4" s="228" t="s">
        <v>961</v>
      </c>
      <c r="E4" s="228" t="s">
        <v>962</v>
      </c>
      <c r="F4" s="228" t="s">
        <v>963</v>
      </c>
      <c r="G4" s="228" t="s">
        <v>964</v>
      </c>
    </row>
    <row r="5" spans="2:7">
      <c r="B5" s="227">
        <v>2007</v>
      </c>
      <c r="C5" s="226">
        <v>1000</v>
      </c>
      <c r="D5" s="226">
        <v>800</v>
      </c>
      <c r="E5" s="226">
        <f t="shared" ref="E5:E10" si="0">C5-D5</f>
        <v>200</v>
      </c>
      <c r="F5" s="222">
        <v>230</v>
      </c>
      <c r="G5" s="225">
        <v>0.30000000000000004</v>
      </c>
    </row>
    <row r="6" spans="2:7">
      <c r="B6" s="227">
        <v>2008</v>
      </c>
      <c r="C6" s="226">
        <v>1200</v>
      </c>
      <c r="D6" s="226">
        <v>950</v>
      </c>
      <c r="E6" s="226">
        <f t="shared" si="0"/>
        <v>250</v>
      </c>
      <c r="F6" s="222">
        <v>130</v>
      </c>
      <c r="G6" s="225">
        <v>0.25</v>
      </c>
    </row>
    <row r="7" spans="2:7">
      <c r="B7" s="227">
        <v>2009</v>
      </c>
      <c r="C7" s="226">
        <v>1600</v>
      </c>
      <c r="D7" s="226">
        <v>1480</v>
      </c>
      <c r="E7" s="226">
        <f t="shared" si="0"/>
        <v>120</v>
      </c>
      <c r="F7" s="222">
        <v>180</v>
      </c>
      <c r="G7" s="225">
        <v>0.4</v>
      </c>
    </row>
    <row r="8" spans="2:7">
      <c r="B8" s="227">
        <v>2010</v>
      </c>
      <c r="C8" s="226">
        <v>1400</v>
      </c>
      <c r="D8" s="226">
        <v>1200</v>
      </c>
      <c r="E8" s="226">
        <f t="shared" si="0"/>
        <v>200</v>
      </c>
      <c r="F8" s="222">
        <v>120</v>
      </c>
      <c r="G8" s="225">
        <v>0.4</v>
      </c>
    </row>
    <row r="9" spans="2:7">
      <c r="B9" s="227">
        <v>2011</v>
      </c>
      <c r="C9" s="226">
        <v>1800</v>
      </c>
      <c r="D9" s="226">
        <v>1400</v>
      </c>
      <c r="E9" s="226">
        <f t="shared" si="0"/>
        <v>400</v>
      </c>
      <c r="F9" s="222">
        <v>230</v>
      </c>
      <c r="G9" s="225">
        <v>0.30000000000000004</v>
      </c>
    </row>
    <row r="10" spans="2:7">
      <c r="B10" s="227">
        <v>2012</v>
      </c>
      <c r="C10" s="226">
        <v>2200</v>
      </c>
      <c r="D10" s="226">
        <v>1500</v>
      </c>
      <c r="E10" s="226">
        <f t="shared" si="0"/>
        <v>700</v>
      </c>
      <c r="F10" s="222">
        <v>150</v>
      </c>
      <c r="G10" s="225">
        <v>0.30000000000000004</v>
      </c>
    </row>
    <row r="13" spans="2:7">
      <c r="C13" t="s">
        <v>4050</v>
      </c>
    </row>
    <row r="14" spans="2:7">
      <c r="C14" t="s">
        <v>4051</v>
      </c>
    </row>
    <row r="15" spans="2:7" ht="39" customHeight="1">
      <c r="C15" s="562" t="s">
        <v>4052</v>
      </c>
    </row>
    <row r="16" spans="2:7" ht="21.6" customHeight="1">
      <c r="C16" t="s">
        <v>4053</v>
      </c>
      <c r="F16" s="562"/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05E8-5EF3-4FB2-A73F-240D94BC721E}">
  <sheetPr codeName="Sheet40">
    <tabColor rgb="FFFF0000"/>
  </sheetPr>
  <dimension ref="D4"/>
  <sheetViews>
    <sheetView topLeftCell="B1" zoomScale="134" workbookViewId="0">
      <selection activeCell="O1" sqref="O1"/>
    </sheetView>
  </sheetViews>
  <sheetFormatPr defaultRowHeight="15"/>
  <sheetData>
    <row r="4" spans="4:4">
      <c r="D4" s="577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21" r:id="rId3" name="Drop Down 1">
              <controlPr defaultSize="0" autoLine="0" autoPict="0">
                <anchor moveWithCells="1">
                  <from>
                    <xdr:col>5</xdr:col>
                    <xdr:colOff>28575</xdr:colOff>
                    <xdr:row>2</xdr:row>
                    <xdr:rowOff>171450</xdr:rowOff>
                  </from>
                  <to>
                    <xdr:col>8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1">
    <tabColor rgb="FFFF0000"/>
  </sheetPr>
  <dimension ref="B2:N34"/>
  <sheetViews>
    <sheetView topLeftCell="A17" zoomScale="108" zoomScaleNormal="145" workbookViewId="0">
      <selection activeCell="F27" sqref="F27"/>
    </sheetView>
  </sheetViews>
  <sheetFormatPr defaultRowHeight="15"/>
  <cols>
    <col min="7" max="7" width="7.5703125" customWidth="1"/>
  </cols>
  <sheetData>
    <row r="2" spans="2:14">
      <c r="B2" s="32" t="s">
        <v>965</v>
      </c>
      <c r="J2" s="492" t="s">
        <v>967</v>
      </c>
      <c r="K2" s="492" t="s">
        <v>968</v>
      </c>
      <c r="L2" s="492" t="s">
        <v>969</v>
      </c>
      <c r="M2" s="492" t="s">
        <v>970</v>
      </c>
      <c r="N2" s="492" t="s">
        <v>971</v>
      </c>
    </row>
    <row r="4" spans="2:14">
      <c r="B4" s="570" t="s">
        <v>381</v>
      </c>
      <c r="C4" s="570" t="s">
        <v>966</v>
      </c>
      <c r="D4" s="570" t="s">
        <v>967</v>
      </c>
      <c r="E4" s="570" t="s">
        <v>968</v>
      </c>
      <c r="F4" s="570" t="s">
        <v>969</v>
      </c>
      <c r="G4" s="570" t="s">
        <v>970</v>
      </c>
      <c r="H4" s="570" t="s">
        <v>971</v>
      </c>
      <c r="I4" s="570" t="s">
        <v>966</v>
      </c>
    </row>
    <row r="5" spans="2:14">
      <c r="B5" s="569">
        <v>1995</v>
      </c>
      <c r="C5" s="569">
        <f>SUM(D5:H5)</f>
        <v>1573</v>
      </c>
      <c r="D5" s="569">
        <v>181</v>
      </c>
      <c r="E5" s="569">
        <v>173</v>
      </c>
      <c r="F5" s="569">
        <v>357</v>
      </c>
      <c r="G5" s="569">
        <v>378</v>
      </c>
      <c r="H5" s="569">
        <v>484</v>
      </c>
      <c r="I5" s="569" t="e">
        <f>IF(B5=$B$21,C5,NA())</f>
        <v>#N/A</v>
      </c>
    </row>
    <row r="6" spans="2:14">
      <c r="B6" s="569">
        <v>1996</v>
      </c>
      <c r="C6" s="569">
        <f>SUM(D6:H6)</f>
        <v>1844</v>
      </c>
      <c r="D6" s="569">
        <v>255</v>
      </c>
      <c r="E6" s="569">
        <v>189</v>
      </c>
      <c r="F6" s="569">
        <v>452</v>
      </c>
      <c r="G6" s="569">
        <v>446</v>
      </c>
      <c r="H6" s="569">
        <v>502</v>
      </c>
      <c r="I6" s="569" t="e">
        <f>IF(B6=$B$21,C6,NA())</f>
        <v>#N/A</v>
      </c>
    </row>
    <row r="7" spans="2:14">
      <c r="B7" s="569">
        <v>1997</v>
      </c>
      <c r="C7" s="569">
        <f>SUM(D7:H7)</f>
        <v>2090</v>
      </c>
      <c r="D7" s="569">
        <v>331</v>
      </c>
      <c r="E7" s="569">
        <v>271</v>
      </c>
      <c r="F7" s="569">
        <v>471</v>
      </c>
      <c r="G7" s="569">
        <v>496</v>
      </c>
      <c r="H7" s="569">
        <v>521</v>
      </c>
      <c r="I7" s="569" t="e">
        <f>IF(B7=$B$21,C7,NA())</f>
        <v>#N/A</v>
      </c>
    </row>
    <row r="8" spans="2:14">
      <c r="B8" s="569">
        <v>1998</v>
      </c>
      <c r="C8" s="569">
        <f t="shared" ref="C8:C18" si="0">SUM(D8:H8)</f>
        <v>2371</v>
      </c>
      <c r="D8" s="569">
        <v>342</v>
      </c>
      <c r="E8" s="569">
        <v>343</v>
      </c>
      <c r="F8" s="569">
        <v>527</v>
      </c>
      <c r="G8" s="569">
        <v>562</v>
      </c>
      <c r="H8" s="569">
        <v>597</v>
      </c>
      <c r="I8" s="569" t="e">
        <f t="shared" ref="I8:I18" si="1">IF(B8=$B$21,C8,NA())</f>
        <v>#N/A</v>
      </c>
    </row>
    <row r="9" spans="2:14">
      <c r="B9" s="569">
        <v>1999</v>
      </c>
      <c r="C9" s="569">
        <f t="shared" si="0"/>
        <v>2589</v>
      </c>
      <c r="D9" s="569">
        <v>352</v>
      </c>
      <c r="E9" s="569">
        <v>377</v>
      </c>
      <c r="F9" s="569">
        <v>570</v>
      </c>
      <c r="G9" s="569">
        <v>648</v>
      </c>
      <c r="H9" s="569">
        <v>642</v>
      </c>
      <c r="I9" s="569" t="e">
        <f t="shared" si="1"/>
        <v>#N/A</v>
      </c>
    </row>
    <row r="10" spans="2:14">
      <c r="B10" s="569">
        <v>2000</v>
      </c>
      <c r="C10" s="569">
        <f t="shared" si="0"/>
        <v>2766</v>
      </c>
      <c r="D10" s="569">
        <v>400</v>
      </c>
      <c r="E10" s="569">
        <v>419</v>
      </c>
      <c r="F10" s="569">
        <v>575</v>
      </c>
      <c r="G10" s="569">
        <v>707</v>
      </c>
      <c r="H10" s="569">
        <v>665</v>
      </c>
      <c r="I10" s="569" t="e">
        <f t="shared" si="1"/>
        <v>#N/A</v>
      </c>
    </row>
    <row r="11" spans="2:14">
      <c r="B11" s="569">
        <v>2001</v>
      </c>
      <c r="C11" s="569">
        <f t="shared" si="0"/>
        <v>3015</v>
      </c>
      <c r="D11" s="569">
        <v>463</v>
      </c>
      <c r="E11" s="569">
        <v>479</v>
      </c>
      <c r="F11" s="569">
        <v>659</v>
      </c>
      <c r="G11" s="569">
        <v>748</v>
      </c>
      <c r="H11" s="569">
        <v>666</v>
      </c>
      <c r="I11" s="569" t="e">
        <f t="shared" si="1"/>
        <v>#N/A</v>
      </c>
    </row>
    <row r="12" spans="2:14">
      <c r="B12" s="569">
        <v>2002</v>
      </c>
      <c r="C12" s="569">
        <f t="shared" si="0"/>
        <v>3264</v>
      </c>
      <c r="D12" s="569">
        <v>484</v>
      </c>
      <c r="E12" s="569">
        <v>560</v>
      </c>
      <c r="F12" s="569">
        <v>732</v>
      </c>
      <c r="G12" s="569">
        <v>763</v>
      </c>
      <c r="H12" s="569">
        <v>725</v>
      </c>
      <c r="I12" s="569">
        <f t="shared" si="1"/>
        <v>3264</v>
      </c>
    </row>
    <row r="13" spans="2:14">
      <c r="B13" s="569">
        <v>2003</v>
      </c>
      <c r="C13" s="569">
        <f t="shared" si="0"/>
        <v>3490</v>
      </c>
      <c r="D13" s="569">
        <v>530</v>
      </c>
      <c r="E13" s="569">
        <v>592</v>
      </c>
      <c r="F13" s="569">
        <v>806</v>
      </c>
      <c r="G13" s="569">
        <v>774</v>
      </c>
      <c r="H13" s="569">
        <v>788</v>
      </c>
      <c r="I13" s="569" t="e">
        <f t="shared" si="1"/>
        <v>#N/A</v>
      </c>
    </row>
    <row r="14" spans="2:14">
      <c r="B14" s="569">
        <v>2004</v>
      </c>
      <c r="C14" s="569">
        <f t="shared" si="0"/>
        <v>3703</v>
      </c>
      <c r="D14" s="569">
        <v>574</v>
      </c>
      <c r="E14" s="569">
        <v>644</v>
      </c>
      <c r="F14" s="569">
        <v>845</v>
      </c>
      <c r="G14" s="569">
        <v>779</v>
      </c>
      <c r="H14" s="569">
        <v>861</v>
      </c>
      <c r="I14" s="569" t="e">
        <f t="shared" si="1"/>
        <v>#N/A</v>
      </c>
    </row>
    <row r="15" spans="2:14">
      <c r="B15" s="569">
        <v>2005</v>
      </c>
      <c r="C15" s="569">
        <f t="shared" si="0"/>
        <v>3849</v>
      </c>
      <c r="D15" s="569">
        <v>591</v>
      </c>
      <c r="E15" s="569">
        <v>737</v>
      </c>
      <c r="F15" s="569">
        <v>850</v>
      </c>
      <c r="G15" s="569">
        <v>790</v>
      </c>
      <c r="H15" s="569">
        <v>881</v>
      </c>
      <c r="I15" s="569" t="e">
        <f t="shared" si="1"/>
        <v>#N/A</v>
      </c>
    </row>
    <row r="16" spans="2:14">
      <c r="B16" s="569">
        <v>2006</v>
      </c>
      <c r="C16" s="569">
        <f t="shared" si="0"/>
        <v>3969</v>
      </c>
      <c r="D16" s="569">
        <v>605</v>
      </c>
      <c r="E16" s="569">
        <v>766</v>
      </c>
      <c r="F16" s="569">
        <v>903</v>
      </c>
      <c r="G16" s="569">
        <v>798</v>
      </c>
      <c r="H16" s="569">
        <v>897</v>
      </c>
      <c r="I16" s="569" t="e">
        <f t="shared" si="1"/>
        <v>#N/A</v>
      </c>
    </row>
    <row r="17" spans="2:11">
      <c r="B17" s="569">
        <v>2007</v>
      </c>
      <c r="C17" s="569">
        <f t="shared" si="0"/>
        <v>4225</v>
      </c>
      <c r="D17" s="569">
        <v>617</v>
      </c>
      <c r="E17" s="569">
        <v>846</v>
      </c>
      <c r="F17" s="569">
        <v>929</v>
      </c>
      <c r="G17" s="569">
        <v>865</v>
      </c>
      <c r="H17" s="569">
        <v>968</v>
      </c>
      <c r="I17" s="569" t="e">
        <f t="shared" si="1"/>
        <v>#N/A</v>
      </c>
    </row>
    <row r="18" spans="2:11">
      <c r="B18" s="569">
        <v>2008</v>
      </c>
      <c r="C18" s="569">
        <f t="shared" si="0"/>
        <v>4515</v>
      </c>
      <c r="D18" s="569">
        <v>712</v>
      </c>
      <c r="E18" s="569">
        <v>930</v>
      </c>
      <c r="F18" s="569">
        <v>935</v>
      </c>
      <c r="G18" s="569">
        <v>919</v>
      </c>
      <c r="H18" s="569">
        <v>1019</v>
      </c>
      <c r="I18" s="569" t="e">
        <f t="shared" si="1"/>
        <v>#N/A</v>
      </c>
    </row>
    <row r="20" spans="2:11">
      <c r="C20" s="557" t="s">
        <v>967</v>
      </c>
      <c r="D20" s="557" t="s">
        <v>968</v>
      </c>
      <c r="E20" s="557" t="s">
        <v>969</v>
      </c>
      <c r="F20" s="557" t="s">
        <v>970</v>
      </c>
      <c r="G20" s="557" t="s">
        <v>971</v>
      </c>
    </row>
    <row r="21" spans="2:11">
      <c r="B21" s="601">
        <v>2002</v>
      </c>
      <c r="C21">
        <f>VLOOKUP($B$21,$B$4:$H$18,MATCH(C$20,$B$4:$H$4,0),FALSE)</f>
        <v>484</v>
      </c>
      <c r="D21">
        <f>VLOOKUP($B$21,$B$4:$H$18,MATCH(D$20,$B$4:$H$4,0),FALSE)</f>
        <v>560</v>
      </c>
      <c r="E21">
        <f>VLOOKUP($B$21,$B$4:$H$18,MATCH(E$20,$B$4:$H$4,0),FALSE)</f>
        <v>732</v>
      </c>
      <c r="F21">
        <f>VLOOKUP($B$21,$B$4:$H$18,MATCH(F$20,$B$4:$H$4,0),FALSE)</f>
        <v>763</v>
      </c>
      <c r="G21">
        <f>VLOOKUP($B$21,$B$4:$H$18,MATCH(G$20,$B$4:$H$4,0),FALSE)</f>
        <v>725</v>
      </c>
      <c r="H21" t="s">
        <v>4034</v>
      </c>
    </row>
    <row r="22" spans="2:11">
      <c r="C22">
        <f t="shared" ref="C22:G23" si="2">INDEX($B$4:$H$18,MATCH($B$21,$B$4:$B$18,0),MATCH(C$20,$B$4:$H$4,0))</f>
        <v>484</v>
      </c>
      <c r="D22">
        <f t="shared" si="2"/>
        <v>560</v>
      </c>
      <c r="E22">
        <f t="shared" si="2"/>
        <v>732</v>
      </c>
      <c r="F22">
        <f t="shared" si="2"/>
        <v>763</v>
      </c>
      <c r="G22">
        <f t="shared" si="2"/>
        <v>725</v>
      </c>
      <c r="H22" t="s">
        <v>4054</v>
      </c>
    </row>
    <row r="23" spans="2:11">
      <c r="C23">
        <f t="shared" si="2"/>
        <v>484</v>
      </c>
      <c r="D23">
        <f t="shared" si="2"/>
        <v>560</v>
      </c>
      <c r="E23">
        <f t="shared" si="2"/>
        <v>732</v>
      </c>
      <c r="F23">
        <f t="shared" si="2"/>
        <v>763</v>
      </c>
      <c r="G23">
        <f t="shared" si="2"/>
        <v>725</v>
      </c>
      <c r="H23" t="s">
        <v>4055</v>
      </c>
      <c r="K23" t="s">
        <v>3936</v>
      </c>
    </row>
    <row r="24" spans="2:11">
      <c r="H24" t="s">
        <v>4040</v>
      </c>
    </row>
    <row r="26" spans="2:11">
      <c r="C26" s="560" t="s">
        <v>967</v>
      </c>
      <c r="D26" s="560" t="s">
        <v>968</v>
      </c>
      <c r="E26" s="560" t="s">
        <v>969</v>
      </c>
      <c r="F26" s="560" t="s">
        <v>970</v>
      </c>
      <c r="G26" s="560" t="s">
        <v>971</v>
      </c>
    </row>
    <row r="27" spans="2:11">
      <c r="B27" s="602">
        <v>1995</v>
      </c>
      <c r="C27">
        <f>VLOOKUP($B$27,$B$4:$H$18,MATCH(C$26,$B$4:$H$4,0),FALSE)</f>
        <v>181</v>
      </c>
      <c r="D27">
        <f>VLOOKUP($B$27,$B$4:$H$18,MATCH(D$26,$B$4:$H$4,0),FALSE)</f>
        <v>173</v>
      </c>
      <c r="E27">
        <f>VLOOKUP($B$27,$B$4:$H$18,MATCH(E$26,$B$4:$H$4,0),FALSE)</f>
        <v>357</v>
      </c>
      <c r="F27">
        <f>VLOOKUP($B$27,$B$4:$H$18,MATCH(F$26,$B$4:$H$4,0),FALSE)</f>
        <v>378</v>
      </c>
      <c r="G27">
        <f>VLOOKUP($B$27,$B$4:$H$18,MATCH(G$26,$B$4:$H$4,0))</f>
        <v>484</v>
      </c>
      <c r="H27" t="s">
        <v>4036</v>
      </c>
    </row>
    <row r="28" spans="2:11">
      <c r="C28">
        <f>INDEX($B$4:$H$18,MATCH($B$27,$B$4:$B$18,0),MATCH(C$26,$B$4:$H$4,0))</f>
        <v>181</v>
      </c>
      <c r="D28">
        <f>INDEX($B$4:$H$18,MATCH($B$27,$B$4:$B$18,0),MATCH(D$26,$B$4:$H$4,0))</f>
        <v>173</v>
      </c>
      <c r="E28">
        <f>INDEX($B$4:$H$18,MATCH($B$27,$B$4:$B$18,0),MATCH(E$26,$B$4:$H$4,0))</f>
        <v>357</v>
      </c>
      <c r="F28">
        <f>INDEX($B$4:$H$18,MATCH($B$27,$B$4:$B$18,0),MATCH(F$26,$B$4:$H$4,0))</f>
        <v>378</v>
      </c>
      <c r="G28">
        <f>INDEX($B$4:$H$18,MATCH($B$27,$B$4:$B$18,0),MATCH(G$26,$B$4:$H$4,0))</f>
        <v>484</v>
      </c>
      <c r="H28" t="s">
        <v>4037</v>
      </c>
    </row>
    <row r="29" spans="2:11">
      <c r="C29">
        <f>INDEX($B$4:$H$18,MATCH($B$27,$B$4:$B$18,0),MATCH(C$26,$B$4:$H$4,0))</f>
        <v>181</v>
      </c>
      <c r="D29">
        <f>INDEX($B$4:$H$18,MATCH($B$27,$B$4:$B$18,0),MATCH(D$26,$B$4:$H$4,0))</f>
        <v>173</v>
      </c>
      <c r="E29">
        <f>INDEX($B$4:$H$18,MATCH($B$27,$B$4:$B$18,0),MATCH(E$26,$B$4:$H$4))</f>
        <v>357</v>
      </c>
      <c r="F29">
        <f>INDEX($B$4:$H$18,MATCH($B$27,$B$4:$B$18,0),MATCH(F$26,$B$4:$H$4,0))</f>
        <v>378</v>
      </c>
      <c r="G29">
        <f>INDEX($B$4:$H$18,MATCH($B$27,$B$4:$B$18,0),MATCH(G$26,$B$4:$H$4))</f>
        <v>484</v>
      </c>
      <c r="H29" t="s">
        <v>4037</v>
      </c>
    </row>
    <row r="31" spans="2:11">
      <c r="B31" s="604">
        <v>1999</v>
      </c>
      <c r="C31" s="603" t="s">
        <v>967</v>
      </c>
      <c r="D31" s="560" t="s">
        <v>968</v>
      </c>
      <c r="E31" s="560" t="s">
        <v>969</v>
      </c>
      <c r="F31" s="560" t="s">
        <v>970</v>
      </c>
      <c r="J31" s="562"/>
    </row>
    <row r="32" spans="2:11">
      <c r="C32">
        <f>VLOOKUP($B$31,$B$4:$H$18,MATCH(C$31,$B$4:$H$4,0),FALSE)</f>
        <v>352</v>
      </c>
      <c r="D32">
        <f>VLOOKUP($B$31,$B$4:$H$18,MATCH(D$31,$B$4:$H$4,0),FALSE)</f>
        <v>377</v>
      </c>
      <c r="E32">
        <f>VLOOKUP($B$31,$B$4:$H$18,MATCH(E$31,$B$4:$H$4,0),FALSE)</f>
        <v>570</v>
      </c>
      <c r="F32">
        <f>VLOOKUP($B$31,$B$4:$H$18,MATCH(F$31,$B$4:$H$4,0),FALSE)</f>
        <v>648</v>
      </c>
      <c r="H32" t="s">
        <v>4038</v>
      </c>
    </row>
    <row r="33" spans="3:8">
      <c r="C33">
        <f t="shared" ref="C33:F34" si="3">INDEX($B$4:$H$18,MATCH($B$31,$B$4:$B$18,0),MATCH(C$31,$B$4:$H$4,0))</f>
        <v>352</v>
      </c>
      <c r="D33">
        <f t="shared" si="3"/>
        <v>377</v>
      </c>
      <c r="E33">
        <f t="shared" si="3"/>
        <v>570</v>
      </c>
      <c r="F33">
        <f t="shared" si="3"/>
        <v>648</v>
      </c>
      <c r="H33" t="s">
        <v>3962</v>
      </c>
    </row>
    <row r="34" spans="3:8">
      <c r="C34">
        <f t="shared" si="3"/>
        <v>352</v>
      </c>
      <c r="D34">
        <f t="shared" si="3"/>
        <v>377</v>
      </c>
      <c r="E34">
        <f t="shared" si="3"/>
        <v>570</v>
      </c>
      <c r="F34">
        <f t="shared" si="3"/>
        <v>648</v>
      </c>
      <c r="H34" t="s">
        <v>4041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62" r:id="rId4" name="Scroll Bar 2">
              <controlPr defaultSize="0" autoPict="0">
                <anchor moveWithCells="1">
                  <from>
                    <xdr:col>8</xdr:col>
                    <xdr:colOff>600075</xdr:colOff>
                    <xdr:row>20</xdr:row>
                    <xdr:rowOff>0</xdr:rowOff>
                  </from>
                  <to>
                    <xdr:col>12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63" r:id="rId5" name="Scroll Bar 3">
              <controlPr defaultSize="0" autoPict="0">
                <anchor moveWithCells="1">
                  <from>
                    <xdr:col>9</xdr:col>
                    <xdr:colOff>19050</xdr:colOff>
                    <xdr:row>25</xdr:row>
                    <xdr:rowOff>161925</xdr:rowOff>
                  </from>
                  <to>
                    <xdr:col>12</xdr:col>
                    <xdr:colOff>9525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64" r:id="rId6" name="Scroll Bar 4">
              <controlPr defaultSize="0" autoPict="0">
                <anchor moveWithCells="1">
                  <from>
                    <xdr:col>9</xdr:col>
                    <xdr:colOff>9525</xdr:colOff>
                    <xdr:row>30</xdr:row>
                    <xdr:rowOff>19050</xdr:rowOff>
                  </from>
                  <to>
                    <xdr:col>12</xdr:col>
                    <xdr:colOff>19050</xdr:colOff>
                    <xdr:row>31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8120-EF9B-47AD-AE0B-EF768EFD3EB0}">
  <sheetPr codeName="Sheet45">
    <tabColor rgb="FFFF0000"/>
  </sheetPr>
  <dimension ref="B2:N34"/>
  <sheetViews>
    <sheetView topLeftCell="M16" zoomScale="133" workbookViewId="0">
      <selection activeCell="G27" sqref="G27"/>
    </sheetView>
  </sheetViews>
  <sheetFormatPr defaultRowHeight="15"/>
  <cols>
    <col min="7" max="7" width="7.5703125" customWidth="1"/>
  </cols>
  <sheetData>
    <row r="2" spans="2:14">
      <c r="B2" s="32" t="s">
        <v>965</v>
      </c>
      <c r="J2" s="492" t="s">
        <v>967</v>
      </c>
      <c r="K2" s="492" t="s">
        <v>968</v>
      </c>
      <c r="L2" s="492" t="s">
        <v>969</v>
      </c>
      <c r="M2" s="492" t="s">
        <v>970</v>
      </c>
      <c r="N2" s="492" t="s">
        <v>971</v>
      </c>
    </row>
    <row r="4" spans="2:14">
      <c r="B4" s="491" t="s">
        <v>381</v>
      </c>
      <c r="C4" s="492" t="s">
        <v>966</v>
      </c>
      <c r="D4" s="492" t="s">
        <v>967</v>
      </c>
      <c r="E4" s="492" t="s">
        <v>968</v>
      </c>
      <c r="F4" s="492" t="s">
        <v>969</v>
      </c>
      <c r="G4" s="492" t="s">
        <v>970</v>
      </c>
      <c r="H4" s="492" t="s">
        <v>971</v>
      </c>
      <c r="I4" s="492" t="s">
        <v>966</v>
      </c>
    </row>
    <row r="5" spans="2:14">
      <c r="B5" s="493">
        <v>1995</v>
      </c>
      <c r="C5" s="494">
        <f>SUM(D5:H5)</f>
        <v>1573</v>
      </c>
      <c r="D5" s="494">
        <v>181</v>
      </c>
      <c r="E5" s="494">
        <v>173</v>
      </c>
      <c r="F5" s="494">
        <v>357</v>
      </c>
      <c r="G5" s="494">
        <v>378</v>
      </c>
      <c r="H5" s="494">
        <v>484</v>
      </c>
      <c r="I5" s="494" t="e">
        <f>IF(B5=$B$21,C5,NA())</f>
        <v>#N/A</v>
      </c>
    </row>
    <row r="6" spans="2:14">
      <c r="B6" s="493">
        <v>1996</v>
      </c>
      <c r="C6" s="494">
        <f t="shared" ref="C6:C18" si="0">SUM(D6:H6)</f>
        <v>1844</v>
      </c>
      <c r="D6" s="494">
        <v>255</v>
      </c>
      <c r="E6" s="494">
        <v>189</v>
      </c>
      <c r="F6" s="494">
        <v>452</v>
      </c>
      <c r="G6" s="494">
        <v>446</v>
      </c>
      <c r="H6" s="494">
        <v>502</v>
      </c>
      <c r="I6" s="494" t="e">
        <f>IF(B6=$B$21,C6,NA())</f>
        <v>#N/A</v>
      </c>
    </row>
    <row r="7" spans="2:14">
      <c r="B7" s="493">
        <v>1997</v>
      </c>
      <c r="C7" s="494">
        <f t="shared" si="0"/>
        <v>2090</v>
      </c>
      <c r="D7" s="494">
        <v>331</v>
      </c>
      <c r="E7" s="494">
        <v>271</v>
      </c>
      <c r="F7" s="494">
        <v>471</v>
      </c>
      <c r="G7" s="494">
        <v>496</v>
      </c>
      <c r="H7" s="494">
        <v>521</v>
      </c>
      <c r="I7" s="494" t="e">
        <f>IF(B7=$B$21,C7,NA())</f>
        <v>#N/A</v>
      </c>
    </row>
    <row r="8" spans="2:14">
      <c r="B8" s="493">
        <v>1998</v>
      </c>
      <c r="C8" s="494">
        <f t="shared" si="0"/>
        <v>2371</v>
      </c>
      <c r="D8" s="494">
        <v>342</v>
      </c>
      <c r="E8" s="494">
        <v>343</v>
      </c>
      <c r="F8" s="494">
        <v>527</v>
      </c>
      <c r="G8" s="494">
        <v>562</v>
      </c>
      <c r="H8" s="494">
        <v>597</v>
      </c>
      <c r="I8" s="494" t="e">
        <f>IF(B8=$B$21,C8,NA())</f>
        <v>#N/A</v>
      </c>
    </row>
    <row r="9" spans="2:14">
      <c r="B9" s="493">
        <v>1999</v>
      </c>
      <c r="C9" s="494">
        <f t="shared" si="0"/>
        <v>2589</v>
      </c>
      <c r="D9" s="494">
        <v>352</v>
      </c>
      <c r="E9" s="494">
        <v>377</v>
      </c>
      <c r="F9" s="494">
        <v>570</v>
      </c>
      <c r="G9" s="494">
        <v>648</v>
      </c>
      <c r="H9" s="494">
        <v>642</v>
      </c>
      <c r="I9" s="494" t="e">
        <f t="shared" ref="I9:I18" si="1">IF(B9=$B$21,C9,NA())</f>
        <v>#N/A</v>
      </c>
    </row>
    <row r="10" spans="2:14">
      <c r="B10" s="493">
        <v>2000</v>
      </c>
      <c r="C10" s="494">
        <f t="shared" si="0"/>
        <v>2766</v>
      </c>
      <c r="D10" s="494">
        <v>400</v>
      </c>
      <c r="E10" s="494">
        <v>419</v>
      </c>
      <c r="F10" s="494">
        <v>575</v>
      </c>
      <c r="G10" s="494">
        <v>707</v>
      </c>
      <c r="H10" s="494">
        <v>665</v>
      </c>
      <c r="I10" s="494" t="e">
        <f t="shared" si="1"/>
        <v>#N/A</v>
      </c>
    </row>
    <row r="11" spans="2:14">
      <c r="B11" s="493">
        <v>2001</v>
      </c>
      <c r="C11" s="494">
        <f t="shared" si="0"/>
        <v>3015</v>
      </c>
      <c r="D11" s="494">
        <v>463</v>
      </c>
      <c r="E11" s="494">
        <v>479</v>
      </c>
      <c r="F11" s="494">
        <v>659</v>
      </c>
      <c r="G11" s="494">
        <v>748</v>
      </c>
      <c r="H11" s="494">
        <v>666</v>
      </c>
      <c r="I11" s="494" t="e">
        <f t="shared" si="1"/>
        <v>#N/A</v>
      </c>
    </row>
    <row r="12" spans="2:14">
      <c r="B12" s="493">
        <v>2002</v>
      </c>
      <c r="C12" s="494">
        <f t="shared" si="0"/>
        <v>3264</v>
      </c>
      <c r="D12" s="494">
        <v>484</v>
      </c>
      <c r="E12" s="494">
        <v>560</v>
      </c>
      <c r="F12" s="494">
        <v>732</v>
      </c>
      <c r="G12" s="494">
        <v>763</v>
      </c>
      <c r="H12" s="494">
        <v>725</v>
      </c>
      <c r="I12" s="494" t="e">
        <f t="shared" si="1"/>
        <v>#N/A</v>
      </c>
    </row>
    <row r="13" spans="2:14">
      <c r="B13" s="493">
        <v>2003</v>
      </c>
      <c r="C13" s="494">
        <f t="shared" si="0"/>
        <v>3490</v>
      </c>
      <c r="D13" s="494">
        <v>530</v>
      </c>
      <c r="E13" s="494">
        <v>592</v>
      </c>
      <c r="F13" s="494">
        <v>806</v>
      </c>
      <c r="G13" s="494">
        <v>774</v>
      </c>
      <c r="H13" s="494">
        <v>788</v>
      </c>
      <c r="I13" s="494" t="e">
        <f t="shared" si="1"/>
        <v>#N/A</v>
      </c>
    </row>
    <row r="14" spans="2:14">
      <c r="B14" s="493">
        <v>2004</v>
      </c>
      <c r="C14" s="494">
        <f t="shared" si="0"/>
        <v>3703</v>
      </c>
      <c r="D14" s="494">
        <v>574</v>
      </c>
      <c r="E14" s="494">
        <v>644</v>
      </c>
      <c r="F14" s="494">
        <v>845</v>
      </c>
      <c r="G14" s="494">
        <v>779</v>
      </c>
      <c r="H14" s="494">
        <v>861</v>
      </c>
      <c r="I14" s="494" t="e">
        <f t="shared" si="1"/>
        <v>#N/A</v>
      </c>
    </row>
    <row r="15" spans="2:14">
      <c r="B15" s="493">
        <v>2005</v>
      </c>
      <c r="C15" s="494">
        <f t="shared" si="0"/>
        <v>3849</v>
      </c>
      <c r="D15" s="494">
        <v>591</v>
      </c>
      <c r="E15" s="494">
        <v>737</v>
      </c>
      <c r="F15" s="494">
        <v>850</v>
      </c>
      <c r="G15" s="494">
        <v>790</v>
      </c>
      <c r="H15" s="494">
        <v>881</v>
      </c>
      <c r="I15" s="494" t="e">
        <f t="shared" si="1"/>
        <v>#N/A</v>
      </c>
    </row>
    <row r="16" spans="2:14">
      <c r="B16" s="493">
        <v>2006</v>
      </c>
      <c r="C16" s="494">
        <f t="shared" si="0"/>
        <v>3969</v>
      </c>
      <c r="D16" s="494">
        <v>605</v>
      </c>
      <c r="E16" s="494">
        <v>766</v>
      </c>
      <c r="F16" s="494">
        <v>903</v>
      </c>
      <c r="G16" s="494">
        <v>798</v>
      </c>
      <c r="H16" s="494">
        <v>897</v>
      </c>
      <c r="I16" s="494" t="e">
        <f t="shared" si="1"/>
        <v>#N/A</v>
      </c>
    </row>
    <row r="17" spans="2:11">
      <c r="B17" s="493">
        <v>2007</v>
      </c>
      <c r="C17" s="494">
        <f t="shared" si="0"/>
        <v>4225</v>
      </c>
      <c r="D17" s="494">
        <v>617</v>
      </c>
      <c r="E17" s="494">
        <v>846</v>
      </c>
      <c r="F17" s="494">
        <v>929</v>
      </c>
      <c r="G17" s="494">
        <v>865</v>
      </c>
      <c r="H17" s="494">
        <v>968</v>
      </c>
      <c r="I17" s="494" t="e">
        <f t="shared" si="1"/>
        <v>#N/A</v>
      </c>
    </row>
    <row r="18" spans="2:11">
      <c r="B18" s="495">
        <v>2008</v>
      </c>
      <c r="C18" s="496">
        <f t="shared" si="0"/>
        <v>4515</v>
      </c>
      <c r="D18" s="496">
        <v>712</v>
      </c>
      <c r="E18" s="496">
        <v>930</v>
      </c>
      <c r="F18" s="496">
        <v>935</v>
      </c>
      <c r="G18" s="496">
        <v>919</v>
      </c>
      <c r="H18" s="496">
        <v>1019</v>
      </c>
      <c r="I18" s="494">
        <f t="shared" si="1"/>
        <v>4515</v>
      </c>
    </row>
    <row r="20" spans="2:11">
      <c r="C20" s="557" t="s">
        <v>967</v>
      </c>
      <c r="D20" s="557" t="s">
        <v>968</v>
      </c>
      <c r="E20" s="557" t="s">
        <v>969</v>
      </c>
      <c r="F20" s="557" t="s">
        <v>970</v>
      </c>
      <c r="G20" s="557" t="s">
        <v>971</v>
      </c>
    </row>
    <row r="21" spans="2:11">
      <c r="B21" s="418">
        <v>2008</v>
      </c>
      <c r="C21">
        <f>VLOOKUP($B$21,$B$4:$H$18,MATCH(C$20,$B$4:$H$4,0),FALSE)</f>
        <v>712</v>
      </c>
      <c r="D21">
        <f t="shared" ref="D21" si="2">VLOOKUP($B$21,$B$4:$H$18,MATCH(D$20,$B$4:$H$4,0),FALSE)</f>
        <v>930</v>
      </c>
      <c r="E21">
        <f>VLOOKUP($B$21,$B$4:$H$18,MATCH(E$20,$B$4:$H$4,0),FALSE)</f>
        <v>935</v>
      </c>
      <c r="F21">
        <f>VLOOKUP($B$21,$B$4:$H$18,MATCH(F$20,$B$4:$H$4,0),FALSE)</f>
        <v>919</v>
      </c>
      <c r="G21">
        <f>VLOOKUP($B$21,$B$4:$H$18,MATCH(G$20,$B$4:$H$4,0),FALSE)</f>
        <v>1019</v>
      </c>
      <c r="H21" t="s">
        <v>4034</v>
      </c>
    </row>
    <row r="22" spans="2:11">
      <c r="C22">
        <f t="shared" ref="C22:F23" si="3">INDEX($B$4:$H$18,MATCH($B$21,$B$4:$B$18,0),MATCH(C$20,$B$4:$H$4,0))</f>
        <v>712</v>
      </c>
      <c r="D22">
        <f t="shared" si="3"/>
        <v>930</v>
      </c>
      <c r="E22">
        <f t="shared" si="3"/>
        <v>935</v>
      </c>
      <c r="F22">
        <f t="shared" si="3"/>
        <v>919</v>
      </c>
      <c r="G22">
        <f>IND3</f>
        <v>0</v>
      </c>
      <c r="H22" t="s">
        <v>4035</v>
      </c>
    </row>
    <row r="23" spans="2:11">
      <c r="C23">
        <f t="shared" si="3"/>
        <v>712</v>
      </c>
      <c r="D23">
        <f t="shared" si="3"/>
        <v>930</v>
      </c>
      <c r="E23">
        <f t="shared" si="3"/>
        <v>935</v>
      </c>
      <c r="F23">
        <f t="shared" si="3"/>
        <v>919</v>
      </c>
      <c r="G23">
        <f>INDEX($B$4:$H$18,MATCH($B$21,$B$4:$B$18,0),MATCH(G$20,$B$4:$H$4,0))</f>
        <v>1019</v>
      </c>
      <c r="H23" t="s">
        <v>4039</v>
      </c>
      <c r="K23" t="s">
        <v>3936</v>
      </c>
    </row>
    <row r="24" spans="2:11">
      <c r="C24">
        <f>INDEX($B$4:$I$18,MATCH($B$21,$B$4:$B$18,0),MATCH(C$20,$B$4:$I$4,0))</f>
        <v>712</v>
      </c>
      <c r="D24">
        <f>INDEX($B$4:$I$18,MATCH($B$21,$B$4:$B$18,0),MATCH(D$20,$B$4:$I$4,0))</f>
        <v>930</v>
      </c>
      <c r="E24">
        <f>INDEX($B$4:$I$18,MATCH($B$21,$B$4:$B$18,0),MATCH(E$20,$B$4:$I$4,0))</f>
        <v>935</v>
      </c>
      <c r="H24" t="s">
        <v>4040</v>
      </c>
    </row>
    <row r="26" spans="2:11">
      <c r="C26" s="560" t="s">
        <v>967</v>
      </c>
      <c r="D26" s="560" t="s">
        <v>968</v>
      </c>
      <c r="E26" s="560" t="s">
        <v>969</v>
      </c>
      <c r="F26" s="560" t="s">
        <v>970</v>
      </c>
      <c r="G26" s="560" t="s">
        <v>971</v>
      </c>
    </row>
    <row r="27" spans="2:11">
      <c r="B27" s="561">
        <v>2006</v>
      </c>
      <c r="C27">
        <f>VLOOKUP($B$27,$B$4:$H$18,MATCH(C$26,$B$4:$H$4,0),FALSE)</f>
        <v>605</v>
      </c>
      <c r="D27">
        <f>VLOOKUP($B$27,$B$4:$H$18,MATCH(D$26,$B$4:$H$4,0),FALSE)</f>
        <v>766</v>
      </c>
      <c r="E27">
        <f>VLOOKUP($B$27,$B$4:$I$18,MATCH(E$26,$B$4:$I$4,0),FALSE)</f>
        <v>903</v>
      </c>
      <c r="F27">
        <f>VLOOKUP($B$27,$B$4:$I$18,MATCH(F$26,$B$4:$I$4,0),FALSE)</f>
        <v>798</v>
      </c>
      <c r="G27">
        <f t="shared" ref="G27" si="4">VLOOKUP($B$27,$B$4:$I$18,MATCH(G$26,$B$4:$I$4,0),FALSE)</f>
        <v>897</v>
      </c>
      <c r="H27" t="s">
        <v>4036</v>
      </c>
    </row>
    <row r="28" spans="2:11">
      <c r="C28">
        <f>INDEX($B$4:$H$18,MATCH($B$27,$B$4:$B$18,0),MATCH(C$26,$B$4:$H$4,0))</f>
        <v>605</v>
      </c>
      <c r="D28">
        <f>INDEX($B$4:$H$18,MATCH($B$27,$B$4:$B$18,0),MATCH(D$26,$B$4:$H$4,0))</f>
        <v>766</v>
      </c>
      <c r="E28">
        <f>INDEX($B$4:$H$18,MATCH($B$27,$B$4:$B$18,0),MATCH(E$26,$B$4:$H$4,0))</f>
        <v>903</v>
      </c>
      <c r="F28">
        <f>INDEX($B$4:$H$18,MATCH($B$27,$B$4:$B$18,0),MATCH(F$26,$B$4:$H$4,0))</f>
        <v>798</v>
      </c>
      <c r="G28">
        <f>INDEX($B$4:$H$18,MATCH($B$27,$B$4:$B$18,0),MATCH(G$26,$B$4:$H$4,0))</f>
        <v>897</v>
      </c>
      <c r="H28" t="s">
        <v>4037</v>
      </c>
    </row>
    <row r="29" spans="2:11">
      <c r="C29">
        <f>INDEX($B$4:$H$18,MATCH($B$27,$B$4:$B$18,0),MATCH(C$26,$B$4:$H$4,0))</f>
        <v>605</v>
      </c>
      <c r="D29">
        <f>INDEX($B$4:$H$18,MATCH($B$27,$B$4:$B$18,0),MATCH(D$26,$B$4:$H$4,0))</f>
        <v>766</v>
      </c>
      <c r="E29">
        <f>INDEX($B$4:$H$18,MATCH($B$27,$B$4:$B$18,0),MATCH(E$26,$B$4:$H$4))</f>
        <v>903</v>
      </c>
      <c r="F29">
        <f>INDEX($B$4:$H$18,MATCH($B$27,$B$4:$B$18,0),MATCH(F$26,$B$4:$H$4,0))</f>
        <v>798</v>
      </c>
      <c r="G29">
        <f>INDEX($B$4:$H$18,MATCH($B$27,$B$4:$B$18,0),MATCH(G$26,$B$4:$H$4))</f>
        <v>897</v>
      </c>
      <c r="H29" t="s">
        <v>4037</v>
      </c>
    </row>
    <row r="31" spans="2:11">
      <c r="B31" s="563">
        <v>1995</v>
      </c>
      <c r="C31" s="560" t="s">
        <v>967</v>
      </c>
      <c r="D31" s="560" t="s">
        <v>968</v>
      </c>
      <c r="E31" s="560" t="s">
        <v>969</v>
      </c>
      <c r="F31" s="560" t="s">
        <v>970</v>
      </c>
      <c r="J31" s="562"/>
    </row>
    <row r="32" spans="2:11">
      <c r="C32">
        <f>VLOOKUP($B$31,$B$4:$H$18,MATCH(C$31,$B$4:$H$4,0),FALSE)</f>
        <v>181</v>
      </c>
      <c r="D32">
        <f>VLOOKUP($B$31,$B$4:$H$18,MATCH(D$31,$B$4:$H$4,0),FALSE)</f>
        <v>173</v>
      </c>
      <c r="E32">
        <f>VLOOKUP($B$31,$B$4:$H$18,MATCH(E$31,$B$4:$H$4,0),FALSE)</f>
        <v>357</v>
      </c>
      <c r="F32">
        <f>VLOOKUP($B$31,$B$4:$H$18,MATCH(F$31,$B$4:$H$4,0),FALSE)</f>
        <v>378</v>
      </c>
      <c r="H32" t="s">
        <v>4038</v>
      </c>
    </row>
    <row r="33" spans="3:8">
      <c r="C33">
        <f t="shared" ref="C33:F34" si="5">INDEX($B$4:$H$18,MATCH($B$31,$B$4:$B$18,0),MATCH(C$31,$B$4:$H$4,0))</f>
        <v>181</v>
      </c>
      <c r="D33">
        <f t="shared" si="5"/>
        <v>173</v>
      </c>
      <c r="E33">
        <f t="shared" si="5"/>
        <v>357</v>
      </c>
      <c r="F33">
        <f t="shared" si="5"/>
        <v>378</v>
      </c>
      <c r="H33" t="s">
        <v>3962</v>
      </c>
    </row>
    <row r="34" spans="3:8">
      <c r="C34">
        <f t="shared" si="5"/>
        <v>181</v>
      </c>
      <c r="D34">
        <f t="shared" si="5"/>
        <v>173</v>
      </c>
      <c r="E34">
        <f t="shared" si="5"/>
        <v>357</v>
      </c>
      <c r="F34">
        <f t="shared" si="5"/>
        <v>378</v>
      </c>
      <c r="H34" t="s">
        <v>4041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81" r:id="rId3" name="Scroll Bar 1">
              <controlPr defaultSize="0" autoPict="0">
                <anchor moveWithCells="1">
                  <from>
                    <xdr:col>8</xdr:col>
                    <xdr:colOff>600075</xdr:colOff>
                    <xdr:row>20</xdr:row>
                    <xdr:rowOff>0</xdr:rowOff>
                  </from>
                  <to>
                    <xdr:col>12</xdr:col>
                    <xdr:colOff>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82" r:id="rId4" name="Scroll Bar 2">
              <controlPr defaultSize="0" autoPict="0">
                <anchor moveWithCells="1">
                  <from>
                    <xdr:col>9</xdr:col>
                    <xdr:colOff>0</xdr:colOff>
                    <xdr:row>25</xdr:row>
                    <xdr:rowOff>142875</xdr:rowOff>
                  </from>
                  <to>
                    <xdr:col>11</xdr:col>
                    <xdr:colOff>609600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83" r:id="rId5" name="Scroll Bar 3">
              <controlPr defaultSize="0" autoPict="0">
                <anchor moveWithCells="1">
                  <from>
                    <xdr:col>9</xdr:col>
                    <xdr:colOff>9525</xdr:colOff>
                    <xdr:row>30</xdr:row>
                    <xdr:rowOff>19050</xdr:rowOff>
                  </from>
                  <to>
                    <xdr:col>12</xdr:col>
                    <xdr:colOff>19050</xdr:colOff>
                    <xdr:row>31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B338-51F7-4111-A52F-B8CBC325FFA9}">
  <sheetPr codeName="Sheet46">
    <tabColor rgb="FFFF0000"/>
  </sheetPr>
  <dimension ref="B2:N42"/>
  <sheetViews>
    <sheetView zoomScale="86" zoomScaleNormal="100" workbookViewId="0">
      <selection activeCell="C21" sqref="C21"/>
    </sheetView>
  </sheetViews>
  <sheetFormatPr defaultRowHeight="15"/>
  <cols>
    <col min="7" max="7" width="7.5703125" customWidth="1"/>
  </cols>
  <sheetData>
    <row r="2" spans="2:14">
      <c r="B2" s="32" t="s">
        <v>965</v>
      </c>
      <c r="J2" s="492" t="s">
        <v>967</v>
      </c>
      <c r="K2" s="492" t="s">
        <v>968</v>
      </c>
      <c r="L2" s="492" t="s">
        <v>969</v>
      </c>
      <c r="M2" s="492" t="s">
        <v>970</v>
      </c>
      <c r="N2" s="492" t="s">
        <v>971</v>
      </c>
    </row>
    <row r="4" spans="2:14">
      <c r="B4" s="570" t="s">
        <v>381</v>
      </c>
      <c r="C4" s="570" t="s">
        <v>966</v>
      </c>
      <c r="D4" s="570" t="s">
        <v>967</v>
      </c>
      <c r="E4" s="570" t="s">
        <v>968</v>
      </c>
      <c r="F4" s="570" t="s">
        <v>969</v>
      </c>
      <c r="G4" s="570" t="s">
        <v>970</v>
      </c>
      <c r="H4" s="570" t="s">
        <v>971</v>
      </c>
      <c r="I4" s="570" t="s">
        <v>966</v>
      </c>
      <c r="J4" s="570" t="s">
        <v>966</v>
      </c>
    </row>
    <row r="5" spans="2:14">
      <c r="B5" s="569">
        <v>1995</v>
      </c>
      <c r="C5" s="569">
        <f>SUM(D5:H5)</f>
        <v>1573</v>
      </c>
      <c r="D5" s="569">
        <v>181</v>
      </c>
      <c r="E5" s="569">
        <v>173</v>
      </c>
      <c r="F5" s="569">
        <v>357</v>
      </c>
      <c r="G5" s="569">
        <v>378</v>
      </c>
      <c r="H5" s="569">
        <v>484</v>
      </c>
      <c r="I5" s="569" t="e">
        <f>IF(B5=$B$21,C5,NA())</f>
        <v>#N/A</v>
      </c>
      <c r="J5" s="569"/>
    </row>
    <row r="6" spans="2:14">
      <c r="B6" s="569">
        <v>1996</v>
      </c>
      <c r="C6" s="569">
        <f t="shared" ref="C6:C18" si="0">SUM(D6:H6)</f>
        <v>1844</v>
      </c>
      <c r="D6" s="569">
        <v>255</v>
      </c>
      <c r="E6" s="569">
        <v>189</v>
      </c>
      <c r="F6" s="569">
        <v>452</v>
      </c>
      <c r="G6" s="569">
        <v>446</v>
      </c>
      <c r="H6" s="569">
        <v>502</v>
      </c>
      <c r="I6" s="569" t="e">
        <f>IF(B6=$B$21,C6,NA())</f>
        <v>#N/A</v>
      </c>
      <c r="J6" s="569" t="e">
        <f>IF(B6=$B$27,C6,NA())</f>
        <v>#N/A</v>
      </c>
    </row>
    <row r="7" spans="2:14">
      <c r="B7" s="569">
        <v>1997</v>
      </c>
      <c r="C7" s="569">
        <f t="shared" si="0"/>
        <v>2090</v>
      </c>
      <c r="D7" s="569">
        <v>331</v>
      </c>
      <c r="E7" s="569">
        <v>271</v>
      </c>
      <c r="F7" s="569">
        <v>471</v>
      </c>
      <c r="G7" s="569">
        <v>496</v>
      </c>
      <c r="H7" s="569">
        <v>521</v>
      </c>
      <c r="I7" s="569" t="e">
        <f>IF(B7=$B$21,C7,NA())</f>
        <v>#N/A</v>
      </c>
      <c r="J7" s="569" t="e">
        <f t="shared" ref="J7:J14" si="1">IF(B7=$B$27,C7,NA())</f>
        <v>#N/A</v>
      </c>
    </row>
    <row r="8" spans="2:14">
      <c r="B8" s="569">
        <v>1998</v>
      </c>
      <c r="C8" s="569">
        <f t="shared" si="0"/>
        <v>2371</v>
      </c>
      <c r="D8" s="569">
        <v>342</v>
      </c>
      <c r="E8" s="569">
        <v>343</v>
      </c>
      <c r="F8" s="569">
        <v>527</v>
      </c>
      <c r="G8" s="569">
        <v>562</v>
      </c>
      <c r="H8" s="569">
        <v>597</v>
      </c>
      <c r="I8" s="569" t="e">
        <f>IF(B8=$B$21,C8,NA())</f>
        <v>#N/A</v>
      </c>
      <c r="J8" s="569" t="e">
        <f t="shared" si="1"/>
        <v>#N/A</v>
      </c>
    </row>
    <row r="9" spans="2:14">
      <c r="B9" s="569">
        <v>1999</v>
      </c>
      <c r="C9" s="569">
        <f t="shared" si="0"/>
        <v>2589</v>
      </c>
      <c r="D9" s="569">
        <v>352</v>
      </c>
      <c r="E9" s="569">
        <v>377</v>
      </c>
      <c r="F9" s="569">
        <v>570</v>
      </c>
      <c r="G9" s="569">
        <v>648</v>
      </c>
      <c r="H9" s="569">
        <v>642</v>
      </c>
      <c r="I9" s="569">
        <f>IF(B9=$B$21,C9,NA())</f>
        <v>2589</v>
      </c>
      <c r="J9" s="569" t="e">
        <f t="shared" si="1"/>
        <v>#N/A</v>
      </c>
    </row>
    <row r="10" spans="2:14">
      <c r="B10" s="569">
        <v>2000</v>
      </c>
      <c r="C10" s="569">
        <f t="shared" si="0"/>
        <v>2766</v>
      </c>
      <c r="D10" s="569">
        <v>400</v>
      </c>
      <c r="E10" s="569">
        <v>419</v>
      </c>
      <c r="F10" s="569">
        <v>575</v>
      </c>
      <c r="G10" s="569">
        <v>707</v>
      </c>
      <c r="H10" s="569">
        <v>665</v>
      </c>
      <c r="I10" s="569" t="e">
        <f t="shared" ref="I10:I12" si="2">IF(B10=$B$21,C10,NA())</f>
        <v>#N/A</v>
      </c>
      <c r="J10" s="569" t="e">
        <f t="shared" si="1"/>
        <v>#N/A</v>
      </c>
    </row>
    <row r="11" spans="2:14">
      <c r="B11" s="569">
        <v>2001</v>
      </c>
      <c r="C11" s="569">
        <f t="shared" si="0"/>
        <v>3015</v>
      </c>
      <c r="D11" s="569">
        <v>463</v>
      </c>
      <c r="E11" s="569">
        <v>479</v>
      </c>
      <c r="F11" s="569">
        <v>659</v>
      </c>
      <c r="G11" s="569">
        <v>748</v>
      </c>
      <c r="H11" s="569">
        <v>666</v>
      </c>
      <c r="I11" s="569" t="e">
        <f>IF(B11=$B$21,C11,NA())</f>
        <v>#N/A</v>
      </c>
      <c r="J11" s="569" t="e">
        <f t="shared" si="1"/>
        <v>#N/A</v>
      </c>
    </row>
    <row r="12" spans="2:14">
      <c r="B12" s="569">
        <v>2002</v>
      </c>
      <c r="C12" s="569">
        <f t="shared" si="0"/>
        <v>3264</v>
      </c>
      <c r="D12" s="569">
        <v>484</v>
      </c>
      <c r="E12" s="569">
        <v>560</v>
      </c>
      <c r="F12" s="569">
        <v>732</v>
      </c>
      <c r="G12" s="569">
        <v>763</v>
      </c>
      <c r="H12" s="569">
        <v>725</v>
      </c>
      <c r="I12" s="569" t="e">
        <f t="shared" si="2"/>
        <v>#N/A</v>
      </c>
      <c r="J12" s="569" t="e">
        <f t="shared" si="1"/>
        <v>#N/A</v>
      </c>
    </row>
    <row r="13" spans="2:14">
      <c r="B13" s="569">
        <v>2003</v>
      </c>
      <c r="C13" s="569">
        <f t="shared" si="0"/>
        <v>3490</v>
      </c>
      <c r="D13" s="569">
        <v>530</v>
      </c>
      <c r="E13" s="569">
        <v>592</v>
      </c>
      <c r="F13" s="569">
        <v>806</v>
      </c>
      <c r="G13" s="569">
        <v>774</v>
      </c>
      <c r="H13" s="569">
        <v>788</v>
      </c>
      <c r="I13" s="569" t="e">
        <f t="shared" ref="I13:I18" si="3">IF(B13=$B$21,C13,NA())</f>
        <v>#N/A</v>
      </c>
      <c r="J13" s="569" t="e">
        <f t="shared" si="1"/>
        <v>#N/A</v>
      </c>
    </row>
    <row r="14" spans="2:14">
      <c r="B14" s="569">
        <v>2004</v>
      </c>
      <c r="C14" s="569">
        <f t="shared" si="0"/>
        <v>3703</v>
      </c>
      <c r="D14" s="569">
        <v>574</v>
      </c>
      <c r="E14" s="569">
        <v>644</v>
      </c>
      <c r="F14" s="569">
        <v>845</v>
      </c>
      <c r="G14" s="569">
        <v>779</v>
      </c>
      <c r="H14" s="569">
        <v>861</v>
      </c>
      <c r="I14" s="569" t="e">
        <f t="shared" si="3"/>
        <v>#N/A</v>
      </c>
      <c r="J14" s="569" t="e">
        <f t="shared" si="1"/>
        <v>#N/A</v>
      </c>
    </row>
    <row r="15" spans="2:14">
      <c r="B15" s="569">
        <v>2005</v>
      </c>
      <c r="C15" s="569">
        <f t="shared" si="0"/>
        <v>3849</v>
      </c>
      <c r="D15" s="569">
        <v>591</v>
      </c>
      <c r="E15" s="569">
        <v>737</v>
      </c>
      <c r="F15" s="569">
        <v>850</v>
      </c>
      <c r="G15" s="569">
        <v>790</v>
      </c>
      <c r="H15" s="569">
        <v>881</v>
      </c>
      <c r="I15" s="569" t="e">
        <f t="shared" si="3"/>
        <v>#N/A</v>
      </c>
      <c r="J15" s="569" t="e">
        <f>IF(B15=$K$20,C15,NA())</f>
        <v>#N/A</v>
      </c>
    </row>
    <row r="16" spans="2:14">
      <c r="B16" s="569">
        <v>2006</v>
      </c>
      <c r="C16" s="569">
        <f t="shared" si="0"/>
        <v>3969</v>
      </c>
      <c r="D16" s="569">
        <v>605</v>
      </c>
      <c r="E16" s="569">
        <v>766</v>
      </c>
      <c r="F16" s="569">
        <v>903</v>
      </c>
      <c r="G16" s="569">
        <v>798</v>
      </c>
      <c r="H16" s="569">
        <v>897</v>
      </c>
      <c r="I16" s="569" t="e">
        <f t="shared" si="3"/>
        <v>#N/A</v>
      </c>
      <c r="J16" s="569" t="e">
        <f>IF(B16=$K$20,C16,NA())</f>
        <v>#N/A</v>
      </c>
    </row>
    <row r="17" spans="2:11">
      <c r="B17" s="569">
        <v>2007</v>
      </c>
      <c r="C17" s="569">
        <f t="shared" si="0"/>
        <v>4225</v>
      </c>
      <c r="D17" s="569">
        <v>617</v>
      </c>
      <c r="E17" s="569">
        <v>846</v>
      </c>
      <c r="F17" s="569">
        <v>929</v>
      </c>
      <c r="G17" s="569">
        <v>865</v>
      </c>
      <c r="H17" s="569">
        <v>968</v>
      </c>
      <c r="I17" s="569" t="e">
        <f t="shared" si="3"/>
        <v>#N/A</v>
      </c>
      <c r="J17" s="569" t="e">
        <f t="shared" ref="J17:J18" si="4">IF(B17=$K$20,C17,NA())</f>
        <v>#N/A</v>
      </c>
    </row>
    <row r="18" spans="2:11">
      <c r="B18" s="569">
        <v>2008</v>
      </c>
      <c r="C18" s="569">
        <f t="shared" si="0"/>
        <v>4515</v>
      </c>
      <c r="D18" s="569">
        <v>712</v>
      </c>
      <c r="E18" s="569">
        <v>930</v>
      </c>
      <c r="F18" s="569">
        <v>935</v>
      </c>
      <c r="G18" s="569">
        <v>919</v>
      </c>
      <c r="H18" s="569">
        <v>1019</v>
      </c>
      <c r="I18" s="569" t="e">
        <f t="shared" si="3"/>
        <v>#N/A</v>
      </c>
      <c r="J18" s="569" t="e">
        <f t="shared" si="4"/>
        <v>#N/A</v>
      </c>
    </row>
    <row r="20" spans="2:11">
      <c r="C20" s="557" t="s">
        <v>967</v>
      </c>
      <c r="D20" s="557" t="s">
        <v>968</v>
      </c>
      <c r="E20" s="557" t="s">
        <v>969</v>
      </c>
      <c r="F20" s="557" t="s">
        <v>970</v>
      </c>
      <c r="G20" s="557" t="s">
        <v>971</v>
      </c>
    </row>
    <row r="21" spans="2:11" ht="15.75">
      <c r="B21" s="568">
        <v>1999</v>
      </c>
      <c r="C21">
        <f t="shared" ref="C21:G22" si="5">INDEX($B$4:$I$18,MATCH($B$21,$B$4:$B$18,0),MATCH(C$20,$B$4:$I$4,0))</f>
        <v>352</v>
      </c>
      <c r="D21">
        <f t="shared" si="5"/>
        <v>377</v>
      </c>
      <c r="E21">
        <f t="shared" si="5"/>
        <v>570</v>
      </c>
      <c r="F21">
        <f t="shared" si="5"/>
        <v>648</v>
      </c>
      <c r="G21">
        <f t="shared" si="5"/>
        <v>642</v>
      </c>
      <c r="H21" s="684" t="s">
        <v>4034</v>
      </c>
      <c r="I21" s="684"/>
    </row>
    <row r="22" spans="2:11" ht="15.75">
      <c r="C22">
        <f t="shared" si="5"/>
        <v>352</v>
      </c>
      <c r="D22">
        <f>INDEX($B$4:$I$18,MATCH($B$21,$B$4:$B$18,0),MATCH(D$20,$B$4:$I$4,0))</f>
        <v>377</v>
      </c>
      <c r="E22">
        <f t="shared" si="5"/>
        <v>570</v>
      </c>
      <c r="F22">
        <f>INDEX($B$4:$I$18,MATCH($B$21,$B$4:$B$18,0),MATCH(F$20,$B$4:$I$4,0))</f>
        <v>648</v>
      </c>
      <c r="G22">
        <f t="shared" si="5"/>
        <v>642</v>
      </c>
      <c r="H22" s="684" t="s">
        <v>4035</v>
      </c>
      <c r="I22" s="684"/>
    </row>
    <row r="23" spans="2:11" ht="15.75">
      <c r="D23">
        <f>INDEX($B$4:$J$18,MATCH($B$21,$B$4:$B$18,0),MATCH(D$20,$B$4:$J$4,0))</f>
        <v>377</v>
      </c>
      <c r="G23">
        <f>INDEX($B$4:$H$18,MATCH($B$21,$B$4:$B$18,0),MATCH(G$20,$B$4:$H$4,0))</f>
        <v>642</v>
      </c>
      <c r="H23" s="684" t="s">
        <v>4039</v>
      </c>
      <c r="I23" s="684"/>
      <c r="K23" t="s">
        <v>3936</v>
      </c>
    </row>
    <row r="24" spans="2:11" ht="15.75">
      <c r="H24" s="684" t="s">
        <v>4040</v>
      </c>
      <c r="I24" s="684"/>
    </row>
    <row r="25" spans="2:11" ht="15.75">
      <c r="H25" s="684"/>
      <c r="I25" s="684"/>
    </row>
    <row r="26" spans="2:11" ht="15.75">
      <c r="C26" s="560" t="s">
        <v>967</v>
      </c>
      <c r="D26" s="560" t="s">
        <v>968</v>
      </c>
      <c r="E26" s="560" t="s">
        <v>969</v>
      </c>
      <c r="F26" s="560" t="s">
        <v>970</v>
      </c>
      <c r="G26" s="560" t="s">
        <v>971</v>
      </c>
      <c r="H26" s="685"/>
      <c r="I26" s="684"/>
    </row>
    <row r="27" spans="2:11" ht="15.75">
      <c r="B27" s="566">
        <v>2008</v>
      </c>
      <c r="C27">
        <f>VLOOKUP($B$27,$B$4:$H$18,MATCH(C$26,$B$4:$H$4,0),FALSE)</f>
        <v>712</v>
      </c>
      <c r="D27">
        <f>VLOOKUP($B$27,$B$4:$H$18,MATCH(D$26,$B$4:$H$4,0),FALSE)</f>
        <v>930</v>
      </c>
      <c r="E27">
        <f>VLOOKUP($B$27,$B$4:$H$18,MATCH(E$26,$B$4:$H$4,0),FALSE)</f>
        <v>935</v>
      </c>
      <c r="F27">
        <f>VLOOKUP($B$27,$B$4:$H$18,MATCH(F$26,$B$4:$H$4,0),FALSE)</f>
        <v>919</v>
      </c>
      <c r="G27">
        <f>VLOOKUP($B$27,$B$4:$H$18,MATCH(G$26,$B$4:$H$4,0))</f>
        <v>1019</v>
      </c>
      <c r="H27" s="684" t="s">
        <v>4036</v>
      </c>
      <c r="I27" s="684"/>
    </row>
    <row r="28" spans="2:11" ht="15.75">
      <c r="C28">
        <f>INDEX($B$4:$H$18,MATCH($B$27,$B$4:$B$18,0),MATCH(C$26,$B$4:$H$4,0))</f>
        <v>712</v>
      </c>
      <c r="D28">
        <f>INDEX($B$4:$H$18,MATCH($B$27,$B$4:$B$18,0),MATCH(D$26,$B$4:$H$4,0))</f>
        <v>930</v>
      </c>
      <c r="E28">
        <f>INDEX($B$4:$H$18,MATCH($B$27,$B$4:$B$18,0),MATCH(E$26,$B$4:$H$4,0))</f>
        <v>935</v>
      </c>
      <c r="F28">
        <f>INDEX($B$4:$H$18,MATCH($B$27,$B$4:$B$18,0),MATCH(F$26,$B$4:$H$4,0))</f>
        <v>919</v>
      </c>
      <c r="G28">
        <f>INDEX($B$4:$H$18,MATCH($B$27,$B$4:$B$18,0),MATCH(G$26,$B$4:$H$4,0))</f>
        <v>1019</v>
      </c>
      <c r="H28" s="684" t="s">
        <v>4037</v>
      </c>
      <c r="I28" s="684"/>
    </row>
    <row r="29" spans="2:11" ht="15.75">
      <c r="C29">
        <f>INDEX($B$4:$H$18,MATCH($B$27,$B$4:$B$18,0),MATCH(C$26,$B$4:$H$4,0))</f>
        <v>712</v>
      </c>
      <c r="D29">
        <f>INDEX($B$4:$H$18,MATCH($B$27,$B$4:$B$18,0),MATCH(D$26,$B$4:$H$4,0))</f>
        <v>930</v>
      </c>
      <c r="E29">
        <f>INDEX($B$4:$H$18,MATCH($B$27,$B$4:$B$18,0),MATCH(E$26,$B$4:$H$4))</f>
        <v>935</v>
      </c>
      <c r="F29">
        <f>INDEX($B$4:$H$18,MATCH($B$27,$B$4:$B$18,0),MATCH(F$26,$B$4:$H$4,0))</f>
        <v>919</v>
      </c>
      <c r="G29">
        <f>INDEX($B$4:$H$18,MATCH($B$27,$B$4:$B$18,0),MATCH(G$26,$B$4:$H$4))</f>
        <v>1019</v>
      </c>
      <c r="H29" s="684" t="s">
        <v>4037</v>
      </c>
      <c r="I29" s="684"/>
    </row>
    <row r="30" spans="2:11" ht="15.75">
      <c r="H30" s="684"/>
      <c r="I30" s="684"/>
    </row>
    <row r="31" spans="2:11" ht="15.75">
      <c r="B31" s="565">
        <v>2004</v>
      </c>
      <c r="C31" s="560" t="s">
        <v>967</v>
      </c>
      <c r="D31" s="560" t="s">
        <v>968</v>
      </c>
      <c r="E31" s="560" t="s">
        <v>969</v>
      </c>
      <c r="F31" s="560" t="s">
        <v>970</v>
      </c>
      <c r="H31" s="684"/>
      <c r="I31" s="684"/>
      <c r="J31" s="562"/>
    </row>
    <row r="32" spans="2:11" ht="15.75">
      <c r="C32">
        <f>VLOOKUP($B$31,$B$4:$H$18,MATCH(C$31,$B$4:$H$4,0),FALSE)</f>
        <v>574</v>
      </c>
      <c r="D32">
        <f>VLOOKUP($B$31,$B$4:$H$18,MATCH(D$31,$B$4:$H$4,0),FALSE)</f>
        <v>644</v>
      </c>
      <c r="E32">
        <f>VLOOKUP($B$31,$B$4:$H$18,MATCH(E$31,$B$4:$H$4,0),FALSE)</f>
        <v>845</v>
      </c>
      <c r="F32">
        <f>VLOOKUP($B$31,$B$4:$H$18,MATCH(F$31,$B$4:$H$4,0),FALSE)</f>
        <v>779</v>
      </c>
      <c r="H32" s="684" t="s">
        <v>4038</v>
      </c>
      <c r="I32" s="684"/>
    </row>
    <row r="33" spans="2:9" ht="15.75">
      <c r="C33">
        <f t="shared" ref="C33:F34" si="6">INDEX($B$4:$H$18,MATCH($B$31,$B$4:$B$18,0),MATCH(C$31,$B$4:$H$4,0))</f>
        <v>574</v>
      </c>
      <c r="D33">
        <f t="shared" si="6"/>
        <v>644</v>
      </c>
      <c r="E33">
        <f t="shared" si="6"/>
        <v>845</v>
      </c>
      <c r="F33">
        <f t="shared" si="6"/>
        <v>779</v>
      </c>
      <c r="H33" s="684" t="s">
        <v>3962</v>
      </c>
      <c r="I33" s="684"/>
    </row>
    <row r="34" spans="2:9" ht="15.75">
      <c r="C34">
        <f t="shared" si="6"/>
        <v>574</v>
      </c>
      <c r="D34">
        <f t="shared" si="6"/>
        <v>644</v>
      </c>
      <c r="E34">
        <f t="shared" si="6"/>
        <v>845</v>
      </c>
      <c r="F34">
        <f t="shared" si="6"/>
        <v>779</v>
      </c>
      <c r="H34" s="684" t="s">
        <v>4041</v>
      </c>
      <c r="I34" s="684"/>
    </row>
    <row r="35" spans="2:9" ht="15.75">
      <c r="H35" s="684"/>
      <c r="I35" s="684"/>
    </row>
    <row r="36" spans="2:9" ht="15.75">
      <c r="H36" s="684"/>
      <c r="I36" s="684"/>
    </row>
    <row r="37" spans="2:9" ht="15.75">
      <c r="B37" s="564">
        <v>1999</v>
      </c>
      <c r="C37" s="560" t="s">
        <v>967</v>
      </c>
      <c r="D37" s="560" t="s">
        <v>968</v>
      </c>
      <c r="E37" s="560" t="s">
        <v>969</v>
      </c>
      <c r="F37" s="560" t="s">
        <v>970</v>
      </c>
      <c r="H37" s="684"/>
      <c r="I37" s="684"/>
    </row>
    <row r="38" spans="2:9" ht="15.75">
      <c r="D38">
        <f>VLOOKUP($B$37,$B$4:$J$18,MATCH(D$37,$B$4:$J$4,0),FALSE)</f>
        <v>377</v>
      </c>
      <c r="E38" s="567">
        <f>VLOOKUP($B$37,$B$4:$I$18,MATCH(E$37,$B$4:$I$4,0))</f>
        <v>570</v>
      </c>
      <c r="F38">
        <f>VLOOKUP($B$37,$B$4:$I$18,MATCH(F$37,$B$4:$I$4,0),FALSE)</f>
        <v>648</v>
      </c>
      <c r="H38" s="684" t="s">
        <v>4042</v>
      </c>
      <c r="I38" s="684"/>
    </row>
    <row r="39" spans="2:9" ht="15.75">
      <c r="D39">
        <f>INDEX($B$4:$I$18,MATCH($B$37,$B$4:$B$18,0),MATCH(D$37,$B$4:$I$4,0))</f>
        <v>377</v>
      </c>
      <c r="E39">
        <f>INDEX($B$4:$I$18,MATCH($B$37,$B$4:$B$18,0),MATCH(E$37,$B$4:$I$4,0))</f>
        <v>570</v>
      </c>
      <c r="F39">
        <f>INDEX($B$4:$I$18,MATCH($B$37,$B$4:$B$18,0),MATCH(F$37,$B$4:$J$4,0))</f>
        <v>648</v>
      </c>
      <c r="H39" s="684"/>
      <c r="I39" s="684"/>
    </row>
    <row r="40" spans="2:9" ht="15.75">
      <c r="H40" s="684"/>
      <c r="I40" s="684"/>
    </row>
    <row r="41" spans="2:9" ht="15.75">
      <c r="H41" s="684"/>
      <c r="I41" s="684"/>
    </row>
    <row r="42" spans="2:9" ht="15.75">
      <c r="H42" s="684" t="s">
        <v>3936</v>
      </c>
      <c r="I42" s="684"/>
    </row>
  </sheetData>
  <mergeCells count="22">
    <mergeCell ref="H32:I32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9:I39"/>
    <mergeCell ref="H40:I40"/>
    <mergeCell ref="H41:I41"/>
    <mergeCell ref="H42:I42"/>
    <mergeCell ref="H33:I33"/>
    <mergeCell ref="H34:I34"/>
    <mergeCell ref="H35:I35"/>
    <mergeCell ref="H36:I36"/>
    <mergeCell ref="H37:I37"/>
    <mergeCell ref="H38:I3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5105" r:id="rId3" name="Scroll Bar 1">
              <controlPr defaultSize="0" autoPict="0">
                <anchor moveWithCells="1">
                  <from>
                    <xdr:col>9</xdr:col>
                    <xdr:colOff>19050</xdr:colOff>
                    <xdr:row>19</xdr:row>
                    <xdr:rowOff>171450</xdr:rowOff>
                  </from>
                  <to>
                    <xdr:col>12</xdr:col>
                    <xdr:colOff>19050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06" r:id="rId4" name="Scroll Bar 2">
              <controlPr defaultSize="0" autoPict="0">
                <anchor moveWithCells="1">
                  <from>
                    <xdr:col>9</xdr:col>
                    <xdr:colOff>19050</xdr:colOff>
                    <xdr:row>25</xdr:row>
                    <xdr:rowOff>161925</xdr:rowOff>
                  </from>
                  <to>
                    <xdr:col>12</xdr:col>
                    <xdr:colOff>9525</xdr:colOff>
                    <xdr:row>27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07" r:id="rId5" name="Scroll Bar 3">
              <controlPr defaultSize="0" autoPict="0">
                <anchor moveWithCells="1">
                  <from>
                    <xdr:col>9</xdr:col>
                    <xdr:colOff>9525</xdr:colOff>
                    <xdr:row>30</xdr:row>
                    <xdr:rowOff>19050</xdr:rowOff>
                  </from>
                  <to>
                    <xdr:col>12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08" r:id="rId6" name="Scroll Bar 4">
              <controlPr defaultSize="0" autoPict="0">
                <anchor moveWithCells="1">
                  <from>
                    <xdr:col>8</xdr:col>
                    <xdr:colOff>600075</xdr:colOff>
                    <xdr:row>35</xdr:row>
                    <xdr:rowOff>171450</xdr:rowOff>
                  </from>
                  <to>
                    <xdr:col>12</xdr:col>
                    <xdr:colOff>19050</xdr:colOff>
                    <xdr:row>38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7">
    <tabColor rgb="FFFF0000"/>
  </sheetPr>
  <dimension ref="A1:H17"/>
  <sheetViews>
    <sheetView showGridLines="0" topLeftCell="C16" zoomScale="143" workbookViewId="0">
      <selection activeCell="H25" sqref="H25"/>
    </sheetView>
  </sheetViews>
  <sheetFormatPr defaultRowHeight="15"/>
  <cols>
    <col min="1" max="1" width="5" customWidth="1"/>
    <col min="2" max="2" width="24.140625" customWidth="1"/>
    <col min="3" max="6" width="10.7109375" customWidth="1"/>
    <col min="7" max="7" width="13.85546875" bestFit="1" customWidth="1"/>
    <col min="8" max="8" width="10.7109375" customWidth="1"/>
  </cols>
  <sheetData>
    <row r="1" spans="1:8">
      <c r="A1" s="32" t="s">
        <v>972</v>
      </c>
      <c r="B1" s="32" t="s">
        <v>973</v>
      </c>
    </row>
    <row r="2" spans="1:8">
      <c r="B2" t="s">
        <v>974</v>
      </c>
    </row>
    <row r="4" spans="1:8" ht="15.75">
      <c r="B4" s="686" t="s">
        <v>975</v>
      </c>
      <c r="C4" s="686"/>
      <c r="D4" s="686"/>
      <c r="E4" s="687"/>
      <c r="F4" s="688" t="s">
        <v>4045</v>
      </c>
      <c r="G4" s="688"/>
      <c r="H4" s="688"/>
    </row>
    <row r="5" spans="1:8">
      <c r="B5" s="578" t="s">
        <v>976</v>
      </c>
      <c r="C5" s="579" t="s">
        <v>977</v>
      </c>
      <c r="D5" s="579" t="s">
        <v>978</v>
      </c>
      <c r="E5" s="579" t="s">
        <v>979</v>
      </c>
      <c r="F5" s="580" t="s">
        <v>953</v>
      </c>
      <c r="G5" s="580" t="s">
        <v>4046</v>
      </c>
      <c r="H5" s="580" t="s">
        <v>4047</v>
      </c>
    </row>
    <row r="6" spans="1:8">
      <c r="B6" s="581">
        <v>41670</v>
      </c>
      <c r="C6" s="582">
        <v>0.95</v>
      </c>
      <c r="D6" s="582">
        <v>0.85</v>
      </c>
      <c r="E6" s="582">
        <v>0.81</v>
      </c>
      <c r="F6" s="583">
        <f>85%</f>
        <v>0.85</v>
      </c>
      <c r="G6" s="583">
        <v>0.1</v>
      </c>
      <c r="H6" s="583">
        <v>0.05</v>
      </c>
    </row>
    <row r="7" spans="1:8">
      <c r="B7" s="581">
        <v>41698</v>
      </c>
      <c r="C7" s="582">
        <v>0.97</v>
      </c>
      <c r="D7" s="582">
        <v>0.84</v>
      </c>
      <c r="E7" s="582">
        <v>0.82</v>
      </c>
      <c r="F7" s="583">
        <f>85%</f>
        <v>0.85</v>
      </c>
      <c r="G7" s="583">
        <v>0.1</v>
      </c>
      <c r="H7" s="583">
        <v>0.05</v>
      </c>
    </row>
    <row r="8" spans="1:8">
      <c r="B8" s="581">
        <v>41729</v>
      </c>
      <c r="C8" s="582">
        <v>0.98</v>
      </c>
      <c r="D8" s="582">
        <v>0.83</v>
      </c>
      <c r="E8" s="582">
        <v>0.83</v>
      </c>
      <c r="F8" s="583">
        <f>85%</f>
        <v>0.85</v>
      </c>
      <c r="G8" s="583">
        <v>0.1</v>
      </c>
      <c r="H8" s="583">
        <v>0.05</v>
      </c>
    </row>
    <row r="9" spans="1:8">
      <c r="B9" s="581">
        <v>41759</v>
      </c>
      <c r="C9" s="582">
        <v>0.99</v>
      </c>
      <c r="D9" s="582">
        <v>0.82</v>
      </c>
      <c r="E9" s="582">
        <v>0.84</v>
      </c>
      <c r="F9" s="583">
        <f>85%</f>
        <v>0.85</v>
      </c>
      <c r="G9" s="583">
        <v>0.1</v>
      </c>
      <c r="H9" s="583">
        <v>0.05</v>
      </c>
    </row>
    <row r="10" spans="1:8">
      <c r="B10" s="581">
        <v>41790</v>
      </c>
      <c r="C10" s="582">
        <v>0.98</v>
      </c>
      <c r="D10" s="582">
        <v>0.88</v>
      </c>
      <c r="E10" s="582">
        <v>0.82</v>
      </c>
      <c r="F10" s="583">
        <f>85%</f>
        <v>0.85</v>
      </c>
      <c r="G10" s="583">
        <v>0.1</v>
      </c>
      <c r="H10" s="583">
        <v>0.05</v>
      </c>
    </row>
    <row r="11" spans="1:8">
      <c r="B11" s="581">
        <v>41820</v>
      </c>
      <c r="C11" s="582">
        <v>0.97</v>
      </c>
      <c r="D11" s="582">
        <v>0.87</v>
      </c>
      <c r="E11" s="582">
        <v>0.89</v>
      </c>
      <c r="F11" s="583">
        <f>85%</f>
        <v>0.85</v>
      </c>
      <c r="G11" s="583">
        <v>0.1</v>
      </c>
      <c r="H11" s="583">
        <v>0.05</v>
      </c>
    </row>
    <row r="12" spans="1:8">
      <c r="B12" s="581">
        <v>41851</v>
      </c>
      <c r="C12" s="582">
        <v>0.92</v>
      </c>
      <c r="D12" s="582">
        <v>0.86</v>
      </c>
      <c r="E12" s="582">
        <v>0.83</v>
      </c>
      <c r="F12" s="583">
        <f>85%</f>
        <v>0.85</v>
      </c>
      <c r="G12" s="583">
        <v>0.1</v>
      </c>
      <c r="H12" s="583">
        <v>0.05</v>
      </c>
    </row>
    <row r="13" spans="1:8">
      <c r="B13" s="581">
        <v>41882</v>
      </c>
      <c r="C13" s="582">
        <v>0.91</v>
      </c>
      <c r="D13" s="582">
        <v>0.88</v>
      </c>
      <c r="E13" s="582">
        <v>0.84</v>
      </c>
      <c r="F13" s="583">
        <f>85%</f>
        <v>0.85</v>
      </c>
      <c r="G13" s="583">
        <v>0.1</v>
      </c>
      <c r="H13" s="583">
        <v>0.05</v>
      </c>
    </row>
    <row r="14" spans="1:8">
      <c r="B14" s="581">
        <v>41912</v>
      </c>
      <c r="C14" s="582">
        <v>0.9</v>
      </c>
      <c r="D14" s="582">
        <v>0.87</v>
      </c>
      <c r="E14" s="582">
        <v>0.82</v>
      </c>
      <c r="F14" s="583">
        <f>85%</f>
        <v>0.85</v>
      </c>
      <c r="G14" s="583">
        <v>0.1</v>
      </c>
      <c r="H14" s="583">
        <v>0.05</v>
      </c>
    </row>
    <row r="15" spans="1:8">
      <c r="B15" s="581">
        <v>41943</v>
      </c>
      <c r="C15" s="582">
        <v>0.88</v>
      </c>
      <c r="D15" s="582">
        <v>0.89</v>
      </c>
      <c r="E15" s="582">
        <v>0.81</v>
      </c>
      <c r="F15" s="583">
        <f>85%</f>
        <v>0.85</v>
      </c>
      <c r="G15" s="583">
        <v>0.1</v>
      </c>
      <c r="H15" s="583">
        <v>0.05</v>
      </c>
    </row>
    <row r="16" spans="1:8">
      <c r="B16" s="581">
        <v>41973</v>
      </c>
      <c r="C16" s="582">
        <v>0.95</v>
      </c>
      <c r="D16" s="582">
        <v>0.91</v>
      </c>
      <c r="E16" s="582">
        <v>0.83</v>
      </c>
      <c r="F16" s="583">
        <f>85%</f>
        <v>0.85</v>
      </c>
      <c r="G16" s="583">
        <v>0.1</v>
      </c>
      <c r="H16" s="583">
        <v>0.05</v>
      </c>
    </row>
    <row r="17" spans="2:8">
      <c r="B17" s="581">
        <v>42004</v>
      </c>
      <c r="C17" s="582">
        <v>0.99</v>
      </c>
      <c r="D17" s="582">
        <v>0.88</v>
      </c>
      <c r="E17" s="582">
        <v>0.84</v>
      </c>
      <c r="F17" s="583">
        <f>85%</f>
        <v>0.85</v>
      </c>
      <c r="G17" s="583">
        <v>0.1</v>
      </c>
      <c r="H17" s="583">
        <v>0.05</v>
      </c>
    </row>
  </sheetData>
  <mergeCells count="2">
    <mergeCell ref="B4:E4"/>
    <mergeCell ref="F4:H4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1CCE-283E-48A4-AB19-C77DA0F8725D}">
  <sheetPr codeName="Sheet48">
    <tabColor rgb="FFFF0000"/>
  </sheetPr>
  <dimension ref="B1:M48"/>
  <sheetViews>
    <sheetView showGridLines="0" topLeftCell="A20" zoomScale="136" zoomScaleNormal="136" workbookViewId="0">
      <selection activeCell="H17" sqref="H17"/>
    </sheetView>
  </sheetViews>
  <sheetFormatPr defaultColWidth="8.85546875" defaultRowHeight="12.75"/>
  <cols>
    <col min="1" max="1" width="5.28515625" style="498" customWidth="1"/>
    <col min="2" max="2" width="13" style="498" customWidth="1"/>
    <col min="3" max="3" width="8.85546875" style="498"/>
    <col min="4" max="4" width="10.42578125" style="498" bestFit="1" customWidth="1"/>
    <col min="5" max="5" width="9.7109375" style="498" bestFit="1" customWidth="1"/>
    <col min="6" max="6" width="8.85546875" style="498"/>
    <col min="7" max="7" width="12.42578125" style="498" customWidth="1"/>
    <col min="8" max="10" width="14.42578125" style="498" customWidth="1"/>
    <col min="11" max="11" width="8.85546875" style="498"/>
    <col min="12" max="12" width="9.28515625" style="498" bestFit="1" customWidth="1"/>
    <col min="13" max="256" width="8.85546875" style="498"/>
    <col min="257" max="257" width="5.28515625" style="498" customWidth="1"/>
    <col min="258" max="258" width="13" style="498" customWidth="1"/>
    <col min="259" max="259" width="8.85546875" style="498"/>
    <col min="260" max="260" width="10.42578125" style="498" bestFit="1" customWidth="1"/>
    <col min="261" max="261" width="9.7109375" style="498" bestFit="1" customWidth="1"/>
    <col min="262" max="262" width="8.85546875" style="498"/>
    <col min="263" max="263" width="9.7109375" style="498" bestFit="1" customWidth="1"/>
    <col min="264" max="266" width="14.42578125" style="498" customWidth="1"/>
    <col min="267" max="512" width="8.85546875" style="498"/>
    <col min="513" max="513" width="5.28515625" style="498" customWidth="1"/>
    <col min="514" max="514" width="13" style="498" customWidth="1"/>
    <col min="515" max="515" width="8.85546875" style="498"/>
    <col min="516" max="516" width="10.42578125" style="498" bestFit="1" customWidth="1"/>
    <col min="517" max="517" width="9.7109375" style="498" bestFit="1" customWidth="1"/>
    <col min="518" max="518" width="8.85546875" style="498"/>
    <col min="519" max="519" width="9.7109375" style="498" bestFit="1" customWidth="1"/>
    <col min="520" max="522" width="14.42578125" style="498" customWidth="1"/>
    <col min="523" max="768" width="8.85546875" style="498"/>
    <col min="769" max="769" width="5.28515625" style="498" customWidth="1"/>
    <col min="770" max="770" width="13" style="498" customWidth="1"/>
    <col min="771" max="771" width="8.85546875" style="498"/>
    <col min="772" max="772" width="10.42578125" style="498" bestFit="1" customWidth="1"/>
    <col min="773" max="773" width="9.7109375" style="498" bestFit="1" customWidth="1"/>
    <col min="774" max="774" width="8.85546875" style="498"/>
    <col min="775" max="775" width="9.7109375" style="498" bestFit="1" customWidth="1"/>
    <col min="776" max="778" width="14.42578125" style="498" customWidth="1"/>
    <col min="779" max="1024" width="8.85546875" style="498"/>
    <col min="1025" max="1025" width="5.28515625" style="498" customWidth="1"/>
    <col min="1026" max="1026" width="13" style="498" customWidth="1"/>
    <col min="1027" max="1027" width="8.85546875" style="498"/>
    <col min="1028" max="1028" width="10.42578125" style="498" bestFit="1" customWidth="1"/>
    <col min="1029" max="1029" width="9.7109375" style="498" bestFit="1" customWidth="1"/>
    <col min="1030" max="1030" width="8.85546875" style="498"/>
    <col min="1031" max="1031" width="9.7109375" style="498" bestFit="1" customWidth="1"/>
    <col min="1032" max="1034" width="14.42578125" style="498" customWidth="1"/>
    <col min="1035" max="1280" width="8.85546875" style="498"/>
    <col min="1281" max="1281" width="5.28515625" style="498" customWidth="1"/>
    <col min="1282" max="1282" width="13" style="498" customWidth="1"/>
    <col min="1283" max="1283" width="8.85546875" style="498"/>
    <col min="1284" max="1284" width="10.42578125" style="498" bestFit="1" customWidth="1"/>
    <col min="1285" max="1285" width="9.7109375" style="498" bestFit="1" customWidth="1"/>
    <col min="1286" max="1286" width="8.85546875" style="498"/>
    <col min="1287" max="1287" width="9.7109375" style="498" bestFit="1" customWidth="1"/>
    <col min="1288" max="1290" width="14.42578125" style="498" customWidth="1"/>
    <col min="1291" max="1536" width="8.85546875" style="498"/>
    <col min="1537" max="1537" width="5.28515625" style="498" customWidth="1"/>
    <col min="1538" max="1538" width="13" style="498" customWidth="1"/>
    <col min="1539" max="1539" width="8.85546875" style="498"/>
    <col min="1540" max="1540" width="10.42578125" style="498" bestFit="1" customWidth="1"/>
    <col min="1541" max="1541" width="9.7109375" style="498" bestFit="1" customWidth="1"/>
    <col min="1542" max="1542" width="8.85546875" style="498"/>
    <col min="1543" max="1543" width="9.7109375" style="498" bestFit="1" customWidth="1"/>
    <col min="1544" max="1546" width="14.42578125" style="498" customWidth="1"/>
    <col min="1547" max="1792" width="8.85546875" style="498"/>
    <col min="1793" max="1793" width="5.28515625" style="498" customWidth="1"/>
    <col min="1794" max="1794" width="13" style="498" customWidth="1"/>
    <col min="1795" max="1795" width="8.85546875" style="498"/>
    <col min="1796" max="1796" width="10.42578125" style="498" bestFit="1" customWidth="1"/>
    <col min="1797" max="1797" width="9.7109375" style="498" bestFit="1" customWidth="1"/>
    <col min="1798" max="1798" width="8.85546875" style="498"/>
    <col min="1799" max="1799" width="9.7109375" style="498" bestFit="1" customWidth="1"/>
    <col min="1800" max="1802" width="14.42578125" style="498" customWidth="1"/>
    <col min="1803" max="2048" width="8.85546875" style="498"/>
    <col min="2049" max="2049" width="5.28515625" style="498" customWidth="1"/>
    <col min="2050" max="2050" width="13" style="498" customWidth="1"/>
    <col min="2051" max="2051" width="8.85546875" style="498"/>
    <col min="2052" max="2052" width="10.42578125" style="498" bestFit="1" customWidth="1"/>
    <col min="2053" max="2053" width="9.7109375" style="498" bestFit="1" customWidth="1"/>
    <col min="2054" max="2054" width="8.85546875" style="498"/>
    <col min="2055" max="2055" width="9.7109375" style="498" bestFit="1" customWidth="1"/>
    <col min="2056" max="2058" width="14.42578125" style="498" customWidth="1"/>
    <col min="2059" max="2304" width="8.85546875" style="498"/>
    <col min="2305" max="2305" width="5.28515625" style="498" customWidth="1"/>
    <col min="2306" max="2306" width="13" style="498" customWidth="1"/>
    <col min="2307" max="2307" width="8.85546875" style="498"/>
    <col min="2308" max="2308" width="10.42578125" style="498" bestFit="1" customWidth="1"/>
    <col min="2309" max="2309" width="9.7109375" style="498" bestFit="1" customWidth="1"/>
    <col min="2310" max="2310" width="8.85546875" style="498"/>
    <col min="2311" max="2311" width="9.7109375" style="498" bestFit="1" customWidth="1"/>
    <col min="2312" max="2314" width="14.42578125" style="498" customWidth="1"/>
    <col min="2315" max="2560" width="8.85546875" style="498"/>
    <col min="2561" max="2561" width="5.28515625" style="498" customWidth="1"/>
    <col min="2562" max="2562" width="13" style="498" customWidth="1"/>
    <col min="2563" max="2563" width="8.85546875" style="498"/>
    <col min="2564" max="2564" width="10.42578125" style="498" bestFit="1" customWidth="1"/>
    <col min="2565" max="2565" width="9.7109375" style="498" bestFit="1" customWidth="1"/>
    <col min="2566" max="2566" width="8.85546875" style="498"/>
    <col min="2567" max="2567" width="9.7109375" style="498" bestFit="1" customWidth="1"/>
    <col min="2568" max="2570" width="14.42578125" style="498" customWidth="1"/>
    <col min="2571" max="2816" width="8.85546875" style="498"/>
    <col min="2817" max="2817" width="5.28515625" style="498" customWidth="1"/>
    <col min="2818" max="2818" width="13" style="498" customWidth="1"/>
    <col min="2819" max="2819" width="8.85546875" style="498"/>
    <col min="2820" max="2820" width="10.42578125" style="498" bestFit="1" customWidth="1"/>
    <col min="2821" max="2821" width="9.7109375" style="498" bestFit="1" customWidth="1"/>
    <col min="2822" max="2822" width="8.85546875" style="498"/>
    <col min="2823" max="2823" width="9.7109375" style="498" bestFit="1" customWidth="1"/>
    <col min="2824" max="2826" width="14.42578125" style="498" customWidth="1"/>
    <col min="2827" max="3072" width="8.85546875" style="498"/>
    <col min="3073" max="3073" width="5.28515625" style="498" customWidth="1"/>
    <col min="3074" max="3074" width="13" style="498" customWidth="1"/>
    <col min="3075" max="3075" width="8.85546875" style="498"/>
    <col min="3076" max="3076" width="10.42578125" style="498" bestFit="1" customWidth="1"/>
    <col min="3077" max="3077" width="9.7109375" style="498" bestFit="1" customWidth="1"/>
    <col min="3078" max="3078" width="8.85546875" style="498"/>
    <col min="3079" max="3079" width="9.7109375" style="498" bestFit="1" customWidth="1"/>
    <col min="3080" max="3082" width="14.42578125" style="498" customWidth="1"/>
    <col min="3083" max="3328" width="8.85546875" style="498"/>
    <col min="3329" max="3329" width="5.28515625" style="498" customWidth="1"/>
    <col min="3330" max="3330" width="13" style="498" customWidth="1"/>
    <col min="3331" max="3331" width="8.85546875" style="498"/>
    <col min="3332" max="3332" width="10.42578125" style="498" bestFit="1" customWidth="1"/>
    <col min="3333" max="3333" width="9.7109375" style="498" bestFit="1" customWidth="1"/>
    <col min="3334" max="3334" width="8.85546875" style="498"/>
    <col min="3335" max="3335" width="9.7109375" style="498" bestFit="1" customWidth="1"/>
    <col min="3336" max="3338" width="14.42578125" style="498" customWidth="1"/>
    <col min="3339" max="3584" width="8.85546875" style="498"/>
    <col min="3585" max="3585" width="5.28515625" style="498" customWidth="1"/>
    <col min="3586" max="3586" width="13" style="498" customWidth="1"/>
    <col min="3587" max="3587" width="8.85546875" style="498"/>
    <col min="3588" max="3588" width="10.42578125" style="498" bestFit="1" customWidth="1"/>
    <col min="3589" max="3589" width="9.7109375" style="498" bestFit="1" customWidth="1"/>
    <col min="3590" max="3590" width="8.85546875" style="498"/>
    <col min="3591" max="3591" width="9.7109375" style="498" bestFit="1" customWidth="1"/>
    <col min="3592" max="3594" width="14.42578125" style="498" customWidth="1"/>
    <col min="3595" max="3840" width="8.85546875" style="498"/>
    <col min="3841" max="3841" width="5.28515625" style="498" customWidth="1"/>
    <col min="3842" max="3842" width="13" style="498" customWidth="1"/>
    <col min="3843" max="3843" width="8.85546875" style="498"/>
    <col min="3844" max="3844" width="10.42578125" style="498" bestFit="1" customWidth="1"/>
    <col min="3845" max="3845" width="9.7109375" style="498" bestFit="1" customWidth="1"/>
    <col min="3846" max="3846" width="8.85546875" style="498"/>
    <col min="3847" max="3847" width="9.7109375" style="498" bestFit="1" customWidth="1"/>
    <col min="3848" max="3850" width="14.42578125" style="498" customWidth="1"/>
    <col min="3851" max="4096" width="8.85546875" style="498"/>
    <col min="4097" max="4097" width="5.28515625" style="498" customWidth="1"/>
    <col min="4098" max="4098" width="13" style="498" customWidth="1"/>
    <col min="4099" max="4099" width="8.85546875" style="498"/>
    <col min="4100" max="4100" width="10.42578125" style="498" bestFit="1" customWidth="1"/>
    <col min="4101" max="4101" width="9.7109375" style="498" bestFit="1" customWidth="1"/>
    <col min="4102" max="4102" width="8.85546875" style="498"/>
    <col min="4103" max="4103" width="9.7109375" style="498" bestFit="1" customWidth="1"/>
    <col min="4104" max="4106" width="14.42578125" style="498" customWidth="1"/>
    <col min="4107" max="4352" width="8.85546875" style="498"/>
    <col min="4353" max="4353" width="5.28515625" style="498" customWidth="1"/>
    <col min="4354" max="4354" width="13" style="498" customWidth="1"/>
    <col min="4355" max="4355" width="8.85546875" style="498"/>
    <col min="4356" max="4356" width="10.42578125" style="498" bestFit="1" customWidth="1"/>
    <col min="4357" max="4357" width="9.7109375" style="498" bestFit="1" customWidth="1"/>
    <col min="4358" max="4358" width="8.85546875" style="498"/>
    <col min="4359" max="4359" width="9.7109375" style="498" bestFit="1" customWidth="1"/>
    <col min="4360" max="4362" width="14.42578125" style="498" customWidth="1"/>
    <col min="4363" max="4608" width="8.85546875" style="498"/>
    <col min="4609" max="4609" width="5.28515625" style="498" customWidth="1"/>
    <col min="4610" max="4610" width="13" style="498" customWidth="1"/>
    <col min="4611" max="4611" width="8.85546875" style="498"/>
    <col min="4612" max="4612" width="10.42578125" style="498" bestFit="1" customWidth="1"/>
    <col min="4613" max="4613" width="9.7109375" style="498" bestFit="1" customWidth="1"/>
    <col min="4614" max="4614" width="8.85546875" style="498"/>
    <col min="4615" max="4615" width="9.7109375" style="498" bestFit="1" customWidth="1"/>
    <col min="4616" max="4618" width="14.42578125" style="498" customWidth="1"/>
    <col min="4619" max="4864" width="8.85546875" style="498"/>
    <col min="4865" max="4865" width="5.28515625" style="498" customWidth="1"/>
    <col min="4866" max="4866" width="13" style="498" customWidth="1"/>
    <col min="4867" max="4867" width="8.85546875" style="498"/>
    <col min="4868" max="4868" width="10.42578125" style="498" bestFit="1" customWidth="1"/>
    <col min="4869" max="4869" width="9.7109375" style="498" bestFit="1" customWidth="1"/>
    <col min="4870" max="4870" width="8.85546875" style="498"/>
    <col min="4871" max="4871" width="9.7109375" style="498" bestFit="1" customWidth="1"/>
    <col min="4872" max="4874" width="14.42578125" style="498" customWidth="1"/>
    <col min="4875" max="5120" width="8.85546875" style="498"/>
    <col min="5121" max="5121" width="5.28515625" style="498" customWidth="1"/>
    <col min="5122" max="5122" width="13" style="498" customWidth="1"/>
    <col min="5123" max="5123" width="8.85546875" style="498"/>
    <col min="5124" max="5124" width="10.42578125" style="498" bestFit="1" customWidth="1"/>
    <col min="5125" max="5125" width="9.7109375" style="498" bestFit="1" customWidth="1"/>
    <col min="5126" max="5126" width="8.85546875" style="498"/>
    <col min="5127" max="5127" width="9.7109375" style="498" bestFit="1" customWidth="1"/>
    <col min="5128" max="5130" width="14.42578125" style="498" customWidth="1"/>
    <col min="5131" max="5376" width="8.85546875" style="498"/>
    <col min="5377" max="5377" width="5.28515625" style="498" customWidth="1"/>
    <col min="5378" max="5378" width="13" style="498" customWidth="1"/>
    <col min="5379" max="5379" width="8.85546875" style="498"/>
    <col min="5380" max="5380" width="10.42578125" style="498" bestFit="1" customWidth="1"/>
    <col min="5381" max="5381" width="9.7109375" style="498" bestFit="1" customWidth="1"/>
    <col min="5382" max="5382" width="8.85546875" style="498"/>
    <col min="5383" max="5383" width="9.7109375" style="498" bestFit="1" customWidth="1"/>
    <col min="5384" max="5386" width="14.42578125" style="498" customWidth="1"/>
    <col min="5387" max="5632" width="8.85546875" style="498"/>
    <col min="5633" max="5633" width="5.28515625" style="498" customWidth="1"/>
    <col min="5634" max="5634" width="13" style="498" customWidth="1"/>
    <col min="5635" max="5635" width="8.85546875" style="498"/>
    <col min="5636" max="5636" width="10.42578125" style="498" bestFit="1" customWidth="1"/>
    <col min="5637" max="5637" width="9.7109375" style="498" bestFit="1" customWidth="1"/>
    <col min="5638" max="5638" width="8.85546875" style="498"/>
    <col min="5639" max="5639" width="9.7109375" style="498" bestFit="1" customWidth="1"/>
    <col min="5640" max="5642" width="14.42578125" style="498" customWidth="1"/>
    <col min="5643" max="5888" width="8.85546875" style="498"/>
    <col min="5889" max="5889" width="5.28515625" style="498" customWidth="1"/>
    <col min="5890" max="5890" width="13" style="498" customWidth="1"/>
    <col min="5891" max="5891" width="8.85546875" style="498"/>
    <col min="5892" max="5892" width="10.42578125" style="498" bestFit="1" customWidth="1"/>
    <col min="5893" max="5893" width="9.7109375" style="498" bestFit="1" customWidth="1"/>
    <col min="5894" max="5894" width="8.85546875" style="498"/>
    <col min="5895" max="5895" width="9.7109375" style="498" bestFit="1" customWidth="1"/>
    <col min="5896" max="5898" width="14.42578125" style="498" customWidth="1"/>
    <col min="5899" max="6144" width="8.85546875" style="498"/>
    <col min="6145" max="6145" width="5.28515625" style="498" customWidth="1"/>
    <col min="6146" max="6146" width="13" style="498" customWidth="1"/>
    <col min="6147" max="6147" width="8.85546875" style="498"/>
    <col min="6148" max="6148" width="10.42578125" style="498" bestFit="1" customWidth="1"/>
    <col min="6149" max="6149" width="9.7109375" style="498" bestFit="1" customWidth="1"/>
    <col min="6150" max="6150" width="8.85546875" style="498"/>
    <col min="6151" max="6151" width="9.7109375" style="498" bestFit="1" customWidth="1"/>
    <col min="6152" max="6154" width="14.42578125" style="498" customWidth="1"/>
    <col min="6155" max="6400" width="8.85546875" style="498"/>
    <col min="6401" max="6401" width="5.28515625" style="498" customWidth="1"/>
    <col min="6402" max="6402" width="13" style="498" customWidth="1"/>
    <col min="6403" max="6403" width="8.85546875" style="498"/>
    <col min="6404" max="6404" width="10.42578125" style="498" bestFit="1" customWidth="1"/>
    <col min="6405" max="6405" width="9.7109375" style="498" bestFit="1" customWidth="1"/>
    <col min="6406" max="6406" width="8.85546875" style="498"/>
    <col min="6407" max="6407" width="9.7109375" style="498" bestFit="1" customWidth="1"/>
    <col min="6408" max="6410" width="14.42578125" style="498" customWidth="1"/>
    <col min="6411" max="6656" width="8.85546875" style="498"/>
    <col min="6657" max="6657" width="5.28515625" style="498" customWidth="1"/>
    <col min="6658" max="6658" width="13" style="498" customWidth="1"/>
    <col min="6659" max="6659" width="8.85546875" style="498"/>
    <col min="6660" max="6660" width="10.42578125" style="498" bestFit="1" customWidth="1"/>
    <col min="6661" max="6661" width="9.7109375" style="498" bestFit="1" customWidth="1"/>
    <col min="6662" max="6662" width="8.85546875" style="498"/>
    <col min="6663" max="6663" width="9.7109375" style="498" bestFit="1" customWidth="1"/>
    <col min="6664" max="6666" width="14.42578125" style="498" customWidth="1"/>
    <col min="6667" max="6912" width="8.85546875" style="498"/>
    <col min="6913" max="6913" width="5.28515625" style="498" customWidth="1"/>
    <col min="6914" max="6914" width="13" style="498" customWidth="1"/>
    <col min="6915" max="6915" width="8.85546875" style="498"/>
    <col min="6916" max="6916" width="10.42578125" style="498" bestFit="1" customWidth="1"/>
    <col min="6917" max="6917" width="9.7109375" style="498" bestFit="1" customWidth="1"/>
    <col min="6918" max="6918" width="8.85546875" style="498"/>
    <col min="6919" max="6919" width="9.7109375" style="498" bestFit="1" customWidth="1"/>
    <col min="6920" max="6922" width="14.42578125" style="498" customWidth="1"/>
    <col min="6923" max="7168" width="8.85546875" style="498"/>
    <col min="7169" max="7169" width="5.28515625" style="498" customWidth="1"/>
    <col min="7170" max="7170" width="13" style="498" customWidth="1"/>
    <col min="7171" max="7171" width="8.85546875" style="498"/>
    <col min="7172" max="7172" width="10.42578125" style="498" bestFit="1" customWidth="1"/>
    <col min="7173" max="7173" width="9.7109375" style="498" bestFit="1" customWidth="1"/>
    <col min="7174" max="7174" width="8.85546875" style="498"/>
    <col min="7175" max="7175" width="9.7109375" style="498" bestFit="1" customWidth="1"/>
    <col min="7176" max="7178" width="14.42578125" style="498" customWidth="1"/>
    <col min="7179" max="7424" width="8.85546875" style="498"/>
    <col min="7425" max="7425" width="5.28515625" style="498" customWidth="1"/>
    <col min="7426" max="7426" width="13" style="498" customWidth="1"/>
    <col min="7427" max="7427" width="8.85546875" style="498"/>
    <col min="7428" max="7428" width="10.42578125" style="498" bestFit="1" customWidth="1"/>
    <col min="7429" max="7429" width="9.7109375" style="498" bestFit="1" customWidth="1"/>
    <col min="7430" max="7430" width="8.85546875" style="498"/>
    <col min="7431" max="7431" width="9.7109375" style="498" bestFit="1" customWidth="1"/>
    <col min="7432" max="7434" width="14.42578125" style="498" customWidth="1"/>
    <col min="7435" max="7680" width="8.85546875" style="498"/>
    <col min="7681" max="7681" width="5.28515625" style="498" customWidth="1"/>
    <col min="7682" max="7682" width="13" style="498" customWidth="1"/>
    <col min="7683" max="7683" width="8.85546875" style="498"/>
    <col min="7684" max="7684" width="10.42578125" style="498" bestFit="1" customWidth="1"/>
    <col min="7685" max="7685" width="9.7109375" style="498" bestFit="1" customWidth="1"/>
    <col min="7686" max="7686" width="8.85546875" style="498"/>
    <col min="7687" max="7687" width="9.7109375" style="498" bestFit="1" customWidth="1"/>
    <col min="7688" max="7690" width="14.42578125" style="498" customWidth="1"/>
    <col min="7691" max="7936" width="8.85546875" style="498"/>
    <col min="7937" max="7937" width="5.28515625" style="498" customWidth="1"/>
    <col min="7938" max="7938" width="13" style="498" customWidth="1"/>
    <col min="7939" max="7939" width="8.85546875" style="498"/>
    <col min="7940" max="7940" width="10.42578125" style="498" bestFit="1" customWidth="1"/>
    <col min="7941" max="7941" width="9.7109375" style="498" bestFit="1" customWidth="1"/>
    <col min="7942" max="7942" width="8.85546875" style="498"/>
    <col min="7943" max="7943" width="9.7109375" style="498" bestFit="1" customWidth="1"/>
    <col min="7944" max="7946" width="14.42578125" style="498" customWidth="1"/>
    <col min="7947" max="8192" width="8.85546875" style="498"/>
    <col min="8193" max="8193" width="5.28515625" style="498" customWidth="1"/>
    <col min="8194" max="8194" width="13" style="498" customWidth="1"/>
    <col min="8195" max="8195" width="8.85546875" style="498"/>
    <col min="8196" max="8196" width="10.42578125" style="498" bestFit="1" customWidth="1"/>
    <col min="8197" max="8197" width="9.7109375" style="498" bestFit="1" customWidth="1"/>
    <col min="8198" max="8198" width="8.85546875" style="498"/>
    <col min="8199" max="8199" width="9.7109375" style="498" bestFit="1" customWidth="1"/>
    <col min="8200" max="8202" width="14.42578125" style="498" customWidth="1"/>
    <col min="8203" max="8448" width="8.85546875" style="498"/>
    <col min="8449" max="8449" width="5.28515625" style="498" customWidth="1"/>
    <col min="8450" max="8450" width="13" style="498" customWidth="1"/>
    <col min="8451" max="8451" width="8.85546875" style="498"/>
    <col min="8452" max="8452" width="10.42578125" style="498" bestFit="1" customWidth="1"/>
    <col min="8453" max="8453" width="9.7109375" style="498" bestFit="1" customWidth="1"/>
    <col min="8454" max="8454" width="8.85546875" style="498"/>
    <col min="8455" max="8455" width="9.7109375" style="498" bestFit="1" customWidth="1"/>
    <col min="8456" max="8458" width="14.42578125" style="498" customWidth="1"/>
    <col min="8459" max="8704" width="8.85546875" style="498"/>
    <col min="8705" max="8705" width="5.28515625" style="498" customWidth="1"/>
    <col min="8706" max="8706" width="13" style="498" customWidth="1"/>
    <col min="8707" max="8707" width="8.85546875" style="498"/>
    <col min="8708" max="8708" width="10.42578125" style="498" bestFit="1" customWidth="1"/>
    <col min="8709" max="8709" width="9.7109375" style="498" bestFit="1" customWidth="1"/>
    <col min="8710" max="8710" width="8.85546875" style="498"/>
    <col min="8711" max="8711" width="9.7109375" style="498" bestFit="1" customWidth="1"/>
    <col min="8712" max="8714" width="14.42578125" style="498" customWidth="1"/>
    <col min="8715" max="8960" width="8.85546875" style="498"/>
    <col min="8961" max="8961" width="5.28515625" style="498" customWidth="1"/>
    <col min="8962" max="8962" width="13" style="498" customWidth="1"/>
    <col min="8963" max="8963" width="8.85546875" style="498"/>
    <col min="8964" max="8964" width="10.42578125" style="498" bestFit="1" customWidth="1"/>
    <col min="8965" max="8965" width="9.7109375" style="498" bestFit="1" customWidth="1"/>
    <col min="8966" max="8966" width="8.85546875" style="498"/>
    <col min="8967" max="8967" width="9.7109375" style="498" bestFit="1" customWidth="1"/>
    <col min="8968" max="8970" width="14.42578125" style="498" customWidth="1"/>
    <col min="8971" max="9216" width="8.85546875" style="498"/>
    <col min="9217" max="9217" width="5.28515625" style="498" customWidth="1"/>
    <col min="9218" max="9218" width="13" style="498" customWidth="1"/>
    <col min="9219" max="9219" width="8.85546875" style="498"/>
    <col min="9220" max="9220" width="10.42578125" style="498" bestFit="1" customWidth="1"/>
    <col min="9221" max="9221" width="9.7109375" style="498" bestFit="1" customWidth="1"/>
    <col min="9222" max="9222" width="8.85546875" style="498"/>
    <col min="9223" max="9223" width="9.7109375" style="498" bestFit="1" customWidth="1"/>
    <col min="9224" max="9226" width="14.42578125" style="498" customWidth="1"/>
    <col min="9227" max="9472" width="8.85546875" style="498"/>
    <col min="9473" max="9473" width="5.28515625" style="498" customWidth="1"/>
    <col min="9474" max="9474" width="13" style="498" customWidth="1"/>
    <col min="9475" max="9475" width="8.85546875" style="498"/>
    <col min="9476" max="9476" width="10.42578125" style="498" bestFit="1" customWidth="1"/>
    <col min="9477" max="9477" width="9.7109375" style="498" bestFit="1" customWidth="1"/>
    <col min="9478" max="9478" width="8.85546875" style="498"/>
    <col min="9479" max="9479" width="9.7109375" style="498" bestFit="1" customWidth="1"/>
    <col min="9480" max="9482" width="14.42578125" style="498" customWidth="1"/>
    <col min="9483" max="9728" width="8.85546875" style="498"/>
    <col min="9729" max="9729" width="5.28515625" style="498" customWidth="1"/>
    <col min="9730" max="9730" width="13" style="498" customWidth="1"/>
    <col min="9731" max="9731" width="8.85546875" style="498"/>
    <col min="9732" max="9732" width="10.42578125" style="498" bestFit="1" customWidth="1"/>
    <col min="9733" max="9733" width="9.7109375" style="498" bestFit="1" customWidth="1"/>
    <col min="9734" max="9734" width="8.85546875" style="498"/>
    <col min="9735" max="9735" width="9.7109375" style="498" bestFit="1" customWidth="1"/>
    <col min="9736" max="9738" width="14.42578125" style="498" customWidth="1"/>
    <col min="9739" max="9984" width="8.85546875" style="498"/>
    <col min="9985" max="9985" width="5.28515625" style="498" customWidth="1"/>
    <col min="9986" max="9986" width="13" style="498" customWidth="1"/>
    <col min="9987" max="9987" width="8.85546875" style="498"/>
    <col min="9988" max="9988" width="10.42578125" style="498" bestFit="1" customWidth="1"/>
    <col min="9989" max="9989" width="9.7109375" style="498" bestFit="1" customWidth="1"/>
    <col min="9990" max="9990" width="8.85546875" style="498"/>
    <col min="9991" max="9991" width="9.7109375" style="498" bestFit="1" customWidth="1"/>
    <col min="9992" max="9994" width="14.42578125" style="498" customWidth="1"/>
    <col min="9995" max="10240" width="8.85546875" style="498"/>
    <col min="10241" max="10241" width="5.28515625" style="498" customWidth="1"/>
    <col min="10242" max="10242" width="13" style="498" customWidth="1"/>
    <col min="10243" max="10243" width="8.85546875" style="498"/>
    <col min="10244" max="10244" width="10.42578125" style="498" bestFit="1" customWidth="1"/>
    <col min="10245" max="10245" width="9.7109375" style="498" bestFit="1" customWidth="1"/>
    <col min="10246" max="10246" width="8.85546875" style="498"/>
    <col min="10247" max="10247" width="9.7109375" style="498" bestFit="1" customWidth="1"/>
    <col min="10248" max="10250" width="14.42578125" style="498" customWidth="1"/>
    <col min="10251" max="10496" width="8.85546875" style="498"/>
    <col min="10497" max="10497" width="5.28515625" style="498" customWidth="1"/>
    <col min="10498" max="10498" width="13" style="498" customWidth="1"/>
    <col min="10499" max="10499" width="8.85546875" style="498"/>
    <col min="10500" max="10500" width="10.42578125" style="498" bestFit="1" customWidth="1"/>
    <col min="10501" max="10501" width="9.7109375" style="498" bestFit="1" customWidth="1"/>
    <col min="10502" max="10502" width="8.85546875" style="498"/>
    <col min="10503" max="10503" width="9.7109375" style="498" bestFit="1" customWidth="1"/>
    <col min="10504" max="10506" width="14.42578125" style="498" customWidth="1"/>
    <col min="10507" max="10752" width="8.85546875" style="498"/>
    <col min="10753" max="10753" width="5.28515625" style="498" customWidth="1"/>
    <col min="10754" max="10754" width="13" style="498" customWidth="1"/>
    <col min="10755" max="10755" width="8.85546875" style="498"/>
    <col min="10756" max="10756" width="10.42578125" style="498" bestFit="1" customWidth="1"/>
    <col min="10757" max="10757" width="9.7109375" style="498" bestFit="1" customWidth="1"/>
    <col min="10758" max="10758" width="8.85546875" style="498"/>
    <col min="10759" max="10759" width="9.7109375" style="498" bestFit="1" customWidth="1"/>
    <col min="10760" max="10762" width="14.42578125" style="498" customWidth="1"/>
    <col min="10763" max="11008" width="8.85546875" style="498"/>
    <col min="11009" max="11009" width="5.28515625" style="498" customWidth="1"/>
    <col min="11010" max="11010" width="13" style="498" customWidth="1"/>
    <col min="11011" max="11011" width="8.85546875" style="498"/>
    <col min="11012" max="11012" width="10.42578125" style="498" bestFit="1" customWidth="1"/>
    <col min="11013" max="11013" width="9.7109375" style="498" bestFit="1" customWidth="1"/>
    <col min="11014" max="11014" width="8.85546875" style="498"/>
    <col min="11015" max="11015" width="9.7109375" style="498" bestFit="1" customWidth="1"/>
    <col min="11016" max="11018" width="14.42578125" style="498" customWidth="1"/>
    <col min="11019" max="11264" width="8.85546875" style="498"/>
    <col min="11265" max="11265" width="5.28515625" style="498" customWidth="1"/>
    <col min="11266" max="11266" width="13" style="498" customWidth="1"/>
    <col min="11267" max="11267" width="8.85546875" style="498"/>
    <col min="11268" max="11268" width="10.42578125" style="498" bestFit="1" customWidth="1"/>
    <col min="11269" max="11269" width="9.7109375" style="498" bestFit="1" customWidth="1"/>
    <col min="11270" max="11270" width="8.85546875" style="498"/>
    <col min="11271" max="11271" width="9.7109375" style="498" bestFit="1" customWidth="1"/>
    <col min="11272" max="11274" width="14.42578125" style="498" customWidth="1"/>
    <col min="11275" max="11520" width="8.85546875" style="498"/>
    <col min="11521" max="11521" width="5.28515625" style="498" customWidth="1"/>
    <col min="11522" max="11522" width="13" style="498" customWidth="1"/>
    <col min="11523" max="11523" width="8.85546875" style="498"/>
    <col min="11524" max="11524" width="10.42578125" style="498" bestFit="1" customWidth="1"/>
    <col min="11525" max="11525" width="9.7109375" style="498" bestFit="1" customWidth="1"/>
    <col min="11526" max="11526" width="8.85546875" style="498"/>
    <col min="11527" max="11527" width="9.7109375" style="498" bestFit="1" customWidth="1"/>
    <col min="11528" max="11530" width="14.42578125" style="498" customWidth="1"/>
    <col min="11531" max="11776" width="8.85546875" style="498"/>
    <col min="11777" max="11777" width="5.28515625" style="498" customWidth="1"/>
    <col min="11778" max="11778" width="13" style="498" customWidth="1"/>
    <col min="11779" max="11779" width="8.85546875" style="498"/>
    <col min="11780" max="11780" width="10.42578125" style="498" bestFit="1" customWidth="1"/>
    <col min="11781" max="11781" width="9.7109375" style="498" bestFit="1" customWidth="1"/>
    <col min="11782" max="11782" width="8.85546875" style="498"/>
    <col min="11783" max="11783" width="9.7109375" style="498" bestFit="1" customWidth="1"/>
    <col min="11784" max="11786" width="14.42578125" style="498" customWidth="1"/>
    <col min="11787" max="12032" width="8.85546875" style="498"/>
    <col min="12033" max="12033" width="5.28515625" style="498" customWidth="1"/>
    <col min="12034" max="12034" width="13" style="498" customWidth="1"/>
    <col min="12035" max="12035" width="8.85546875" style="498"/>
    <col min="12036" max="12036" width="10.42578125" style="498" bestFit="1" customWidth="1"/>
    <col min="12037" max="12037" width="9.7109375" style="498" bestFit="1" customWidth="1"/>
    <col min="12038" max="12038" width="8.85546875" style="498"/>
    <col min="12039" max="12039" width="9.7109375" style="498" bestFit="1" customWidth="1"/>
    <col min="12040" max="12042" width="14.42578125" style="498" customWidth="1"/>
    <col min="12043" max="12288" width="8.85546875" style="498"/>
    <col min="12289" max="12289" width="5.28515625" style="498" customWidth="1"/>
    <col min="12290" max="12290" width="13" style="498" customWidth="1"/>
    <col min="12291" max="12291" width="8.85546875" style="498"/>
    <col min="12292" max="12292" width="10.42578125" style="498" bestFit="1" customWidth="1"/>
    <col min="12293" max="12293" width="9.7109375" style="498" bestFit="1" customWidth="1"/>
    <col min="12294" max="12294" width="8.85546875" style="498"/>
    <col min="12295" max="12295" width="9.7109375" style="498" bestFit="1" customWidth="1"/>
    <col min="12296" max="12298" width="14.42578125" style="498" customWidth="1"/>
    <col min="12299" max="12544" width="8.85546875" style="498"/>
    <col min="12545" max="12545" width="5.28515625" style="498" customWidth="1"/>
    <col min="12546" max="12546" width="13" style="498" customWidth="1"/>
    <col min="12547" max="12547" width="8.85546875" style="498"/>
    <col min="12548" max="12548" width="10.42578125" style="498" bestFit="1" customWidth="1"/>
    <col min="12549" max="12549" width="9.7109375" style="498" bestFit="1" customWidth="1"/>
    <col min="12550" max="12550" width="8.85546875" style="498"/>
    <col min="12551" max="12551" width="9.7109375" style="498" bestFit="1" customWidth="1"/>
    <col min="12552" max="12554" width="14.42578125" style="498" customWidth="1"/>
    <col min="12555" max="12800" width="8.85546875" style="498"/>
    <col min="12801" max="12801" width="5.28515625" style="498" customWidth="1"/>
    <col min="12802" max="12802" width="13" style="498" customWidth="1"/>
    <col min="12803" max="12803" width="8.85546875" style="498"/>
    <col min="12804" max="12804" width="10.42578125" style="498" bestFit="1" customWidth="1"/>
    <col min="12805" max="12805" width="9.7109375" style="498" bestFit="1" customWidth="1"/>
    <col min="12806" max="12806" width="8.85546875" style="498"/>
    <col min="12807" max="12807" width="9.7109375" style="498" bestFit="1" customWidth="1"/>
    <col min="12808" max="12810" width="14.42578125" style="498" customWidth="1"/>
    <col min="12811" max="13056" width="8.85546875" style="498"/>
    <col min="13057" max="13057" width="5.28515625" style="498" customWidth="1"/>
    <col min="13058" max="13058" width="13" style="498" customWidth="1"/>
    <col min="13059" max="13059" width="8.85546875" style="498"/>
    <col min="13060" max="13060" width="10.42578125" style="498" bestFit="1" customWidth="1"/>
    <col min="13061" max="13061" width="9.7109375" style="498" bestFit="1" customWidth="1"/>
    <col min="13062" max="13062" width="8.85546875" style="498"/>
    <col min="13063" max="13063" width="9.7109375" style="498" bestFit="1" customWidth="1"/>
    <col min="13064" max="13066" width="14.42578125" style="498" customWidth="1"/>
    <col min="13067" max="13312" width="8.85546875" style="498"/>
    <col min="13313" max="13313" width="5.28515625" style="498" customWidth="1"/>
    <col min="13314" max="13314" width="13" style="498" customWidth="1"/>
    <col min="13315" max="13315" width="8.85546875" style="498"/>
    <col min="13316" max="13316" width="10.42578125" style="498" bestFit="1" customWidth="1"/>
    <col min="13317" max="13317" width="9.7109375" style="498" bestFit="1" customWidth="1"/>
    <col min="13318" max="13318" width="8.85546875" style="498"/>
    <col min="13319" max="13319" width="9.7109375" style="498" bestFit="1" customWidth="1"/>
    <col min="13320" max="13322" width="14.42578125" style="498" customWidth="1"/>
    <col min="13323" max="13568" width="8.85546875" style="498"/>
    <col min="13569" max="13569" width="5.28515625" style="498" customWidth="1"/>
    <col min="13570" max="13570" width="13" style="498" customWidth="1"/>
    <col min="13571" max="13571" width="8.85546875" style="498"/>
    <col min="13572" max="13572" width="10.42578125" style="498" bestFit="1" customWidth="1"/>
    <col min="13573" max="13573" width="9.7109375" style="498" bestFit="1" customWidth="1"/>
    <col min="13574" max="13574" width="8.85546875" style="498"/>
    <col min="13575" max="13575" width="9.7109375" style="498" bestFit="1" customWidth="1"/>
    <col min="13576" max="13578" width="14.42578125" style="498" customWidth="1"/>
    <col min="13579" max="13824" width="8.85546875" style="498"/>
    <col min="13825" max="13825" width="5.28515625" style="498" customWidth="1"/>
    <col min="13826" max="13826" width="13" style="498" customWidth="1"/>
    <col min="13827" max="13827" width="8.85546875" style="498"/>
    <col min="13828" max="13828" width="10.42578125" style="498" bestFit="1" customWidth="1"/>
    <col min="13829" max="13829" width="9.7109375" style="498" bestFit="1" customWidth="1"/>
    <col min="13830" max="13830" width="8.85546875" style="498"/>
    <col min="13831" max="13831" width="9.7109375" style="498" bestFit="1" customWidth="1"/>
    <col min="13832" max="13834" width="14.42578125" style="498" customWidth="1"/>
    <col min="13835" max="14080" width="8.85546875" style="498"/>
    <col min="14081" max="14081" width="5.28515625" style="498" customWidth="1"/>
    <col min="14082" max="14082" width="13" style="498" customWidth="1"/>
    <col min="14083" max="14083" width="8.85546875" style="498"/>
    <col min="14084" max="14084" width="10.42578125" style="498" bestFit="1" customWidth="1"/>
    <col min="14085" max="14085" width="9.7109375" style="498" bestFit="1" customWidth="1"/>
    <col min="14086" max="14086" width="8.85546875" style="498"/>
    <col min="14087" max="14087" width="9.7109375" style="498" bestFit="1" customWidth="1"/>
    <col min="14088" max="14090" width="14.42578125" style="498" customWidth="1"/>
    <col min="14091" max="14336" width="8.85546875" style="498"/>
    <col min="14337" max="14337" width="5.28515625" style="498" customWidth="1"/>
    <col min="14338" max="14338" width="13" style="498" customWidth="1"/>
    <col min="14339" max="14339" width="8.85546875" style="498"/>
    <col min="14340" max="14340" width="10.42578125" style="498" bestFit="1" customWidth="1"/>
    <col min="14341" max="14341" width="9.7109375" style="498" bestFit="1" customWidth="1"/>
    <col min="14342" max="14342" width="8.85546875" style="498"/>
    <col min="14343" max="14343" width="9.7109375" style="498" bestFit="1" customWidth="1"/>
    <col min="14344" max="14346" width="14.42578125" style="498" customWidth="1"/>
    <col min="14347" max="14592" width="8.85546875" style="498"/>
    <col min="14593" max="14593" width="5.28515625" style="498" customWidth="1"/>
    <col min="14594" max="14594" width="13" style="498" customWidth="1"/>
    <col min="14595" max="14595" width="8.85546875" style="498"/>
    <col min="14596" max="14596" width="10.42578125" style="498" bestFit="1" customWidth="1"/>
    <col min="14597" max="14597" width="9.7109375" style="498" bestFit="1" customWidth="1"/>
    <col min="14598" max="14598" width="8.85546875" style="498"/>
    <col min="14599" max="14599" width="9.7109375" style="498" bestFit="1" customWidth="1"/>
    <col min="14600" max="14602" width="14.42578125" style="498" customWidth="1"/>
    <col min="14603" max="14848" width="8.85546875" style="498"/>
    <col min="14849" max="14849" width="5.28515625" style="498" customWidth="1"/>
    <col min="14850" max="14850" width="13" style="498" customWidth="1"/>
    <col min="14851" max="14851" width="8.85546875" style="498"/>
    <col min="14852" max="14852" width="10.42578125" style="498" bestFit="1" customWidth="1"/>
    <col min="14853" max="14853" width="9.7109375" style="498" bestFit="1" customWidth="1"/>
    <col min="14854" max="14854" width="8.85546875" style="498"/>
    <col min="14855" max="14855" width="9.7109375" style="498" bestFit="1" customWidth="1"/>
    <col min="14856" max="14858" width="14.42578125" style="498" customWidth="1"/>
    <col min="14859" max="15104" width="8.85546875" style="498"/>
    <col min="15105" max="15105" width="5.28515625" style="498" customWidth="1"/>
    <col min="15106" max="15106" width="13" style="498" customWidth="1"/>
    <col min="15107" max="15107" width="8.85546875" style="498"/>
    <col min="15108" max="15108" width="10.42578125" style="498" bestFit="1" customWidth="1"/>
    <col min="15109" max="15109" width="9.7109375" style="498" bestFit="1" customWidth="1"/>
    <col min="15110" max="15110" width="8.85546875" style="498"/>
    <col min="15111" max="15111" width="9.7109375" style="498" bestFit="1" customWidth="1"/>
    <col min="15112" max="15114" width="14.42578125" style="498" customWidth="1"/>
    <col min="15115" max="15360" width="8.85546875" style="498"/>
    <col min="15361" max="15361" width="5.28515625" style="498" customWidth="1"/>
    <col min="15362" max="15362" width="13" style="498" customWidth="1"/>
    <col min="15363" max="15363" width="8.85546875" style="498"/>
    <col min="15364" max="15364" width="10.42578125" style="498" bestFit="1" customWidth="1"/>
    <col min="15365" max="15365" width="9.7109375" style="498" bestFit="1" customWidth="1"/>
    <col min="15366" max="15366" width="8.85546875" style="498"/>
    <col min="15367" max="15367" width="9.7109375" style="498" bestFit="1" customWidth="1"/>
    <col min="15368" max="15370" width="14.42578125" style="498" customWidth="1"/>
    <col min="15371" max="15616" width="8.85546875" style="498"/>
    <col min="15617" max="15617" width="5.28515625" style="498" customWidth="1"/>
    <col min="15618" max="15618" width="13" style="498" customWidth="1"/>
    <col min="15619" max="15619" width="8.85546875" style="498"/>
    <col min="15620" max="15620" width="10.42578125" style="498" bestFit="1" customWidth="1"/>
    <col min="15621" max="15621" width="9.7109375" style="498" bestFit="1" customWidth="1"/>
    <col min="15622" max="15622" width="8.85546875" style="498"/>
    <col min="15623" max="15623" width="9.7109375" style="498" bestFit="1" customWidth="1"/>
    <col min="15624" max="15626" width="14.42578125" style="498" customWidth="1"/>
    <col min="15627" max="15872" width="8.85546875" style="498"/>
    <col min="15873" max="15873" width="5.28515625" style="498" customWidth="1"/>
    <col min="15874" max="15874" width="13" style="498" customWidth="1"/>
    <col min="15875" max="15875" width="8.85546875" style="498"/>
    <col min="15876" max="15876" width="10.42578125" style="498" bestFit="1" customWidth="1"/>
    <col min="15877" max="15877" width="9.7109375" style="498" bestFit="1" customWidth="1"/>
    <col min="15878" max="15878" width="8.85546875" style="498"/>
    <col min="15879" max="15879" width="9.7109375" style="498" bestFit="1" customWidth="1"/>
    <col min="15880" max="15882" width="14.42578125" style="498" customWidth="1"/>
    <col min="15883" max="16128" width="8.85546875" style="498"/>
    <col min="16129" max="16129" width="5.28515625" style="498" customWidth="1"/>
    <col min="16130" max="16130" width="13" style="498" customWidth="1"/>
    <col min="16131" max="16131" width="8.85546875" style="498"/>
    <col min="16132" max="16132" width="10.42578125" style="498" bestFit="1" customWidth="1"/>
    <col min="16133" max="16133" width="9.7109375" style="498" bestFit="1" customWidth="1"/>
    <col min="16134" max="16134" width="8.85546875" style="498"/>
    <col min="16135" max="16135" width="9.7109375" style="498" bestFit="1" customWidth="1"/>
    <col min="16136" max="16138" width="14.42578125" style="498" customWidth="1"/>
    <col min="16139" max="16384" width="8.85546875" style="498"/>
  </cols>
  <sheetData>
    <row r="1" spans="2:12" ht="15.75">
      <c r="B1" s="497" t="s">
        <v>3944</v>
      </c>
    </row>
    <row r="2" spans="2:12">
      <c r="B2" s="498" t="s">
        <v>3945</v>
      </c>
    </row>
    <row r="3" spans="2:12">
      <c r="B3" s="498" t="s">
        <v>3946</v>
      </c>
    </row>
    <row r="4" spans="2:12">
      <c r="B4" s="498" t="s">
        <v>3947</v>
      </c>
    </row>
    <row r="5" spans="2:12">
      <c r="B5" s="498" t="s">
        <v>3948</v>
      </c>
    </row>
    <row r="10" spans="2:12" ht="15">
      <c r="B10" s="499"/>
      <c r="C10" s="500"/>
      <c r="D10" s="501" t="s">
        <v>3949</v>
      </c>
      <c r="F10" s="502"/>
      <c r="G10" s="502"/>
      <c r="H10" s="502"/>
    </row>
    <row r="11" spans="2:12" ht="13.5" thickBot="1">
      <c r="B11" s="503"/>
      <c r="C11" s="504"/>
    </row>
    <row r="12" spans="2:12" ht="13.5" thickBot="1">
      <c r="B12" s="505" t="s">
        <v>359</v>
      </c>
      <c r="C12" s="506" t="s">
        <v>3950</v>
      </c>
      <c r="D12" s="506" t="s">
        <v>3951</v>
      </c>
      <c r="E12" s="507" t="s">
        <v>3952</v>
      </c>
      <c r="G12" s="508" t="s">
        <v>359</v>
      </c>
      <c r="H12" s="509" t="s">
        <v>3950</v>
      </c>
      <c r="I12" s="509" t="s">
        <v>3951</v>
      </c>
      <c r="J12" s="510" t="s">
        <v>3952</v>
      </c>
      <c r="L12" s="498" t="s">
        <v>3936</v>
      </c>
    </row>
    <row r="13" spans="2:12" ht="13.5" thickBot="1">
      <c r="B13" s="511">
        <v>42125</v>
      </c>
      <c r="C13" s="512">
        <v>295</v>
      </c>
      <c r="D13" s="512">
        <v>5245</v>
      </c>
      <c r="E13" s="513">
        <v>1280</v>
      </c>
      <c r="G13" s="511">
        <v>38108</v>
      </c>
      <c r="H13" s="514">
        <f>C13/C$13*100</f>
        <v>100</v>
      </c>
      <c r="I13" s="514">
        <f t="shared" ref="H13:I20" si="0">D13/D$13*100</f>
        <v>100</v>
      </c>
      <c r="J13" s="514">
        <f t="shared" ref="J13:J20" si="1">E13/E$13*100</f>
        <v>100</v>
      </c>
    </row>
    <row r="14" spans="2:12" ht="13.5" thickBot="1">
      <c r="B14" s="511">
        <f>B13+1</f>
        <v>42126</v>
      </c>
      <c r="C14" s="512">
        <v>296</v>
      </c>
      <c r="D14" s="512">
        <v>5350</v>
      </c>
      <c r="E14" s="513">
        <v>1290</v>
      </c>
      <c r="G14" s="511">
        <v>38109</v>
      </c>
      <c r="H14" s="514">
        <f t="shared" ref="H14:H20" si="2">C14/C$13*100</f>
        <v>100.33898305084745</v>
      </c>
      <c r="I14" s="514">
        <f>D14/D$13*100</f>
        <v>102.00190657769303</v>
      </c>
      <c r="J14" s="514">
        <f t="shared" si="1"/>
        <v>100.78125</v>
      </c>
      <c r="L14" s="576">
        <f>G14/G$13*100</f>
        <v>100.00262412091949</v>
      </c>
    </row>
    <row r="15" spans="2:12" ht="13.5" thickBot="1">
      <c r="B15" s="511">
        <f t="shared" ref="B15:B20" si="3">B14+1</f>
        <v>42127</v>
      </c>
      <c r="C15" s="512">
        <v>298</v>
      </c>
      <c r="D15" s="512">
        <v>5400</v>
      </c>
      <c r="E15" s="513">
        <v>1320</v>
      </c>
      <c r="G15" s="511">
        <v>38110</v>
      </c>
      <c r="H15" s="514">
        <f t="shared" si="0"/>
        <v>101.01694915254238</v>
      </c>
      <c r="I15" s="514">
        <f>D15/D$13*100</f>
        <v>102.95519542421354</v>
      </c>
      <c r="J15" s="514">
        <f t="shared" si="1"/>
        <v>103.125</v>
      </c>
      <c r="L15" s="576">
        <f t="shared" ref="L15:L17" si="4">G15/G$13*100</f>
        <v>100.00524824183898</v>
      </c>
    </row>
    <row r="16" spans="2:12" ht="13.5" thickBot="1">
      <c r="B16" s="511">
        <f t="shared" si="3"/>
        <v>42128</v>
      </c>
      <c r="C16" s="512">
        <v>305</v>
      </c>
      <c r="D16" s="512">
        <v>5100</v>
      </c>
      <c r="E16" s="513">
        <v>1380</v>
      </c>
      <c r="G16" s="511">
        <v>38111</v>
      </c>
      <c r="H16" s="514">
        <f t="shared" si="2"/>
        <v>103.38983050847457</v>
      </c>
      <c r="I16" s="514">
        <f t="shared" si="0"/>
        <v>97.235462345090568</v>
      </c>
      <c r="J16" s="514">
        <f t="shared" si="1"/>
        <v>107.8125</v>
      </c>
      <c r="L16" s="576">
        <f t="shared" si="4"/>
        <v>100.00787236275848</v>
      </c>
    </row>
    <row r="17" spans="2:13" ht="13.5" thickBot="1">
      <c r="B17" s="511">
        <f t="shared" si="3"/>
        <v>42129</v>
      </c>
      <c r="C17" s="512">
        <v>318</v>
      </c>
      <c r="D17" s="512">
        <v>4950</v>
      </c>
      <c r="E17" s="513">
        <v>1450</v>
      </c>
      <c r="G17" s="511">
        <v>38112</v>
      </c>
      <c r="H17" s="514">
        <f t="shared" si="2"/>
        <v>107.79661016949153</v>
      </c>
      <c r="I17" s="514">
        <f t="shared" si="0"/>
        <v>94.375595805529073</v>
      </c>
      <c r="J17" s="514">
        <f t="shared" si="1"/>
        <v>113.28125</v>
      </c>
      <c r="L17" s="576">
        <f t="shared" si="4"/>
        <v>100.01049648367797</v>
      </c>
    </row>
    <row r="18" spans="2:13" ht="13.5" thickBot="1">
      <c r="B18" s="511">
        <f t="shared" si="3"/>
        <v>42130</v>
      </c>
      <c r="C18" s="512">
        <v>310</v>
      </c>
      <c r="D18" s="512">
        <v>5100</v>
      </c>
      <c r="E18" s="513">
        <v>1420</v>
      </c>
      <c r="G18" s="511">
        <v>38113</v>
      </c>
      <c r="H18" s="514">
        <f t="shared" si="2"/>
        <v>105.08474576271188</v>
      </c>
      <c r="I18" s="514">
        <f t="shared" si="0"/>
        <v>97.235462345090568</v>
      </c>
      <c r="J18" s="514">
        <f t="shared" si="1"/>
        <v>110.9375</v>
      </c>
    </row>
    <row r="19" spans="2:13" ht="13.5" thickBot="1">
      <c r="B19" s="511">
        <f t="shared" si="3"/>
        <v>42131</v>
      </c>
      <c r="C19" s="512">
        <v>305</v>
      </c>
      <c r="D19" s="512">
        <v>5250</v>
      </c>
      <c r="E19" s="513">
        <v>1410</v>
      </c>
      <c r="G19" s="511">
        <v>38114</v>
      </c>
      <c r="H19" s="514">
        <f t="shared" si="2"/>
        <v>103.38983050847457</v>
      </c>
      <c r="I19" s="514">
        <f t="shared" si="0"/>
        <v>100.09532888465205</v>
      </c>
      <c r="J19" s="514">
        <f t="shared" si="1"/>
        <v>110.15625</v>
      </c>
    </row>
    <row r="20" spans="2:13" ht="13.5" thickBot="1">
      <c r="B20" s="511">
        <f t="shared" si="3"/>
        <v>42132</v>
      </c>
      <c r="C20" s="516">
        <v>300</v>
      </c>
      <c r="D20" s="516">
        <v>5275</v>
      </c>
      <c r="E20" s="517">
        <v>1400</v>
      </c>
      <c r="G20" s="515">
        <v>38115</v>
      </c>
      <c r="H20" s="514">
        <f t="shared" si="2"/>
        <v>101.69491525423729</v>
      </c>
      <c r="I20" s="514">
        <f t="shared" si="0"/>
        <v>100.5719733079123</v>
      </c>
      <c r="J20" s="514">
        <f t="shared" si="1"/>
        <v>109.375</v>
      </c>
    </row>
    <row r="21" spans="2:13">
      <c r="B21" s="518"/>
    </row>
    <row r="22" spans="2:13">
      <c r="B22" s="518"/>
    </row>
    <row r="23" spans="2:13">
      <c r="B23" s="518"/>
    </row>
    <row r="24" spans="2:13">
      <c r="B24" s="518"/>
    </row>
    <row r="25" spans="2:13">
      <c r="B25" s="518"/>
    </row>
    <row r="26" spans="2:13">
      <c r="B26" s="518"/>
    </row>
    <row r="27" spans="2:13">
      <c r="B27" s="518"/>
      <c r="M27" s="498" t="s">
        <v>3936</v>
      </c>
    </row>
    <row r="28" spans="2:13">
      <c r="B28" s="518"/>
    </row>
    <row r="29" spans="2:13">
      <c r="B29" s="518"/>
    </row>
    <row r="30" spans="2:13">
      <c r="B30" s="518"/>
    </row>
    <row r="31" spans="2:13">
      <c r="B31" s="518"/>
    </row>
    <row r="32" spans="2:13">
      <c r="B32" s="518"/>
    </row>
    <row r="33" spans="2:2">
      <c r="B33" s="518"/>
    </row>
    <row r="34" spans="2:2">
      <c r="B34" s="518"/>
    </row>
    <row r="35" spans="2:2">
      <c r="B35" s="518"/>
    </row>
    <row r="36" spans="2:2">
      <c r="B36" s="518"/>
    </row>
    <row r="37" spans="2:2">
      <c r="B37" s="518"/>
    </row>
    <row r="38" spans="2:2">
      <c r="B38" s="518"/>
    </row>
    <row r="39" spans="2:2">
      <c r="B39" s="518"/>
    </row>
    <row r="40" spans="2:2">
      <c r="B40" s="518"/>
    </row>
    <row r="41" spans="2:2">
      <c r="B41" s="518"/>
    </row>
    <row r="42" spans="2:2">
      <c r="B42" s="518"/>
    </row>
    <row r="43" spans="2:2">
      <c r="B43" s="518"/>
    </row>
    <row r="44" spans="2:2">
      <c r="B44" s="518"/>
    </row>
    <row r="45" spans="2:2">
      <c r="B45" s="518"/>
    </row>
    <row r="46" spans="2:2">
      <c r="B46" s="518"/>
    </row>
    <row r="47" spans="2:2">
      <c r="B47" s="518"/>
    </row>
    <row r="48" spans="2:2">
      <c r="B48" s="518"/>
    </row>
  </sheetData>
  <pageMargins left="0.75" right="0.75" top="1" bottom="1" header="0.5" footer="0.5"/>
  <headerFooter alignWithMargins="0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9">
    <tabColor rgb="FFFFC000"/>
  </sheetPr>
  <dimension ref="B3:D69"/>
  <sheetViews>
    <sheetView topLeftCell="A59" zoomScale="166" zoomScaleNormal="166" workbookViewId="0">
      <selection activeCell="C66" sqref="C66"/>
    </sheetView>
  </sheetViews>
  <sheetFormatPr defaultRowHeight="15"/>
  <cols>
    <col min="1" max="1" width="3.42578125" customWidth="1"/>
    <col min="2" max="2" width="15.140625" customWidth="1"/>
  </cols>
  <sheetData>
    <row r="3" spans="2:4" ht="15.75" thickBot="1"/>
    <row r="4" spans="2:4">
      <c r="B4" s="519" t="s">
        <v>980</v>
      </c>
      <c r="C4" s="520" t="s">
        <v>981</v>
      </c>
      <c r="D4" s="520" t="s">
        <v>982</v>
      </c>
    </row>
    <row r="5" spans="2:4">
      <c r="B5" s="526" t="s">
        <v>987</v>
      </c>
      <c r="C5" s="527">
        <v>2249</v>
      </c>
      <c r="D5" s="528">
        <v>363.83838383838383</v>
      </c>
    </row>
    <row r="6" spans="2:4">
      <c r="B6" s="526" t="s">
        <v>1024</v>
      </c>
      <c r="C6" s="527">
        <v>1419</v>
      </c>
      <c r="D6" s="528">
        <v>238.52941176470591</v>
      </c>
    </row>
    <row r="7" spans="2:4">
      <c r="B7" s="526" t="s">
        <v>1013</v>
      </c>
      <c r="C7" s="527">
        <v>800</v>
      </c>
      <c r="D7" s="528">
        <v>193.88888888888889</v>
      </c>
    </row>
    <row r="8" spans="2:4">
      <c r="B8" s="526" t="s">
        <v>1019</v>
      </c>
      <c r="C8" s="527">
        <v>719</v>
      </c>
      <c r="D8" s="528">
        <v>124.22413793103449</v>
      </c>
    </row>
    <row r="9" spans="2:4">
      <c r="B9" s="526" t="s">
        <v>991</v>
      </c>
      <c r="C9" s="527">
        <v>674</v>
      </c>
      <c r="D9" s="528">
        <v>95.865384615384613</v>
      </c>
    </row>
    <row r="10" spans="2:4">
      <c r="B10" s="526" t="s">
        <v>1003</v>
      </c>
      <c r="C10" s="527">
        <v>672</v>
      </c>
      <c r="D10" s="528">
        <v>100.98214285714286</v>
      </c>
    </row>
    <row r="11" spans="2:4">
      <c r="B11" s="526" t="s">
        <v>999</v>
      </c>
      <c r="C11" s="527">
        <v>577</v>
      </c>
      <c r="D11" s="528">
        <v>42.786885245901644</v>
      </c>
    </row>
    <row r="12" spans="2:4">
      <c r="B12" s="526" t="s">
        <v>1014</v>
      </c>
      <c r="C12" s="527">
        <v>555</v>
      </c>
      <c r="D12" s="528">
        <v>90.504201680672267</v>
      </c>
    </row>
    <row r="13" spans="2:4">
      <c r="B13" s="526" t="s">
        <v>1001</v>
      </c>
      <c r="C13" s="527">
        <v>553</v>
      </c>
      <c r="D13" s="528">
        <v>56.304347826086961</v>
      </c>
    </row>
    <row r="14" spans="2:4">
      <c r="B14" s="526" t="s">
        <v>1016</v>
      </c>
      <c r="C14" s="527">
        <v>486</v>
      </c>
      <c r="D14" s="528">
        <v>114.60176991150442</v>
      </c>
    </row>
    <row r="15" spans="2:4">
      <c r="B15" s="526" t="s">
        <v>985</v>
      </c>
      <c r="C15" s="527">
        <v>464</v>
      </c>
      <c r="D15" s="528">
        <v>63.5</v>
      </c>
    </row>
    <row r="16" spans="2:4">
      <c r="B16" s="526" t="s">
        <v>994</v>
      </c>
      <c r="C16" s="527">
        <v>463</v>
      </c>
      <c r="D16" s="528">
        <v>128.83720930232559</v>
      </c>
    </row>
    <row r="17" spans="2:4">
      <c r="B17" s="526" t="s">
        <v>1027</v>
      </c>
      <c r="C17" s="527">
        <v>406</v>
      </c>
      <c r="D17" s="528">
        <v>77.192982456140342</v>
      </c>
    </row>
    <row r="18" spans="2:4">
      <c r="B18" s="526" t="s">
        <v>1023</v>
      </c>
      <c r="C18" s="527">
        <v>397</v>
      </c>
      <c r="D18" s="528">
        <v>61.605839416058394</v>
      </c>
    </row>
    <row r="19" spans="2:4">
      <c r="B19" s="526" t="s">
        <v>983</v>
      </c>
      <c r="C19" s="527">
        <v>385</v>
      </c>
      <c r="D19" s="528">
        <v>46.25</v>
      </c>
    </row>
    <row r="20" spans="2:4">
      <c r="B20" s="526" t="s">
        <v>1011</v>
      </c>
      <c r="C20" s="527">
        <v>380</v>
      </c>
      <c r="D20" s="528">
        <v>86.376811594202891</v>
      </c>
    </row>
    <row r="21" spans="2:4">
      <c r="B21" s="526" t="s">
        <v>1006</v>
      </c>
      <c r="C21" s="527">
        <v>351</v>
      </c>
      <c r="D21" s="528">
        <v>58.978102189781026</v>
      </c>
    </row>
    <row r="22" spans="2:4">
      <c r="B22" s="526" t="s">
        <v>1021</v>
      </c>
      <c r="C22" s="527">
        <v>349</v>
      </c>
      <c r="D22" s="528">
        <v>44.166666666666664</v>
      </c>
    </row>
    <row r="23" spans="2:4">
      <c r="B23" s="526" t="s">
        <v>995</v>
      </c>
      <c r="C23" s="527">
        <v>333</v>
      </c>
      <c r="D23" s="528">
        <v>63.2</v>
      </c>
    </row>
    <row r="24" spans="2:4">
      <c r="B24" s="526" t="s">
        <v>1017</v>
      </c>
      <c r="C24" s="527">
        <v>222</v>
      </c>
      <c r="D24" s="528">
        <v>36.122448979591837</v>
      </c>
    </row>
    <row r="25" spans="2:4">
      <c r="B25" s="526" t="s">
        <v>998</v>
      </c>
      <c r="C25" s="527">
        <v>196</v>
      </c>
      <c r="D25" s="528">
        <v>42.41830065359477</v>
      </c>
    </row>
    <row r="26" spans="2:4">
      <c r="B26" s="526" t="s">
        <v>1009</v>
      </c>
      <c r="C26" s="527">
        <v>192</v>
      </c>
      <c r="D26" s="528">
        <v>25.597826086956523</v>
      </c>
    </row>
    <row r="27" spans="2:4">
      <c r="B27" s="526" t="s">
        <v>986</v>
      </c>
      <c r="C27" s="527">
        <v>191</v>
      </c>
      <c r="D27" s="528">
        <v>28.30985915492958</v>
      </c>
    </row>
    <row r="28" spans="2:4">
      <c r="B28" s="526" t="s">
        <v>1030</v>
      </c>
      <c r="C28" s="527">
        <v>182</v>
      </c>
      <c r="D28" s="528">
        <v>56.07692307692308</v>
      </c>
    </row>
    <row r="29" spans="2:4">
      <c r="B29" s="526" t="s">
        <v>1002</v>
      </c>
      <c r="C29" s="527">
        <v>182</v>
      </c>
      <c r="D29" s="528">
        <v>64.5</v>
      </c>
    </row>
    <row r="30" spans="2:4">
      <c r="B30" s="526" t="s">
        <v>1028</v>
      </c>
      <c r="C30" s="527">
        <v>170</v>
      </c>
      <c r="D30" s="528">
        <v>64.552238805970148</v>
      </c>
    </row>
    <row r="31" spans="2:4">
      <c r="B31" s="526" t="s">
        <v>1005</v>
      </c>
      <c r="C31" s="527">
        <v>152</v>
      </c>
      <c r="D31" s="528">
        <v>29.117647058823529</v>
      </c>
    </row>
    <row r="32" spans="2:4">
      <c r="B32" s="526" t="s">
        <v>988</v>
      </c>
      <c r="C32" s="527">
        <v>150</v>
      </c>
      <c r="D32" s="528">
        <v>48.562874251497007</v>
      </c>
    </row>
    <row r="33" spans="2:4">
      <c r="B33" s="526" t="s">
        <v>1012</v>
      </c>
      <c r="C33" s="527">
        <v>148</v>
      </c>
      <c r="D33" s="528">
        <v>19.656862745098042</v>
      </c>
    </row>
    <row r="34" spans="2:4">
      <c r="B34" s="526" t="s">
        <v>1004</v>
      </c>
      <c r="C34" s="527">
        <v>107</v>
      </c>
      <c r="D34" s="528">
        <v>52</v>
      </c>
    </row>
    <row r="35" spans="2:4">
      <c r="B35" s="526" t="s">
        <v>997</v>
      </c>
      <c r="C35" s="527">
        <v>104</v>
      </c>
      <c r="D35" s="528">
        <v>27.681159420289852</v>
      </c>
    </row>
    <row r="36" spans="2:4">
      <c r="B36" s="526" t="s">
        <v>989</v>
      </c>
      <c r="C36" s="527">
        <v>95</v>
      </c>
      <c r="D36" s="528">
        <v>35.194805194805191</v>
      </c>
    </row>
    <row r="37" spans="2:4">
      <c r="B37" s="526" t="s">
        <v>1018</v>
      </c>
      <c r="C37" s="527">
        <v>72</v>
      </c>
      <c r="D37" s="528">
        <v>37.358490566037737</v>
      </c>
    </row>
    <row r="38" spans="2:4">
      <c r="B38" s="526" t="s">
        <v>1029</v>
      </c>
      <c r="C38" s="527">
        <v>59</v>
      </c>
      <c r="D38" s="528">
        <v>18.072289156626503</v>
      </c>
    </row>
    <row r="39" spans="2:4">
      <c r="B39" s="526" t="s">
        <v>1025</v>
      </c>
      <c r="C39" s="527">
        <v>58</v>
      </c>
      <c r="D39" s="528">
        <v>26.433566433566433</v>
      </c>
    </row>
    <row r="40" spans="2:4">
      <c r="B40" s="526" t="s">
        <v>993</v>
      </c>
      <c r="C40" s="527">
        <v>49</v>
      </c>
      <c r="D40" s="528">
        <v>14.966442953020135</v>
      </c>
    </row>
    <row r="41" spans="2:4">
      <c r="B41" s="526" t="s">
        <v>984</v>
      </c>
      <c r="C41" s="527">
        <v>43</v>
      </c>
      <c r="D41" s="528">
        <v>6.8348623853211006</v>
      </c>
    </row>
    <row r="42" spans="2:4">
      <c r="B42" s="526" t="s">
        <v>990</v>
      </c>
      <c r="C42" s="527">
        <v>37</v>
      </c>
      <c r="D42" s="528">
        <v>8.6363636363636367</v>
      </c>
    </row>
    <row r="43" spans="2:4">
      <c r="B43" s="526" t="s">
        <v>996</v>
      </c>
      <c r="C43" s="527">
        <v>36</v>
      </c>
      <c r="D43" s="528">
        <v>29.814814814814813</v>
      </c>
    </row>
    <row r="44" spans="2:4">
      <c r="B44" s="526" t="s">
        <v>1008</v>
      </c>
      <c r="C44" s="527">
        <v>22</v>
      </c>
      <c r="D44" s="528">
        <v>17.745098039215687</v>
      </c>
    </row>
    <row r="45" spans="2:4">
      <c r="B45" s="526" t="s">
        <v>1000</v>
      </c>
      <c r="C45" s="527">
        <v>21</v>
      </c>
      <c r="D45" s="528">
        <v>13.172413793103448</v>
      </c>
    </row>
    <row r="46" spans="2:4">
      <c r="B46" s="526" t="s">
        <v>1020</v>
      </c>
      <c r="C46" s="527">
        <v>19</v>
      </c>
      <c r="D46" s="528">
        <v>10.549450549450549</v>
      </c>
    </row>
    <row r="47" spans="2:4">
      <c r="B47" s="526" t="s">
        <v>1031</v>
      </c>
      <c r="C47" s="527">
        <v>16</v>
      </c>
      <c r="D47" s="528">
        <v>5.233160621761658</v>
      </c>
    </row>
    <row r="48" spans="2:4">
      <c r="B48" s="526" t="s">
        <v>1022</v>
      </c>
      <c r="C48" s="527">
        <v>15</v>
      </c>
      <c r="D48" s="528">
        <v>7.96875</v>
      </c>
    </row>
    <row r="49" spans="2:4">
      <c r="B49" s="526" t="s">
        <v>1007</v>
      </c>
      <c r="C49" s="527">
        <v>14</v>
      </c>
      <c r="D49" s="528">
        <v>9.5609756097560972</v>
      </c>
    </row>
    <row r="50" spans="2:4">
      <c r="B50" s="526" t="s">
        <v>1026</v>
      </c>
      <c r="C50" s="527">
        <v>12</v>
      </c>
      <c r="D50" s="528">
        <v>6.2237762237762233</v>
      </c>
    </row>
    <row r="51" spans="2:4">
      <c r="B51" s="526" t="s">
        <v>1015</v>
      </c>
      <c r="C51" s="527">
        <v>12</v>
      </c>
      <c r="D51" s="528">
        <v>6.3758389261744961</v>
      </c>
    </row>
    <row r="52" spans="2:4">
      <c r="B52" s="526" t="s">
        <v>992</v>
      </c>
      <c r="C52" s="527">
        <v>12</v>
      </c>
      <c r="D52" s="528">
        <v>12.788461538461538</v>
      </c>
    </row>
    <row r="53" spans="2:4" ht="15.75" thickBot="1">
      <c r="B53" s="529" t="s">
        <v>1010</v>
      </c>
      <c r="C53" s="530">
        <v>11</v>
      </c>
      <c r="D53" s="531">
        <v>13.166666666666666</v>
      </c>
    </row>
    <row r="55" spans="2:4" ht="15.75" thickBot="1"/>
    <row r="56" spans="2:4" ht="15.75" thickBot="1">
      <c r="B56" s="521" t="s">
        <v>3953</v>
      </c>
      <c r="C56" s="522" t="s">
        <v>3880</v>
      </c>
    </row>
    <row r="57" spans="2:4">
      <c r="B57" s="523">
        <v>100</v>
      </c>
      <c r="C57" s="524">
        <f>RANK(B57,$B$57:$B$61,0)</f>
        <v>5</v>
      </c>
    </row>
    <row r="58" spans="2:4">
      <c r="B58" s="523">
        <v>150</v>
      </c>
      <c r="C58" s="524">
        <f t="shared" ref="C58:C61" si="0">RANK(B58,$B$57:$B$61,0)</f>
        <v>3</v>
      </c>
    </row>
    <row r="59" spans="2:4">
      <c r="B59" s="523">
        <v>175</v>
      </c>
      <c r="C59" s="524">
        <f t="shared" si="0"/>
        <v>2</v>
      </c>
    </row>
    <row r="60" spans="2:4">
      <c r="B60" s="523">
        <v>200</v>
      </c>
      <c r="C60" s="524">
        <f t="shared" si="0"/>
        <v>1</v>
      </c>
    </row>
    <row r="61" spans="2:4" ht="15.75" thickBot="1">
      <c r="B61" s="525">
        <v>125</v>
      </c>
      <c r="C61" s="524">
        <f t="shared" si="0"/>
        <v>4</v>
      </c>
    </row>
    <row r="64" spans="2:4">
      <c r="B64" s="32" t="s">
        <v>4056</v>
      </c>
      <c r="C64" s="443" t="s">
        <v>3880</v>
      </c>
      <c r="D64" s="605">
        <f>VLOOKUP($B$64,$B$65:$C$69,2,FALSE)</f>
        <v>4</v>
      </c>
    </row>
    <row r="65" spans="2:3">
      <c r="B65" t="s">
        <v>3876</v>
      </c>
      <c r="C65">
        <f>COUNTIF($B$65:$B$69,"&gt;="&amp;B65)</f>
        <v>2</v>
      </c>
    </row>
    <row r="66" spans="2:3">
      <c r="B66" t="s">
        <v>4056</v>
      </c>
      <c r="C66">
        <f t="shared" ref="C66:C69" si="1">COUNTIF($B$65:$B$69,"&gt;="&amp;B66)</f>
        <v>4</v>
      </c>
    </row>
    <row r="67" spans="2:3">
      <c r="B67" t="s">
        <v>3954</v>
      </c>
      <c r="C67">
        <f t="shared" si="1"/>
        <v>3</v>
      </c>
    </row>
    <row r="68" spans="2:3">
      <c r="B68" t="s">
        <v>3955</v>
      </c>
      <c r="C68">
        <f t="shared" si="1"/>
        <v>5</v>
      </c>
    </row>
    <row r="69" spans="2:3">
      <c r="B69" t="s">
        <v>3876</v>
      </c>
      <c r="C69">
        <f t="shared" si="1"/>
        <v>2</v>
      </c>
    </row>
  </sheetData>
  <sortState xmlns:xlrd2="http://schemas.microsoft.com/office/spreadsheetml/2017/richdata2" ref="B5:D53">
    <sortCondition descending="1" ref="C5:C53"/>
  </sortState>
  <dataValidations count="1">
    <dataValidation type="list" allowBlank="1" showInputMessage="1" showErrorMessage="1" sqref="B64" xr:uid="{FB3BBADA-2870-4317-9215-1CC270188147}">
      <formula1>$B$65:$B$69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50">
    <tabColor rgb="FFFF0000"/>
  </sheetPr>
  <dimension ref="B1:E2397"/>
  <sheetViews>
    <sheetView workbookViewId="0"/>
  </sheetViews>
  <sheetFormatPr defaultRowHeight="15"/>
  <cols>
    <col min="2" max="2" width="57.42578125" customWidth="1"/>
    <col min="3" max="3" width="27" customWidth="1"/>
    <col min="4" max="4" width="18.42578125" customWidth="1"/>
    <col min="5" max="5" width="18.140625" customWidth="1"/>
  </cols>
  <sheetData>
    <row r="1" spans="2:5">
      <c r="B1" s="32" t="s">
        <v>973</v>
      </c>
    </row>
    <row r="3" spans="2:5">
      <c r="B3" s="229" t="s">
        <v>1032</v>
      </c>
      <c r="C3" s="230" t="s">
        <v>1033</v>
      </c>
      <c r="D3" s="231" t="s">
        <v>1034</v>
      </c>
      <c r="E3" s="231" t="s">
        <v>1035</v>
      </c>
    </row>
    <row r="4" spans="2:5">
      <c r="B4" s="232" t="s">
        <v>1036</v>
      </c>
      <c r="C4" s="233" t="s">
        <v>1037</v>
      </c>
      <c r="D4" s="234">
        <v>154206.13</v>
      </c>
      <c r="E4" s="234">
        <v>143778.32</v>
      </c>
    </row>
    <row r="5" spans="2:5">
      <c r="B5" s="232" t="s">
        <v>1038</v>
      </c>
      <c r="C5" s="233" t="s">
        <v>1037</v>
      </c>
      <c r="D5" s="234">
        <v>374183.67999999999</v>
      </c>
      <c r="E5" s="234">
        <v>289415.24</v>
      </c>
    </row>
    <row r="6" spans="2:5">
      <c r="B6" s="232" t="s">
        <v>1039</v>
      </c>
      <c r="C6" s="233" t="s">
        <v>1037</v>
      </c>
      <c r="D6" s="234">
        <v>351490.15</v>
      </c>
      <c r="E6" s="234">
        <v>311744.99</v>
      </c>
    </row>
    <row r="7" spans="2:5">
      <c r="B7" s="232" t="s">
        <v>1040</v>
      </c>
      <c r="C7" s="233" t="s">
        <v>1037</v>
      </c>
      <c r="D7" s="234">
        <v>332346.11</v>
      </c>
      <c r="E7" s="234">
        <v>312086.19</v>
      </c>
    </row>
    <row r="8" spans="2:5">
      <c r="B8" s="232" t="s">
        <v>1041</v>
      </c>
      <c r="C8" s="233" t="s">
        <v>1037</v>
      </c>
      <c r="D8" s="234">
        <v>386892.35</v>
      </c>
      <c r="E8" s="234">
        <v>327716.58</v>
      </c>
    </row>
    <row r="9" spans="2:5">
      <c r="B9" s="232" t="s">
        <v>1042</v>
      </c>
      <c r="C9" s="233" t="s">
        <v>1037</v>
      </c>
      <c r="D9" s="234">
        <v>296974.11</v>
      </c>
      <c r="E9" s="234">
        <v>313790.21000000002</v>
      </c>
    </row>
    <row r="10" spans="2:5">
      <c r="B10" s="232" t="s">
        <v>1043</v>
      </c>
      <c r="C10" s="233" t="s">
        <v>1037</v>
      </c>
      <c r="D10" s="234">
        <v>293935.52</v>
      </c>
      <c r="E10" s="234">
        <v>317650.63</v>
      </c>
    </row>
    <row r="11" spans="2:5">
      <c r="B11" s="232" t="s">
        <v>1044</v>
      </c>
      <c r="C11" s="233" t="s">
        <v>1037</v>
      </c>
      <c r="D11" s="234">
        <v>94453.08</v>
      </c>
      <c r="E11" s="234">
        <v>52002.68</v>
      </c>
    </row>
    <row r="12" spans="2:5">
      <c r="B12" s="232" t="s">
        <v>1045</v>
      </c>
      <c r="C12" s="233" t="s">
        <v>1037</v>
      </c>
      <c r="D12" s="234">
        <v>371768.12</v>
      </c>
      <c r="E12" s="234">
        <v>344846.52</v>
      </c>
    </row>
    <row r="13" spans="2:5">
      <c r="B13" s="232" t="s">
        <v>1046</v>
      </c>
      <c r="C13" s="233" t="s">
        <v>1037</v>
      </c>
      <c r="D13" s="234">
        <v>302102.84000000003</v>
      </c>
      <c r="E13" s="234">
        <v>342376.2</v>
      </c>
    </row>
    <row r="14" spans="2:5">
      <c r="B14" s="232" t="s">
        <v>1047</v>
      </c>
      <c r="C14" s="233" t="s">
        <v>1037</v>
      </c>
      <c r="D14" s="234">
        <v>268949.03999999998</v>
      </c>
      <c r="E14" s="234">
        <v>328383.35999999999</v>
      </c>
    </row>
    <row r="15" spans="2:5">
      <c r="B15" s="232" t="s">
        <v>1048</v>
      </c>
      <c r="C15" s="233" t="s">
        <v>1037</v>
      </c>
      <c r="D15" s="234">
        <v>145630.44</v>
      </c>
      <c r="E15" s="234">
        <v>160525.68</v>
      </c>
    </row>
    <row r="16" spans="2:5">
      <c r="B16" s="232" t="s">
        <v>1049</v>
      </c>
      <c r="C16" s="233" t="s">
        <v>1037</v>
      </c>
      <c r="D16" s="234">
        <v>347922.2</v>
      </c>
      <c r="E16" s="234">
        <v>315768.56</v>
      </c>
    </row>
    <row r="17" spans="2:5">
      <c r="B17" s="232" t="s">
        <v>1050</v>
      </c>
      <c r="C17" s="233" t="s">
        <v>1037</v>
      </c>
      <c r="D17" s="234">
        <v>310181.2</v>
      </c>
      <c r="E17" s="234">
        <v>258071.36</v>
      </c>
    </row>
    <row r="18" spans="2:5">
      <c r="B18" s="232" t="s">
        <v>1051</v>
      </c>
      <c r="C18" s="233" t="s">
        <v>1037</v>
      </c>
      <c r="D18" s="234">
        <v>344252.89</v>
      </c>
      <c r="E18" s="234">
        <v>295769.2</v>
      </c>
    </row>
    <row r="19" spans="2:5">
      <c r="B19" s="232" t="s">
        <v>1052</v>
      </c>
      <c r="C19" s="233" t="s">
        <v>1037</v>
      </c>
      <c r="D19" s="234">
        <v>132994.26</v>
      </c>
      <c r="E19" s="234">
        <v>159737.78</v>
      </c>
    </row>
    <row r="20" spans="2:5">
      <c r="B20" s="232" t="s">
        <v>1053</v>
      </c>
      <c r="C20" s="233" t="s">
        <v>1037</v>
      </c>
      <c r="D20" s="234">
        <v>350637.43</v>
      </c>
      <c r="E20" s="234">
        <v>343909</v>
      </c>
    </row>
    <row r="21" spans="2:5">
      <c r="B21" s="232" t="s">
        <v>1054</v>
      </c>
      <c r="C21" s="233" t="s">
        <v>1037</v>
      </c>
      <c r="D21" s="234">
        <v>318286.89</v>
      </c>
      <c r="E21" s="234">
        <v>326357.23</v>
      </c>
    </row>
    <row r="22" spans="2:5">
      <c r="B22" s="232" t="s">
        <v>1055</v>
      </c>
      <c r="C22" s="233" t="s">
        <v>1037</v>
      </c>
      <c r="D22" s="234">
        <v>372043.08</v>
      </c>
      <c r="E22" s="234">
        <v>286713.90000000002</v>
      </c>
    </row>
    <row r="23" spans="2:5">
      <c r="B23" s="232" t="s">
        <v>1056</v>
      </c>
      <c r="C23" s="233" t="s">
        <v>1037</v>
      </c>
      <c r="D23" s="234">
        <v>356592.04</v>
      </c>
      <c r="E23" s="234">
        <v>317507.53000000003</v>
      </c>
    </row>
    <row r="24" spans="2:5">
      <c r="B24" s="232" t="s">
        <v>1057</v>
      </c>
      <c r="C24" s="233" t="s">
        <v>1037</v>
      </c>
      <c r="D24" s="234">
        <v>43807.48</v>
      </c>
      <c r="E24" s="234">
        <v>44781.23</v>
      </c>
    </row>
    <row r="25" spans="2:5">
      <c r="B25" s="232" t="s">
        <v>1058</v>
      </c>
      <c r="C25" s="233" t="s">
        <v>1037</v>
      </c>
      <c r="D25" s="234">
        <v>231874.92</v>
      </c>
      <c r="E25" s="234">
        <v>204097.35</v>
      </c>
    </row>
    <row r="26" spans="2:5">
      <c r="B26" s="232" t="s">
        <v>1059</v>
      </c>
      <c r="C26" s="233" t="s">
        <v>1037</v>
      </c>
      <c r="D26" s="234">
        <v>208258.89</v>
      </c>
      <c r="E26" s="234">
        <v>165585.69</v>
      </c>
    </row>
    <row r="27" spans="2:5">
      <c r="B27" s="232" t="s">
        <v>1060</v>
      </c>
      <c r="C27" s="233" t="s">
        <v>1037</v>
      </c>
      <c r="D27" s="234">
        <v>176333.97</v>
      </c>
      <c r="E27" s="234">
        <v>214631.49</v>
      </c>
    </row>
    <row r="28" spans="2:5">
      <c r="B28" s="232" t="s">
        <v>1061</v>
      </c>
      <c r="C28" s="233" t="s">
        <v>1037</v>
      </c>
      <c r="D28" s="234">
        <v>237836.01</v>
      </c>
      <c r="E28" s="234">
        <v>200422.14</v>
      </c>
    </row>
    <row r="29" spans="2:5">
      <c r="B29" s="232" t="s">
        <v>1062</v>
      </c>
      <c r="C29" s="233" t="s">
        <v>1037</v>
      </c>
      <c r="D29" s="234">
        <v>183569.58</v>
      </c>
      <c r="E29" s="234">
        <v>169116.42</v>
      </c>
    </row>
    <row r="30" spans="2:5">
      <c r="B30" s="232" t="s">
        <v>1063</v>
      </c>
      <c r="C30" s="233" t="s">
        <v>1037</v>
      </c>
      <c r="D30" s="234">
        <v>214701.15</v>
      </c>
      <c r="E30" s="234">
        <v>203720.67</v>
      </c>
    </row>
    <row r="31" spans="2:5">
      <c r="B31" s="232" t="s">
        <v>1064</v>
      </c>
      <c r="C31" s="233" t="s">
        <v>1037</v>
      </c>
      <c r="D31" s="234">
        <v>498884.59</v>
      </c>
      <c r="E31" s="234">
        <v>485424.69</v>
      </c>
    </row>
    <row r="32" spans="2:5">
      <c r="B32" s="232" t="s">
        <v>1065</v>
      </c>
      <c r="C32" s="233" t="s">
        <v>1037</v>
      </c>
      <c r="D32" s="234">
        <v>488720.82</v>
      </c>
      <c r="E32" s="234">
        <v>428440.7</v>
      </c>
    </row>
    <row r="33" spans="2:5">
      <c r="B33" s="232" t="s">
        <v>1066</v>
      </c>
      <c r="C33" s="233" t="s">
        <v>1037</v>
      </c>
      <c r="D33" s="234">
        <v>436215.97</v>
      </c>
      <c r="E33" s="234">
        <v>465341.62</v>
      </c>
    </row>
    <row r="34" spans="2:5">
      <c r="B34" s="232" t="s">
        <v>1067</v>
      </c>
      <c r="C34" s="233" t="s">
        <v>1037</v>
      </c>
      <c r="D34" s="234">
        <v>66341.289999999994</v>
      </c>
      <c r="E34" s="234">
        <v>189231.02</v>
      </c>
    </row>
    <row r="35" spans="2:5">
      <c r="B35" s="232" t="s">
        <v>1068</v>
      </c>
      <c r="C35" s="233" t="s">
        <v>1037</v>
      </c>
      <c r="D35" s="234">
        <v>426026.91</v>
      </c>
      <c r="E35" s="234">
        <v>605768.56000000006</v>
      </c>
    </row>
    <row r="36" spans="2:5">
      <c r="B36" s="232" t="s">
        <v>1069</v>
      </c>
      <c r="C36" s="233" t="s">
        <v>1037</v>
      </c>
      <c r="D36" s="234">
        <v>570725.05000000005</v>
      </c>
      <c r="E36" s="234">
        <v>461919.04</v>
      </c>
    </row>
    <row r="37" spans="2:5">
      <c r="B37" s="232" t="s">
        <v>1070</v>
      </c>
      <c r="C37" s="233" t="s">
        <v>1037</v>
      </c>
      <c r="D37" s="234">
        <v>515848.56</v>
      </c>
      <c r="E37" s="234">
        <v>485868.67</v>
      </c>
    </row>
    <row r="38" spans="2:5">
      <c r="B38" s="232" t="s">
        <v>1071</v>
      </c>
      <c r="C38" s="233" t="s">
        <v>1037</v>
      </c>
      <c r="D38" s="234">
        <v>304629.69</v>
      </c>
      <c r="E38" s="234">
        <v>261890.29</v>
      </c>
    </row>
    <row r="39" spans="2:5">
      <c r="B39" s="232" t="s">
        <v>1072</v>
      </c>
      <c r="C39" s="233" t="s">
        <v>1037</v>
      </c>
      <c r="D39" s="234">
        <v>323267.88</v>
      </c>
      <c r="E39" s="234">
        <v>312906.32</v>
      </c>
    </row>
    <row r="40" spans="2:5">
      <c r="B40" s="232" t="s">
        <v>1073</v>
      </c>
      <c r="C40" s="233" t="s">
        <v>1037</v>
      </c>
      <c r="D40" s="234">
        <v>318544.64000000001</v>
      </c>
      <c r="E40" s="234">
        <v>320515.13</v>
      </c>
    </row>
    <row r="41" spans="2:5">
      <c r="B41" s="232" t="s">
        <v>1074</v>
      </c>
      <c r="C41" s="233" t="s">
        <v>1037</v>
      </c>
      <c r="D41" s="234">
        <v>53837.07</v>
      </c>
      <c r="E41" s="234">
        <v>51549.279999999999</v>
      </c>
    </row>
    <row r="42" spans="2:5">
      <c r="B42" s="232" t="s">
        <v>1075</v>
      </c>
      <c r="C42" s="233" t="s">
        <v>1037</v>
      </c>
      <c r="D42" s="234">
        <v>332295.48</v>
      </c>
      <c r="E42" s="234">
        <v>307956.15999999997</v>
      </c>
    </row>
    <row r="43" spans="2:5">
      <c r="B43" s="232" t="s">
        <v>1076</v>
      </c>
      <c r="C43" s="233" t="s">
        <v>1037</v>
      </c>
      <c r="D43" s="234">
        <v>303825.23</v>
      </c>
      <c r="E43" s="234">
        <v>343269.5</v>
      </c>
    </row>
    <row r="44" spans="2:5">
      <c r="B44" s="232" t="s">
        <v>1077</v>
      </c>
      <c r="C44" s="233" t="s">
        <v>1037</v>
      </c>
      <c r="D44" s="234">
        <v>394446.36</v>
      </c>
      <c r="E44" s="234">
        <v>366772.56</v>
      </c>
    </row>
    <row r="45" spans="2:5">
      <c r="B45" s="232" t="s">
        <v>1078</v>
      </c>
      <c r="C45" s="233" t="s">
        <v>1037</v>
      </c>
      <c r="D45" s="234">
        <v>373242.87</v>
      </c>
      <c r="E45" s="234">
        <v>347507.16</v>
      </c>
    </row>
    <row r="46" spans="2:5">
      <c r="B46" s="232" t="s">
        <v>1079</v>
      </c>
      <c r="C46" s="233" t="s">
        <v>1037</v>
      </c>
      <c r="D46" s="234">
        <v>214478.88</v>
      </c>
      <c r="E46" s="234">
        <v>153603.45000000001</v>
      </c>
    </row>
    <row r="47" spans="2:5">
      <c r="B47" s="232" t="s">
        <v>1080</v>
      </c>
      <c r="C47" s="233" t="s">
        <v>1037</v>
      </c>
      <c r="D47" s="234">
        <v>382596.06</v>
      </c>
      <c r="E47" s="234">
        <v>305887.89</v>
      </c>
    </row>
    <row r="48" spans="2:5">
      <c r="B48" s="232" t="s">
        <v>1081</v>
      </c>
      <c r="C48" s="233" t="s">
        <v>1037</v>
      </c>
      <c r="D48" s="234">
        <v>330050.49</v>
      </c>
      <c r="E48" s="234">
        <v>424460.19</v>
      </c>
    </row>
    <row r="49" spans="2:5">
      <c r="B49" s="232" t="s">
        <v>1082</v>
      </c>
      <c r="C49" s="233" t="s">
        <v>1037</v>
      </c>
      <c r="D49" s="234">
        <v>74391.240000000005</v>
      </c>
      <c r="E49" s="234">
        <v>84305.76</v>
      </c>
    </row>
    <row r="50" spans="2:5">
      <c r="B50" s="232" t="s">
        <v>1083</v>
      </c>
      <c r="C50" s="233" t="s">
        <v>1037</v>
      </c>
      <c r="D50" s="234">
        <v>405830.04</v>
      </c>
      <c r="E50" s="234">
        <v>371849.94</v>
      </c>
    </row>
    <row r="51" spans="2:5">
      <c r="B51" s="232" t="s">
        <v>1084</v>
      </c>
      <c r="C51" s="233" t="s">
        <v>1037</v>
      </c>
      <c r="D51" s="234">
        <v>486495.04</v>
      </c>
      <c r="E51" s="234">
        <v>483158.44</v>
      </c>
    </row>
    <row r="52" spans="2:5">
      <c r="B52" s="232" t="s">
        <v>1085</v>
      </c>
      <c r="C52" s="233" t="s">
        <v>1037</v>
      </c>
      <c r="D52" s="234">
        <v>508613.08</v>
      </c>
      <c r="E52" s="234">
        <v>484109.84</v>
      </c>
    </row>
    <row r="53" spans="2:5">
      <c r="B53" s="232" t="s">
        <v>1086</v>
      </c>
      <c r="C53" s="233" t="s">
        <v>1037</v>
      </c>
      <c r="D53" s="234">
        <v>461211.92</v>
      </c>
      <c r="E53" s="234">
        <v>405944.96</v>
      </c>
    </row>
    <row r="54" spans="2:5">
      <c r="B54" s="232" t="s">
        <v>1087</v>
      </c>
      <c r="C54" s="233" t="s">
        <v>1037</v>
      </c>
      <c r="D54" s="234">
        <v>83436.44</v>
      </c>
      <c r="E54" s="234">
        <v>90771.6</v>
      </c>
    </row>
    <row r="55" spans="2:5">
      <c r="B55" s="232" t="s">
        <v>1088</v>
      </c>
      <c r="C55" s="233" t="s">
        <v>1037</v>
      </c>
      <c r="D55" s="234">
        <v>503952.56</v>
      </c>
      <c r="E55" s="234">
        <v>453568.56</v>
      </c>
    </row>
    <row r="56" spans="2:5">
      <c r="B56" s="232" t="s">
        <v>1089</v>
      </c>
      <c r="C56" s="233" t="s">
        <v>1037</v>
      </c>
      <c r="D56" s="234">
        <v>473979.44</v>
      </c>
      <c r="E56" s="234">
        <v>426355.84</v>
      </c>
    </row>
    <row r="57" spans="2:5">
      <c r="B57" s="232" t="s">
        <v>1090</v>
      </c>
      <c r="C57" s="233" t="s">
        <v>1037</v>
      </c>
      <c r="D57" s="234">
        <v>411007.48</v>
      </c>
      <c r="E57" s="234">
        <v>437836.96</v>
      </c>
    </row>
    <row r="58" spans="2:5">
      <c r="B58" s="232" t="s">
        <v>1091</v>
      </c>
      <c r="C58" s="233" t="s">
        <v>1037</v>
      </c>
      <c r="D58" s="234">
        <v>324642.78000000003</v>
      </c>
      <c r="E58" s="234">
        <v>297875.15999999997</v>
      </c>
    </row>
    <row r="59" spans="2:5">
      <c r="B59" s="232" t="s">
        <v>1092</v>
      </c>
      <c r="C59" s="233" t="s">
        <v>1037</v>
      </c>
      <c r="D59" s="234">
        <v>373321.08</v>
      </c>
      <c r="E59" s="234">
        <v>335215.98</v>
      </c>
    </row>
    <row r="60" spans="2:5">
      <c r="B60" s="232" t="s">
        <v>1093</v>
      </c>
      <c r="C60" s="233" t="s">
        <v>1037</v>
      </c>
      <c r="D60" s="234">
        <v>391303.44</v>
      </c>
      <c r="E60" s="234">
        <v>341710.38</v>
      </c>
    </row>
    <row r="61" spans="2:5">
      <c r="B61" s="232" t="s">
        <v>1094</v>
      </c>
      <c r="C61" s="233" t="s">
        <v>1037</v>
      </c>
      <c r="D61" s="234">
        <v>309454.2</v>
      </c>
      <c r="E61" s="234">
        <v>364708.08</v>
      </c>
    </row>
    <row r="62" spans="2:5">
      <c r="B62" s="232" t="s">
        <v>1095</v>
      </c>
      <c r="C62" s="233" t="s">
        <v>1037</v>
      </c>
      <c r="D62" s="234">
        <v>339803.64</v>
      </c>
      <c r="E62" s="234">
        <v>326828.7</v>
      </c>
    </row>
    <row r="63" spans="2:5">
      <c r="B63" s="232" t="s">
        <v>1096</v>
      </c>
      <c r="C63" s="233" t="s">
        <v>1037</v>
      </c>
      <c r="D63" s="234">
        <v>293459.76</v>
      </c>
      <c r="E63" s="234">
        <v>320849.09999999998</v>
      </c>
    </row>
    <row r="64" spans="2:5">
      <c r="B64" s="232" t="s">
        <v>1097</v>
      </c>
      <c r="C64" s="233" t="s">
        <v>1037</v>
      </c>
      <c r="D64" s="234">
        <v>58701.06</v>
      </c>
      <c r="E64" s="234">
        <v>124652.88</v>
      </c>
    </row>
    <row r="65" spans="2:5">
      <c r="B65" s="232" t="s">
        <v>1098</v>
      </c>
      <c r="C65" s="233" t="s">
        <v>1037</v>
      </c>
      <c r="D65" s="234">
        <v>393229.98</v>
      </c>
      <c r="E65" s="234">
        <v>268327.62</v>
      </c>
    </row>
    <row r="66" spans="2:5">
      <c r="B66" s="232" t="s">
        <v>1099</v>
      </c>
      <c r="C66" s="233" t="s">
        <v>1037</v>
      </c>
      <c r="D66" s="234">
        <v>94794</v>
      </c>
      <c r="E66" s="234">
        <v>70810</v>
      </c>
    </row>
    <row r="67" spans="2:5">
      <c r="B67" s="232" t="s">
        <v>1100</v>
      </c>
      <c r="C67" s="233" t="s">
        <v>1037</v>
      </c>
      <c r="D67" s="234">
        <v>73822</v>
      </c>
      <c r="E67" s="234">
        <v>50954</v>
      </c>
    </row>
    <row r="68" spans="2:5">
      <c r="B68" s="232" t="s">
        <v>1101</v>
      </c>
      <c r="C68" s="233" t="s">
        <v>1037</v>
      </c>
      <c r="D68" s="234">
        <v>323650</v>
      </c>
      <c r="E68" s="234">
        <v>258746</v>
      </c>
    </row>
    <row r="69" spans="2:5">
      <c r="B69" s="232" t="s">
        <v>1102</v>
      </c>
      <c r="C69" s="233" t="s">
        <v>1037</v>
      </c>
      <c r="D69" s="234">
        <v>168626</v>
      </c>
      <c r="E69" s="234">
        <v>135958</v>
      </c>
    </row>
    <row r="70" spans="2:5">
      <c r="B70" s="232" t="s">
        <v>1103</v>
      </c>
      <c r="C70" s="233" t="s">
        <v>1037</v>
      </c>
      <c r="D70" s="234">
        <v>363768</v>
      </c>
      <c r="E70" s="234">
        <v>334774</v>
      </c>
    </row>
    <row r="71" spans="2:5">
      <c r="B71" s="232" t="s">
        <v>1104</v>
      </c>
      <c r="C71" s="233" t="s">
        <v>1037</v>
      </c>
      <c r="D71" s="234">
        <v>353910</v>
      </c>
      <c r="E71" s="234">
        <v>302066</v>
      </c>
    </row>
    <row r="72" spans="2:5">
      <c r="B72" s="232" t="s">
        <v>1105</v>
      </c>
      <c r="C72" s="233" t="s">
        <v>1037</v>
      </c>
      <c r="D72" s="234">
        <v>127240</v>
      </c>
      <c r="E72" s="234">
        <v>166882</v>
      </c>
    </row>
    <row r="73" spans="2:5">
      <c r="B73" s="232" t="s">
        <v>1106</v>
      </c>
      <c r="C73" s="233" t="s">
        <v>1037</v>
      </c>
      <c r="D73" s="234">
        <v>232469.52</v>
      </c>
      <c r="E73" s="234">
        <v>227791.24</v>
      </c>
    </row>
    <row r="74" spans="2:5">
      <c r="B74" s="232" t="s">
        <v>1107</v>
      </c>
      <c r="C74" s="233" t="s">
        <v>1037</v>
      </c>
      <c r="D74" s="234">
        <v>207546.32</v>
      </c>
      <c r="E74" s="234">
        <v>216673.48</v>
      </c>
    </row>
    <row r="75" spans="2:5">
      <c r="B75" s="232" t="s">
        <v>1108</v>
      </c>
      <c r="C75" s="233" t="s">
        <v>1037</v>
      </c>
      <c r="D75" s="234">
        <v>159422.64000000001</v>
      </c>
      <c r="E75" s="234">
        <v>141464.32000000001</v>
      </c>
    </row>
    <row r="76" spans="2:5">
      <c r="B76" s="232" t="s">
        <v>1109</v>
      </c>
      <c r="C76" s="233" t="s">
        <v>1037</v>
      </c>
      <c r="D76" s="234">
        <v>228198.24</v>
      </c>
      <c r="E76" s="234">
        <v>209020.4</v>
      </c>
    </row>
    <row r="77" spans="2:5">
      <c r="B77" s="232" t="s">
        <v>1110</v>
      </c>
      <c r="C77" s="233" t="s">
        <v>1037</v>
      </c>
      <c r="D77" s="234">
        <v>91464</v>
      </c>
      <c r="E77" s="234">
        <v>128760</v>
      </c>
    </row>
    <row r="78" spans="2:5">
      <c r="B78" s="232" t="s">
        <v>1111</v>
      </c>
      <c r="C78" s="233" t="s">
        <v>1037</v>
      </c>
      <c r="D78" s="234">
        <v>243351.96</v>
      </c>
      <c r="E78" s="234">
        <v>218332.56</v>
      </c>
    </row>
    <row r="79" spans="2:5">
      <c r="B79" s="232" t="s">
        <v>1112</v>
      </c>
      <c r="C79" s="233" t="s">
        <v>1037</v>
      </c>
      <c r="D79" s="234">
        <v>265054.68</v>
      </c>
      <c r="E79" s="234">
        <v>218504.24</v>
      </c>
    </row>
    <row r="80" spans="2:5">
      <c r="B80" s="232" t="s">
        <v>1113</v>
      </c>
      <c r="C80" s="233" t="s">
        <v>1037</v>
      </c>
      <c r="D80" s="234">
        <v>455874.12</v>
      </c>
      <c r="E80" s="234">
        <v>588481.66</v>
      </c>
    </row>
    <row r="81" spans="2:5">
      <c r="B81" s="232" t="s">
        <v>1114</v>
      </c>
      <c r="C81" s="233" t="s">
        <v>1037</v>
      </c>
      <c r="D81" s="234">
        <v>633878.43999999994</v>
      </c>
      <c r="E81" s="234">
        <v>489177.26</v>
      </c>
    </row>
    <row r="82" spans="2:5">
      <c r="B82" s="232" t="s">
        <v>1115</v>
      </c>
      <c r="C82" s="233" t="s">
        <v>1037</v>
      </c>
      <c r="D82" s="234">
        <v>548624.69999999995</v>
      </c>
      <c r="E82" s="234">
        <v>488322.12</v>
      </c>
    </row>
    <row r="83" spans="2:5">
      <c r="B83" s="232" t="s">
        <v>1116</v>
      </c>
      <c r="C83" s="233" t="s">
        <v>1037</v>
      </c>
      <c r="D83" s="234">
        <v>619973.12</v>
      </c>
      <c r="E83" s="234">
        <v>587967.9</v>
      </c>
    </row>
    <row r="84" spans="2:5">
      <c r="B84" s="232" t="s">
        <v>1117</v>
      </c>
      <c r="C84" s="233" t="s">
        <v>1037</v>
      </c>
      <c r="D84" s="234">
        <v>665309.06000000006</v>
      </c>
      <c r="E84" s="234">
        <v>429043.68</v>
      </c>
    </row>
    <row r="85" spans="2:5">
      <c r="B85" s="232" t="s">
        <v>1118</v>
      </c>
      <c r="C85" s="233" t="s">
        <v>1037</v>
      </c>
      <c r="D85" s="234">
        <v>561843.88</v>
      </c>
      <c r="E85" s="234">
        <v>541053.5</v>
      </c>
    </row>
    <row r="86" spans="2:5">
      <c r="B86" s="232" t="s">
        <v>1119</v>
      </c>
      <c r="C86" s="233" t="s">
        <v>1037</v>
      </c>
      <c r="D86" s="234">
        <v>564737.16</v>
      </c>
      <c r="E86" s="234">
        <v>473534.62</v>
      </c>
    </row>
    <row r="87" spans="2:5">
      <c r="B87" s="232" t="s">
        <v>1120</v>
      </c>
      <c r="C87" s="233" t="s">
        <v>1037</v>
      </c>
      <c r="D87" s="234">
        <v>652427.88</v>
      </c>
      <c r="E87" s="234">
        <v>610171.12</v>
      </c>
    </row>
    <row r="88" spans="2:5">
      <c r="B88" s="232" t="s">
        <v>1121</v>
      </c>
      <c r="C88" s="233" t="s">
        <v>1037</v>
      </c>
      <c r="D88" s="234">
        <v>1032851.4</v>
      </c>
      <c r="E88" s="234">
        <v>1045634.52</v>
      </c>
    </row>
    <row r="89" spans="2:5">
      <c r="B89" s="232" t="s">
        <v>1122</v>
      </c>
      <c r="C89" s="233" t="s">
        <v>1037</v>
      </c>
      <c r="D89" s="234">
        <v>1118111.3999999999</v>
      </c>
      <c r="E89" s="234">
        <v>1057265.1599999999</v>
      </c>
    </row>
    <row r="90" spans="2:5">
      <c r="B90" s="232" t="s">
        <v>1123</v>
      </c>
      <c r="C90" s="233" t="s">
        <v>1037</v>
      </c>
      <c r="D90" s="234">
        <v>1053249.1200000001</v>
      </c>
      <c r="E90" s="234">
        <v>1023419.88</v>
      </c>
    </row>
    <row r="91" spans="2:5">
      <c r="B91" s="232" t="s">
        <v>1124</v>
      </c>
      <c r="C91" s="233" t="s">
        <v>1037</v>
      </c>
      <c r="D91" s="234">
        <v>443493.12</v>
      </c>
      <c r="E91" s="234">
        <v>481695.48</v>
      </c>
    </row>
    <row r="92" spans="2:5">
      <c r="B92" s="232" t="s">
        <v>1125</v>
      </c>
      <c r="C92" s="233" t="s">
        <v>1037</v>
      </c>
      <c r="D92" s="234">
        <v>891937.2</v>
      </c>
      <c r="E92" s="234">
        <v>1028706</v>
      </c>
    </row>
    <row r="93" spans="2:5">
      <c r="B93" s="232" t="s">
        <v>1126</v>
      </c>
      <c r="C93" s="233" t="s">
        <v>1037</v>
      </c>
      <c r="D93" s="234">
        <v>83960.52</v>
      </c>
      <c r="E93" s="234">
        <v>160547.51999999999</v>
      </c>
    </row>
    <row r="94" spans="2:5">
      <c r="B94" s="232" t="s">
        <v>1127</v>
      </c>
      <c r="C94" s="233" t="s">
        <v>1037</v>
      </c>
      <c r="D94" s="234">
        <v>548145.36</v>
      </c>
      <c r="E94" s="234">
        <v>408630.6</v>
      </c>
    </row>
    <row r="95" spans="2:5">
      <c r="B95" s="232" t="s">
        <v>1128</v>
      </c>
      <c r="C95" s="233" t="s">
        <v>1037</v>
      </c>
      <c r="D95" s="234">
        <v>1111190.6399999999</v>
      </c>
      <c r="E95" s="234">
        <v>951184.08</v>
      </c>
    </row>
    <row r="96" spans="2:5">
      <c r="B96" s="232" t="s">
        <v>1129</v>
      </c>
      <c r="C96" s="233" t="s">
        <v>1037</v>
      </c>
      <c r="D96" s="234">
        <v>532633.92000000004</v>
      </c>
      <c r="E96" s="234">
        <v>402442.56</v>
      </c>
    </row>
    <row r="97" spans="2:5">
      <c r="B97" s="232" t="s">
        <v>1130</v>
      </c>
      <c r="C97" s="233" t="s">
        <v>1037</v>
      </c>
      <c r="D97" s="234">
        <v>543987.6</v>
      </c>
      <c r="E97" s="234">
        <v>459473.04</v>
      </c>
    </row>
    <row r="98" spans="2:5">
      <c r="B98" s="232" t="s">
        <v>1131</v>
      </c>
      <c r="C98" s="233" t="s">
        <v>1037</v>
      </c>
      <c r="D98" s="234">
        <v>471079.44</v>
      </c>
      <c r="E98" s="234">
        <v>532315.68000000005</v>
      </c>
    </row>
    <row r="99" spans="2:5">
      <c r="B99" s="232" t="s">
        <v>1132</v>
      </c>
      <c r="C99" s="233" t="s">
        <v>1037</v>
      </c>
      <c r="D99" s="234">
        <v>358946.64</v>
      </c>
      <c r="E99" s="234">
        <v>321631.44</v>
      </c>
    </row>
    <row r="100" spans="2:5">
      <c r="B100" s="232" t="s">
        <v>1133</v>
      </c>
      <c r="C100" s="233" t="s">
        <v>1037</v>
      </c>
      <c r="D100" s="234">
        <v>221520</v>
      </c>
      <c r="E100" s="234">
        <v>205920</v>
      </c>
    </row>
    <row r="101" spans="2:5">
      <c r="B101" s="232" t="s">
        <v>1134</v>
      </c>
      <c r="C101" s="233" t="s">
        <v>1037</v>
      </c>
      <c r="D101" s="234">
        <v>463557.12</v>
      </c>
      <c r="E101" s="234">
        <v>419530.8</v>
      </c>
    </row>
    <row r="102" spans="2:5">
      <c r="B102" s="232" t="s">
        <v>1135</v>
      </c>
      <c r="C102" s="233" t="s">
        <v>1037</v>
      </c>
      <c r="D102" s="234">
        <v>330198.96000000002</v>
      </c>
      <c r="E102" s="234">
        <v>377832</v>
      </c>
    </row>
    <row r="103" spans="2:5">
      <c r="B103" s="232" t="s">
        <v>1136</v>
      </c>
      <c r="C103" s="233" t="s">
        <v>1037</v>
      </c>
      <c r="D103" s="234">
        <v>487871.28</v>
      </c>
      <c r="E103" s="234">
        <v>463597.68</v>
      </c>
    </row>
    <row r="104" spans="2:5">
      <c r="B104" s="232" t="s">
        <v>1137</v>
      </c>
      <c r="C104" s="233" t="s">
        <v>1037</v>
      </c>
      <c r="D104" s="234">
        <v>1128499.68</v>
      </c>
      <c r="E104" s="234">
        <v>1070552.3400000001</v>
      </c>
    </row>
    <row r="105" spans="2:5">
      <c r="B105" s="232" t="s">
        <v>1138</v>
      </c>
      <c r="C105" s="233" t="s">
        <v>1037</v>
      </c>
      <c r="D105" s="234">
        <v>773369.59</v>
      </c>
      <c r="E105" s="234">
        <v>725554.13</v>
      </c>
    </row>
    <row r="106" spans="2:5">
      <c r="B106" s="232" t="s">
        <v>1139</v>
      </c>
      <c r="C106" s="233" t="s">
        <v>1037</v>
      </c>
      <c r="D106" s="234">
        <v>1073605.83</v>
      </c>
      <c r="E106" s="234">
        <v>1057723.92</v>
      </c>
    </row>
    <row r="107" spans="2:5">
      <c r="B107" s="232" t="s">
        <v>1140</v>
      </c>
      <c r="C107" s="233" t="s">
        <v>1037</v>
      </c>
      <c r="D107" s="234">
        <v>886766.1</v>
      </c>
      <c r="E107" s="234">
        <v>1164909.57</v>
      </c>
    </row>
    <row r="108" spans="2:5">
      <c r="B108" s="232" t="s">
        <v>1141</v>
      </c>
      <c r="C108" s="233" t="s">
        <v>1037</v>
      </c>
      <c r="D108" s="234">
        <v>195398.28</v>
      </c>
      <c r="E108" s="234">
        <v>559384.31999999995</v>
      </c>
    </row>
    <row r="109" spans="2:5">
      <c r="B109" s="232" t="s">
        <v>1142</v>
      </c>
      <c r="C109" s="233" t="s">
        <v>1037</v>
      </c>
      <c r="D109" s="234">
        <v>178251.15</v>
      </c>
      <c r="E109" s="234">
        <v>108611.72</v>
      </c>
    </row>
    <row r="110" spans="2:5">
      <c r="B110" s="232" t="s">
        <v>1143</v>
      </c>
      <c r="C110" s="233" t="s">
        <v>1037</v>
      </c>
      <c r="D110" s="234">
        <v>727710.48</v>
      </c>
      <c r="E110" s="234">
        <v>729896.72</v>
      </c>
    </row>
    <row r="111" spans="2:5">
      <c r="B111" s="232" t="s">
        <v>1144</v>
      </c>
      <c r="C111" s="233" t="s">
        <v>1037</v>
      </c>
      <c r="D111" s="234">
        <v>354979.09</v>
      </c>
      <c r="E111" s="234">
        <v>348158.52</v>
      </c>
    </row>
    <row r="112" spans="2:5">
      <c r="B112" s="232" t="s">
        <v>1145</v>
      </c>
      <c r="C112" s="233" t="s">
        <v>1037</v>
      </c>
      <c r="D112" s="234">
        <v>333924.57</v>
      </c>
      <c r="E112" s="234">
        <v>348251.05</v>
      </c>
    </row>
    <row r="113" spans="2:5">
      <c r="B113" s="232" t="s">
        <v>1146</v>
      </c>
      <c r="C113" s="233" t="s">
        <v>1037</v>
      </c>
      <c r="D113" s="234">
        <v>189403.96</v>
      </c>
      <c r="E113" s="234">
        <v>126937.47</v>
      </c>
    </row>
    <row r="114" spans="2:5">
      <c r="B114" s="232" t="s">
        <v>1147</v>
      </c>
      <c r="C114" s="233" t="s">
        <v>1037</v>
      </c>
      <c r="D114" s="234">
        <v>51028.6</v>
      </c>
      <c r="E114" s="234">
        <v>71935.429999999993</v>
      </c>
    </row>
    <row r="115" spans="2:5">
      <c r="B115" s="232" t="s">
        <v>1148</v>
      </c>
      <c r="C115" s="233" t="s">
        <v>1037</v>
      </c>
      <c r="D115" s="234">
        <v>375994.27</v>
      </c>
      <c r="E115" s="234">
        <v>314313.37</v>
      </c>
    </row>
    <row r="116" spans="2:5">
      <c r="B116" s="232" t="s">
        <v>1149</v>
      </c>
      <c r="C116" s="233" t="s">
        <v>1037</v>
      </c>
      <c r="D116" s="234">
        <v>137449.92000000001</v>
      </c>
      <c r="E116" s="234">
        <v>142807.59</v>
      </c>
    </row>
    <row r="117" spans="2:5">
      <c r="B117" s="232" t="s">
        <v>1150</v>
      </c>
      <c r="C117" s="233" t="s">
        <v>1037</v>
      </c>
      <c r="D117" s="234">
        <v>317024.7</v>
      </c>
      <c r="E117" s="234">
        <v>299636.43</v>
      </c>
    </row>
    <row r="118" spans="2:5">
      <c r="B118" s="232" t="s">
        <v>1151</v>
      </c>
      <c r="C118" s="233" t="s">
        <v>1037</v>
      </c>
      <c r="D118" s="234">
        <v>488107.7</v>
      </c>
      <c r="E118" s="234">
        <v>473787.5</v>
      </c>
    </row>
    <row r="119" spans="2:5">
      <c r="B119" s="232" t="s">
        <v>1152</v>
      </c>
      <c r="C119" s="233" t="s">
        <v>1037</v>
      </c>
      <c r="D119" s="234">
        <v>258508.9</v>
      </c>
      <c r="E119" s="234">
        <v>174391.5</v>
      </c>
    </row>
    <row r="120" spans="2:5">
      <c r="B120" s="232" t="s">
        <v>1153</v>
      </c>
      <c r="C120" s="233" t="s">
        <v>1037</v>
      </c>
      <c r="D120" s="234">
        <v>267037.8</v>
      </c>
      <c r="E120" s="234">
        <v>219573.5</v>
      </c>
    </row>
    <row r="121" spans="2:5">
      <c r="B121" s="232" t="s">
        <v>1154</v>
      </c>
      <c r="C121" s="233" t="s">
        <v>1037</v>
      </c>
      <c r="D121" s="234">
        <v>497518.2</v>
      </c>
      <c r="E121" s="234">
        <v>513964.1</v>
      </c>
    </row>
    <row r="122" spans="2:5">
      <c r="B122" s="232" t="s">
        <v>1155</v>
      </c>
      <c r="C122" s="233" t="s">
        <v>1037</v>
      </c>
      <c r="D122" s="234">
        <v>494203.5</v>
      </c>
      <c r="E122" s="234">
        <v>541357.5</v>
      </c>
    </row>
    <row r="123" spans="2:5">
      <c r="B123" s="232" t="s">
        <v>1156</v>
      </c>
      <c r="C123" s="233" t="s">
        <v>1037</v>
      </c>
      <c r="D123" s="234">
        <v>524670.9</v>
      </c>
      <c r="E123" s="234">
        <v>498202.6</v>
      </c>
    </row>
    <row r="124" spans="2:5">
      <c r="B124" s="232" t="s">
        <v>1157</v>
      </c>
      <c r="C124" s="233" t="s">
        <v>1037</v>
      </c>
      <c r="D124" s="234">
        <v>217149.1</v>
      </c>
      <c r="E124" s="234">
        <v>221328</v>
      </c>
    </row>
    <row r="125" spans="2:5">
      <c r="B125" s="232" t="s">
        <v>1158</v>
      </c>
      <c r="C125" s="233" t="s">
        <v>1037</v>
      </c>
      <c r="D125" s="234">
        <v>123420</v>
      </c>
      <c r="E125" s="234">
        <v>139959.6</v>
      </c>
    </row>
    <row r="126" spans="2:5">
      <c r="B126" s="232" t="s">
        <v>1159</v>
      </c>
      <c r="C126" s="233" t="s">
        <v>1037</v>
      </c>
      <c r="D126" s="234">
        <v>285608.40000000002</v>
      </c>
      <c r="E126" s="234">
        <v>250034.4</v>
      </c>
    </row>
    <row r="127" spans="2:5">
      <c r="B127" s="232" t="s">
        <v>1160</v>
      </c>
      <c r="C127" s="233" t="s">
        <v>1037</v>
      </c>
      <c r="D127" s="234">
        <v>234349.5</v>
      </c>
      <c r="E127" s="234">
        <v>270515.84999999998</v>
      </c>
    </row>
    <row r="128" spans="2:5">
      <c r="B128" s="232" t="s">
        <v>1161</v>
      </c>
      <c r="C128" s="233" t="s">
        <v>1037</v>
      </c>
      <c r="D128" s="234">
        <v>299199.45</v>
      </c>
      <c r="E128" s="234">
        <v>258736.5</v>
      </c>
    </row>
    <row r="129" spans="2:5">
      <c r="B129" s="232" t="s">
        <v>1162</v>
      </c>
      <c r="C129" s="233" t="s">
        <v>1037</v>
      </c>
      <c r="D129" s="234">
        <v>277508.55</v>
      </c>
      <c r="E129" s="234">
        <v>227894.7</v>
      </c>
    </row>
    <row r="130" spans="2:5">
      <c r="B130" s="232" t="s">
        <v>1163</v>
      </c>
      <c r="C130" s="233" t="s">
        <v>1037</v>
      </c>
      <c r="D130" s="234">
        <v>258114.45</v>
      </c>
      <c r="E130" s="234">
        <v>285242.09999999998</v>
      </c>
    </row>
    <row r="131" spans="2:5">
      <c r="B131" s="232" t="s">
        <v>1164</v>
      </c>
      <c r="C131" s="233" t="s">
        <v>1165</v>
      </c>
      <c r="D131" s="234">
        <v>230927.9</v>
      </c>
      <c r="E131" s="234">
        <v>161792.07999999999</v>
      </c>
    </row>
    <row r="132" spans="2:5">
      <c r="B132" s="232" t="s">
        <v>1166</v>
      </c>
      <c r="C132" s="233" t="s">
        <v>1165</v>
      </c>
      <c r="D132" s="234">
        <v>194146.14</v>
      </c>
      <c r="E132" s="234">
        <v>185368.86</v>
      </c>
    </row>
    <row r="133" spans="2:5">
      <c r="B133" s="232" t="s">
        <v>1167</v>
      </c>
      <c r="C133" s="233" t="s">
        <v>1165</v>
      </c>
      <c r="D133" s="234">
        <v>179892.58</v>
      </c>
      <c r="E133" s="234">
        <v>194896.1</v>
      </c>
    </row>
    <row r="134" spans="2:5">
      <c r="B134" s="232" t="s">
        <v>1168</v>
      </c>
      <c r="C134" s="233" t="s">
        <v>1165</v>
      </c>
      <c r="D134" s="234">
        <v>96290.74</v>
      </c>
      <c r="E134" s="234">
        <v>151194.95000000001</v>
      </c>
    </row>
    <row r="135" spans="2:5">
      <c r="B135" s="232" t="s">
        <v>1169</v>
      </c>
      <c r="C135" s="233" t="s">
        <v>1165</v>
      </c>
      <c r="D135" s="234">
        <v>96296.73</v>
      </c>
      <c r="E135" s="234">
        <v>158661.62</v>
      </c>
    </row>
    <row r="136" spans="2:5">
      <c r="B136" s="232" t="s">
        <v>1170</v>
      </c>
      <c r="C136" s="233" t="s">
        <v>1165</v>
      </c>
      <c r="D136" s="234">
        <v>104120.48</v>
      </c>
      <c r="E136" s="234">
        <v>182027.86</v>
      </c>
    </row>
    <row r="137" spans="2:5">
      <c r="B137" s="232" t="s">
        <v>1171</v>
      </c>
      <c r="C137" s="233" t="s">
        <v>1165</v>
      </c>
      <c r="D137" s="234">
        <v>61380.93</v>
      </c>
      <c r="E137" s="234">
        <v>170838.21</v>
      </c>
    </row>
    <row r="138" spans="2:5">
      <c r="B138" s="232" t="s">
        <v>1172</v>
      </c>
      <c r="C138" s="233" t="s">
        <v>1165</v>
      </c>
      <c r="D138" s="234">
        <v>233410.73</v>
      </c>
      <c r="E138" s="234">
        <v>249675.17</v>
      </c>
    </row>
    <row r="139" spans="2:5">
      <c r="B139" s="232" t="s">
        <v>1173</v>
      </c>
      <c r="C139" s="233" t="s">
        <v>1165</v>
      </c>
      <c r="D139" s="234">
        <v>241768.09</v>
      </c>
      <c r="E139" s="234">
        <v>212111.54</v>
      </c>
    </row>
    <row r="140" spans="2:5">
      <c r="B140" s="232" t="s">
        <v>1174</v>
      </c>
      <c r="C140" s="233" t="s">
        <v>1165</v>
      </c>
      <c r="D140" s="234">
        <v>251387.37</v>
      </c>
      <c r="E140" s="234">
        <v>238693.6</v>
      </c>
    </row>
    <row r="141" spans="2:5">
      <c r="B141" s="232" t="s">
        <v>1175</v>
      </c>
      <c r="C141" s="233" t="s">
        <v>1165</v>
      </c>
      <c r="D141" s="234">
        <v>219929.71</v>
      </c>
      <c r="E141" s="234">
        <v>210155.57</v>
      </c>
    </row>
    <row r="142" spans="2:5">
      <c r="B142" s="232" t="s">
        <v>1176</v>
      </c>
      <c r="C142" s="233" t="s">
        <v>1165</v>
      </c>
      <c r="D142" s="234">
        <v>469601.8</v>
      </c>
      <c r="E142" s="234">
        <v>430792.42</v>
      </c>
    </row>
    <row r="143" spans="2:5">
      <c r="B143" s="232" t="s">
        <v>1177</v>
      </c>
      <c r="C143" s="233" t="s">
        <v>1165</v>
      </c>
      <c r="D143" s="234">
        <v>499879.96</v>
      </c>
      <c r="E143" s="234">
        <v>430826.06</v>
      </c>
    </row>
    <row r="144" spans="2:5">
      <c r="B144" s="232" t="s">
        <v>1178</v>
      </c>
      <c r="C144" s="233" t="s">
        <v>1165</v>
      </c>
      <c r="D144" s="234">
        <v>613049.06999999995</v>
      </c>
      <c r="E144" s="234">
        <v>515027.43</v>
      </c>
    </row>
    <row r="145" spans="2:5">
      <c r="B145" s="232" t="s">
        <v>1179</v>
      </c>
      <c r="C145" s="233" t="s">
        <v>1165</v>
      </c>
      <c r="D145" s="234">
        <v>203316</v>
      </c>
      <c r="E145" s="234">
        <v>214338</v>
      </c>
    </row>
    <row r="146" spans="2:5">
      <c r="B146" s="232" t="s">
        <v>1180</v>
      </c>
      <c r="C146" s="233" t="s">
        <v>1165</v>
      </c>
      <c r="D146" s="234">
        <v>281674</v>
      </c>
      <c r="E146" s="234">
        <v>150354</v>
      </c>
    </row>
    <row r="147" spans="2:5">
      <c r="B147" s="232" t="s">
        <v>1181</v>
      </c>
      <c r="C147" s="233" t="s">
        <v>1165</v>
      </c>
      <c r="D147" s="234">
        <v>259408</v>
      </c>
      <c r="E147" s="234">
        <v>269942</v>
      </c>
    </row>
    <row r="148" spans="2:5">
      <c r="B148" s="232" t="s">
        <v>1182</v>
      </c>
      <c r="C148" s="233" t="s">
        <v>1165</v>
      </c>
      <c r="D148" s="234">
        <v>218550</v>
      </c>
      <c r="E148" s="234">
        <v>206166</v>
      </c>
    </row>
    <row r="149" spans="2:5">
      <c r="B149" s="232" t="s">
        <v>1183</v>
      </c>
      <c r="C149" s="233" t="s">
        <v>1165</v>
      </c>
      <c r="D149" s="234">
        <v>278887.25</v>
      </c>
      <c r="E149" s="234">
        <v>285290.77</v>
      </c>
    </row>
    <row r="150" spans="2:5">
      <c r="B150" s="232" t="s">
        <v>1184</v>
      </c>
      <c r="C150" s="233" t="s">
        <v>1165</v>
      </c>
      <c r="D150" s="234">
        <v>235691.06</v>
      </c>
      <c r="E150" s="234">
        <v>261816.88</v>
      </c>
    </row>
    <row r="151" spans="2:5">
      <c r="B151" s="232" t="s">
        <v>1185</v>
      </c>
      <c r="C151" s="233" t="s">
        <v>1165</v>
      </c>
      <c r="D151" s="234">
        <v>242023.22</v>
      </c>
      <c r="E151" s="234">
        <v>232255.62</v>
      </c>
    </row>
    <row r="152" spans="2:5">
      <c r="B152" s="232" t="s">
        <v>1186</v>
      </c>
      <c r="C152" s="233" t="s">
        <v>1165</v>
      </c>
      <c r="D152" s="234">
        <v>262455.40000000002</v>
      </c>
      <c r="E152" s="234">
        <v>198159.11</v>
      </c>
    </row>
    <row r="153" spans="2:5">
      <c r="B153" s="232" t="s">
        <v>1187</v>
      </c>
      <c r="C153" s="233" t="s">
        <v>1165</v>
      </c>
      <c r="D153" s="234">
        <v>291189.8</v>
      </c>
      <c r="E153" s="234">
        <v>248023.49</v>
      </c>
    </row>
    <row r="154" spans="2:5">
      <c r="B154" s="232" t="s">
        <v>1188</v>
      </c>
      <c r="C154" s="233" t="s">
        <v>1165</v>
      </c>
      <c r="D154" s="234">
        <v>274080.73</v>
      </c>
      <c r="E154" s="234">
        <v>240541.54</v>
      </c>
    </row>
    <row r="155" spans="2:5">
      <c r="B155" s="232" t="s">
        <v>1189</v>
      </c>
      <c r="C155" s="233" t="s">
        <v>1165</v>
      </c>
      <c r="D155" s="234">
        <v>259379.37</v>
      </c>
      <c r="E155" s="234">
        <v>298615.75</v>
      </c>
    </row>
    <row r="156" spans="2:5">
      <c r="B156" s="232" t="s">
        <v>1190</v>
      </c>
      <c r="C156" s="233" t="s">
        <v>1165</v>
      </c>
      <c r="D156" s="234">
        <v>727273.85</v>
      </c>
      <c r="E156" s="234">
        <v>778223.25</v>
      </c>
    </row>
    <row r="157" spans="2:5">
      <c r="B157" s="232" t="s">
        <v>1191</v>
      </c>
      <c r="C157" s="233" t="s">
        <v>1165</v>
      </c>
      <c r="D157" s="234">
        <v>821944.56</v>
      </c>
      <c r="E157" s="234">
        <v>736541.6</v>
      </c>
    </row>
    <row r="158" spans="2:5">
      <c r="B158" s="232" t="s">
        <v>1192</v>
      </c>
      <c r="C158" s="233" t="s">
        <v>1165</v>
      </c>
      <c r="D158" s="234">
        <v>800438.73</v>
      </c>
      <c r="E158" s="234">
        <v>677955.22</v>
      </c>
    </row>
    <row r="159" spans="2:5">
      <c r="B159" s="232" t="s">
        <v>1193</v>
      </c>
      <c r="C159" s="233" t="s">
        <v>1165</v>
      </c>
      <c r="D159" s="234">
        <v>748319.1</v>
      </c>
      <c r="E159" s="234">
        <v>820487.69</v>
      </c>
    </row>
    <row r="160" spans="2:5">
      <c r="B160" s="232" t="s">
        <v>1194</v>
      </c>
      <c r="C160" s="233" t="s">
        <v>1165</v>
      </c>
      <c r="D160" s="234">
        <v>156566.84</v>
      </c>
      <c r="E160" s="234">
        <v>361137.67</v>
      </c>
    </row>
    <row r="161" spans="2:5">
      <c r="B161" s="232" t="s">
        <v>1195</v>
      </c>
      <c r="C161" s="233" t="s">
        <v>1165</v>
      </c>
      <c r="D161" s="234">
        <v>182661.3</v>
      </c>
      <c r="E161" s="234">
        <v>328838.33</v>
      </c>
    </row>
    <row r="162" spans="2:5">
      <c r="B162" s="232" t="s">
        <v>1196</v>
      </c>
      <c r="C162" s="233" t="s">
        <v>1165</v>
      </c>
      <c r="D162" s="234">
        <v>166456.60999999999</v>
      </c>
      <c r="E162" s="234">
        <v>306133.78000000003</v>
      </c>
    </row>
    <row r="163" spans="2:5">
      <c r="B163" s="232" t="s">
        <v>1197</v>
      </c>
      <c r="C163" s="233" t="s">
        <v>1165</v>
      </c>
      <c r="D163" s="234">
        <v>148521.99</v>
      </c>
      <c r="E163" s="234">
        <v>405091.8</v>
      </c>
    </row>
    <row r="164" spans="2:5">
      <c r="B164" s="232" t="s">
        <v>1198</v>
      </c>
      <c r="C164" s="233" t="s">
        <v>1165</v>
      </c>
      <c r="D164" s="234">
        <v>54394.5</v>
      </c>
      <c r="E164" s="234">
        <v>428941.05</v>
      </c>
    </row>
    <row r="165" spans="2:5">
      <c r="B165" s="232" t="s">
        <v>1199</v>
      </c>
      <c r="C165" s="233" t="s">
        <v>1165</v>
      </c>
      <c r="D165" s="234">
        <v>87724.19</v>
      </c>
      <c r="E165" s="234">
        <v>279408.42</v>
      </c>
    </row>
    <row r="166" spans="2:5">
      <c r="B166" s="232" t="s">
        <v>1200</v>
      </c>
      <c r="C166" s="233" t="s">
        <v>1165</v>
      </c>
      <c r="D166" s="234">
        <v>84402.22</v>
      </c>
      <c r="E166" s="234">
        <v>348014.81</v>
      </c>
    </row>
    <row r="167" spans="2:5">
      <c r="B167" s="232" t="s">
        <v>1201</v>
      </c>
      <c r="C167" s="233" t="s">
        <v>1165</v>
      </c>
      <c r="D167" s="234">
        <v>32405.7</v>
      </c>
      <c r="E167" s="234">
        <v>292905.31</v>
      </c>
    </row>
    <row r="168" spans="2:5">
      <c r="B168" s="232" t="s">
        <v>1202</v>
      </c>
      <c r="C168" s="233" t="s">
        <v>1165</v>
      </c>
      <c r="D168" s="234">
        <v>301243.07</v>
      </c>
      <c r="E168" s="234">
        <v>979543.56</v>
      </c>
    </row>
    <row r="169" spans="2:5">
      <c r="B169" s="232" t="s">
        <v>1203</v>
      </c>
      <c r="C169" s="233" t="s">
        <v>1165</v>
      </c>
      <c r="D169" s="234">
        <v>417844.12</v>
      </c>
      <c r="E169" s="234">
        <v>744528.52</v>
      </c>
    </row>
    <row r="170" spans="2:5">
      <c r="B170" s="232" t="s">
        <v>1204</v>
      </c>
      <c r="C170" s="233" t="s">
        <v>1165</v>
      </c>
      <c r="D170" s="234">
        <v>321814.14</v>
      </c>
      <c r="E170" s="234">
        <v>830509.84</v>
      </c>
    </row>
    <row r="171" spans="2:5">
      <c r="B171" s="232" t="s">
        <v>1205</v>
      </c>
      <c r="C171" s="233" t="s">
        <v>1165</v>
      </c>
      <c r="D171" s="234">
        <v>397261.19</v>
      </c>
      <c r="E171" s="234">
        <v>968594.48</v>
      </c>
    </row>
    <row r="172" spans="2:5">
      <c r="B172" s="232" t="s">
        <v>1206</v>
      </c>
      <c r="C172" s="233" t="s">
        <v>1165</v>
      </c>
      <c r="D172" s="234">
        <v>1183639.04</v>
      </c>
      <c r="E172" s="234">
        <v>1206162.6200000001</v>
      </c>
    </row>
    <row r="173" spans="2:5">
      <c r="B173" s="232" t="s">
        <v>1207</v>
      </c>
      <c r="C173" s="233" t="s">
        <v>1165</v>
      </c>
      <c r="D173" s="234">
        <v>328279.8</v>
      </c>
      <c r="E173" s="234">
        <v>313408.64000000001</v>
      </c>
    </row>
    <row r="174" spans="2:5">
      <c r="B174" s="232" t="s">
        <v>1208</v>
      </c>
      <c r="C174" s="233" t="s">
        <v>1165</v>
      </c>
      <c r="D174" s="234">
        <v>559196.56999999995</v>
      </c>
      <c r="E174" s="234">
        <v>358881.88</v>
      </c>
    </row>
    <row r="175" spans="2:5">
      <c r="B175" s="232" t="s">
        <v>1209</v>
      </c>
      <c r="C175" s="233" t="s">
        <v>1165</v>
      </c>
      <c r="D175" s="234">
        <v>382462.36</v>
      </c>
      <c r="E175" s="234">
        <v>435036.8</v>
      </c>
    </row>
    <row r="176" spans="2:5">
      <c r="B176" s="232" t="s">
        <v>1210</v>
      </c>
      <c r="C176" s="233" t="s">
        <v>1165</v>
      </c>
      <c r="D176" s="234">
        <v>455926.48</v>
      </c>
      <c r="E176" s="234">
        <v>493948.22</v>
      </c>
    </row>
    <row r="177" spans="2:5">
      <c r="B177" s="232" t="s">
        <v>1211</v>
      </c>
      <c r="C177" s="233" t="s">
        <v>1212</v>
      </c>
      <c r="D177" s="234">
        <v>123311.39</v>
      </c>
      <c r="E177" s="234">
        <v>155960.76</v>
      </c>
    </row>
    <row r="178" spans="2:5">
      <c r="B178" s="232" t="s">
        <v>1213</v>
      </c>
      <c r="C178" s="233" t="s">
        <v>1212</v>
      </c>
      <c r="D178" s="234">
        <v>177641.86</v>
      </c>
      <c r="E178" s="234">
        <v>160183.37</v>
      </c>
    </row>
    <row r="179" spans="2:5">
      <c r="B179" s="232" t="s">
        <v>1214</v>
      </c>
      <c r="C179" s="233" t="s">
        <v>1212</v>
      </c>
      <c r="D179" s="234">
        <v>188925.19</v>
      </c>
      <c r="E179" s="234">
        <v>189902.64</v>
      </c>
    </row>
    <row r="180" spans="2:5">
      <c r="B180" s="232" t="s">
        <v>1215</v>
      </c>
      <c r="C180" s="233" t="s">
        <v>1212</v>
      </c>
      <c r="D180" s="234">
        <v>178755.07</v>
      </c>
      <c r="E180" s="234">
        <v>120675.68</v>
      </c>
    </row>
    <row r="181" spans="2:5">
      <c r="B181" s="232" t="s">
        <v>1216</v>
      </c>
      <c r="C181" s="233" t="s">
        <v>1212</v>
      </c>
      <c r="D181" s="234">
        <v>195682.3</v>
      </c>
      <c r="E181" s="234">
        <v>152807.56</v>
      </c>
    </row>
    <row r="182" spans="2:5">
      <c r="B182" s="232" t="s">
        <v>1217</v>
      </c>
      <c r="C182" s="233" t="s">
        <v>1212</v>
      </c>
      <c r="D182" s="234">
        <v>184236.61</v>
      </c>
      <c r="E182" s="234">
        <v>175338.51</v>
      </c>
    </row>
    <row r="183" spans="2:5">
      <c r="B183" s="232" t="s">
        <v>1218</v>
      </c>
      <c r="C183" s="233" t="s">
        <v>1212</v>
      </c>
      <c r="D183" s="234">
        <v>164187.70000000001</v>
      </c>
      <c r="E183" s="234">
        <v>258715.8</v>
      </c>
    </row>
    <row r="184" spans="2:5">
      <c r="B184" s="232" t="s">
        <v>1219</v>
      </c>
      <c r="C184" s="233" t="s">
        <v>1212</v>
      </c>
      <c r="D184" s="234">
        <v>220967.38</v>
      </c>
      <c r="E184" s="234">
        <v>160197.79999999999</v>
      </c>
    </row>
    <row r="185" spans="2:5">
      <c r="B185" s="232" t="s">
        <v>1220</v>
      </c>
      <c r="C185" s="233" t="s">
        <v>1212</v>
      </c>
      <c r="D185" s="234">
        <v>156632.1</v>
      </c>
      <c r="E185" s="234">
        <v>185369.68</v>
      </c>
    </row>
    <row r="186" spans="2:5">
      <c r="B186" s="232" t="s">
        <v>1221</v>
      </c>
      <c r="C186" s="233" t="s">
        <v>1212</v>
      </c>
      <c r="D186" s="234">
        <v>197457.52</v>
      </c>
      <c r="E186" s="234">
        <v>148687.20000000001</v>
      </c>
    </row>
    <row r="187" spans="2:5">
      <c r="B187" s="232" t="s">
        <v>1222</v>
      </c>
      <c r="C187" s="233" t="s">
        <v>1212</v>
      </c>
      <c r="D187" s="234">
        <v>735424.8</v>
      </c>
      <c r="E187" s="234">
        <v>734419.1</v>
      </c>
    </row>
    <row r="188" spans="2:5">
      <c r="B188" s="232" t="s">
        <v>1223</v>
      </c>
      <c r="C188" s="233" t="s">
        <v>1212</v>
      </c>
      <c r="D188" s="234">
        <v>668029.55000000005</v>
      </c>
      <c r="E188" s="234">
        <v>738143.75</v>
      </c>
    </row>
    <row r="189" spans="2:5">
      <c r="B189" s="232" t="s">
        <v>1224</v>
      </c>
      <c r="C189" s="233" t="s">
        <v>1212</v>
      </c>
      <c r="D189" s="234">
        <v>661158.75</v>
      </c>
      <c r="E189" s="234">
        <v>762325.05</v>
      </c>
    </row>
    <row r="190" spans="2:5">
      <c r="B190" s="232" t="s">
        <v>1225</v>
      </c>
      <c r="C190" s="233" t="s">
        <v>1212</v>
      </c>
      <c r="D190" s="234">
        <v>653673.85</v>
      </c>
      <c r="E190" s="234">
        <v>709806.15</v>
      </c>
    </row>
    <row r="191" spans="2:5">
      <c r="B191" s="232" t="s">
        <v>1226</v>
      </c>
      <c r="C191" s="233" t="s">
        <v>1212</v>
      </c>
      <c r="D191" s="234">
        <v>238137.84</v>
      </c>
      <c r="E191" s="234">
        <v>245809.72</v>
      </c>
    </row>
    <row r="192" spans="2:5">
      <c r="B192" s="232" t="s">
        <v>1227</v>
      </c>
      <c r="C192" s="233" t="s">
        <v>1212</v>
      </c>
      <c r="D192" s="234">
        <v>211135.55</v>
      </c>
      <c r="E192" s="234">
        <v>180110.24</v>
      </c>
    </row>
    <row r="193" spans="2:5">
      <c r="B193" s="232" t="s">
        <v>1228</v>
      </c>
      <c r="C193" s="233" t="s">
        <v>1212</v>
      </c>
      <c r="D193" s="234">
        <v>212326.74</v>
      </c>
      <c r="E193" s="234">
        <v>229316.34</v>
      </c>
    </row>
    <row r="194" spans="2:5">
      <c r="B194" s="232" t="s">
        <v>1229</v>
      </c>
      <c r="C194" s="233" t="s">
        <v>1212</v>
      </c>
      <c r="D194" s="234">
        <v>203537.68</v>
      </c>
      <c r="E194" s="234">
        <v>208444</v>
      </c>
    </row>
    <row r="195" spans="2:5">
      <c r="B195" s="232" t="s">
        <v>1230</v>
      </c>
      <c r="C195" s="233" t="s">
        <v>1212</v>
      </c>
      <c r="D195" s="234">
        <v>252881.31</v>
      </c>
      <c r="E195" s="234">
        <v>199542.29</v>
      </c>
    </row>
    <row r="196" spans="2:5">
      <c r="B196" s="232" t="s">
        <v>1231</v>
      </c>
      <c r="C196" s="233" t="s">
        <v>1212</v>
      </c>
      <c r="D196" s="234">
        <v>239928.74</v>
      </c>
      <c r="E196" s="234">
        <v>177457.51</v>
      </c>
    </row>
    <row r="197" spans="2:5">
      <c r="B197" s="232" t="s">
        <v>1232</v>
      </c>
      <c r="C197" s="233" t="s">
        <v>1212</v>
      </c>
      <c r="D197" s="234">
        <v>261030.12</v>
      </c>
      <c r="E197" s="234">
        <v>228910.19</v>
      </c>
    </row>
    <row r="198" spans="2:5">
      <c r="B198" s="232" t="s">
        <v>1233</v>
      </c>
      <c r="C198" s="233" t="s">
        <v>1212</v>
      </c>
      <c r="D198" s="234">
        <v>236319.96</v>
      </c>
      <c r="E198" s="234">
        <v>221342.48</v>
      </c>
    </row>
    <row r="199" spans="2:5">
      <c r="B199" s="232" t="s">
        <v>1234</v>
      </c>
      <c r="C199" s="233" t="s">
        <v>1212</v>
      </c>
      <c r="D199" s="234">
        <v>518328.71</v>
      </c>
      <c r="E199" s="234">
        <v>491972.87</v>
      </c>
    </row>
    <row r="200" spans="2:5">
      <c r="B200" s="232" t="s">
        <v>1235</v>
      </c>
      <c r="C200" s="233" t="s">
        <v>1212</v>
      </c>
      <c r="D200" s="234">
        <v>507482</v>
      </c>
      <c r="E200" s="234">
        <v>623341.65</v>
      </c>
    </row>
    <row r="201" spans="2:5">
      <c r="B201" s="232" t="s">
        <v>1236</v>
      </c>
      <c r="C201" s="233" t="s">
        <v>1212</v>
      </c>
      <c r="D201" s="234">
        <v>750749.29</v>
      </c>
      <c r="E201" s="234">
        <v>409302.27</v>
      </c>
    </row>
    <row r="202" spans="2:5">
      <c r="B202" s="232" t="s">
        <v>1237</v>
      </c>
      <c r="C202" s="233" t="s">
        <v>1212</v>
      </c>
      <c r="D202" s="234">
        <v>459022.5</v>
      </c>
      <c r="E202" s="234">
        <v>433435.05</v>
      </c>
    </row>
    <row r="203" spans="2:5">
      <c r="B203" s="232" t="s">
        <v>1238</v>
      </c>
      <c r="C203" s="233" t="s">
        <v>1212</v>
      </c>
      <c r="D203" s="234">
        <v>237070.46</v>
      </c>
      <c r="E203" s="234">
        <v>251996.37</v>
      </c>
    </row>
    <row r="204" spans="2:5">
      <c r="B204" s="232" t="s">
        <v>1239</v>
      </c>
      <c r="C204" s="233" t="s">
        <v>1212</v>
      </c>
      <c r="D204" s="234">
        <v>262413.7</v>
      </c>
      <c r="E204" s="234">
        <v>277569.44</v>
      </c>
    </row>
    <row r="205" spans="2:5">
      <c r="B205" s="232" t="s">
        <v>1240</v>
      </c>
      <c r="C205" s="233" t="s">
        <v>1212</v>
      </c>
      <c r="D205" s="234">
        <v>292928.93</v>
      </c>
      <c r="E205" s="234">
        <v>187311.45</v>
      </c>
    </row>
    <row r="206" spans="2:5">
      <c r="B206" s="232" t="s">
        <v>1241</v>
      </c>
      <c r="C206" s="233" t="s">
        <v>1212</v>
      </c>
      <c r="D206" s="234">
        <v>220729.71</v>
      </c>
      <c r="E206" s="234">
        <v>290221.5</v>
      </c>
    </row>
    <row r="207" spans="2:5">
      <c r="B207" s="232" t="s">
        <v>1242</v>
      </c>
      <c r="C207" s="233" t="s">
        <v>1212</v>
      </c>
      <c r="D207" s="234">
        <v>304491</v>
      </c>
      <c r="E207" s="234">
        <v>483103.5</v>
      </c>
    </row>
    <row r="208" spans="2:5">
      <c r="B208" s="232" t="s">
        <v>1243</v>
      </c>
      <c r="C208" s="233" t="s">
        <v>1212</v>
      </c>
      <c r="D208" s="234">
        <v>441540</v>
      </c>
      <c r="E208" s="234">
        <v>403771.5</v>
      </c>
    </row>
    <row r="209" spans="2:5">
      <c r="B209" s="232" t="s">
        <v>1244</v>
      </c>
      <c r="C209" s="233" t="s">
        <v>1212</v>
      </c>
      <c r="D209" s="234">
        <v>400125</v>
      </c>
      <c r="E209" s="234">
        <v>470415</v>
      </c>
    </row>
    <row r="210" spans="2:5">
      <c r="B210" s="232" t="s">
        <v>1245</v>
      </c>
      <c r="C210" s="233" t="s">
        <v>1212</v>
      </c>
      <c r="D210" s="234">
        <v>413655</v>
      </c>
      <c r="E210" s="234">
        <v>299706</v>
      </c>
    </row>
    <row r="211" spans="2:5">
      <c r="B211" s="232" t="s">
        <v>1246</v>
      </c>
      <c r="C211" s="233" t="s">
        <v>1247</v>
      </c>
      <c r="D211" s="234">
        <v>124016.4</v>
      </c>
      <c r="E211" s="234">
        <v>120858.3</v>
      </c>
    </row>
    <row r="212" spans="2:5">
      <c r="B212" s="232" t="s">
        <v>1248</v>
      </c>
      <c r="C212" s="233" t="s">
        <v>1247</v>
      </c>
      <c r="D212" s="234">
        <v>119502</v>
      </c>
      <c r="E212" s="234">
        <v>113637.6</v>
      </c>
    </row>
    <row r="213" spans="2:5">
      <c r="B213" s="232" t="s">
        <v>1249</v>
      </c>
      <c r="C213" s="233" t="s">
        <v>1247</v>
      </c>
      <c r="D213" s="234">
        <v>98735.32</v>
      </c>
      <c r="E213" s="234">
        <v>86553</v>
      </c>
    </row>
    <row r="214" spans="2:5">
      <c r="B214" s="232" t="s">
        <v>1250</v>
      </c>
      <c r="C214" s="233" t="s">
        <v>1247</v>
      </c>
      <c r="D214" s="234">
        <v>99861.63</v>
      </c>
      <c r="E214" s="234">
        <v>81737.42</v>
      </c>
    </row>
    <row r="215" spans="2:5">
      <c r="B215" s="232" t="s">
        <v>1251</v>
      </c>
      <c r="C215" s="233" t="s">
        <v>1247</v>
      </c>
      <c r="D215" s="234">
        <v>110020.5</v>
      </c>
      <c r="E215" s="234">
        <v>95524.98</v>
      </c>
    </row>
    <row r="216" spans="2:5">
      <c r="B216" s="232" t="s">
        <v>1252</v>
      </c>
      <c r="C216" s="233" t="s">
        <v>1247</v>
      </c>
      <c r="D216" s="234">
        <v>106553.94</v>
      </c>
      <c r="E216" s="234">
        <v>121165.38</v>
      </c>
    </row>
    <row r="217" spans="2:5">
      <c r="B217" s="232" t="s">
        <v>1253</v>
      </c>
      <c r="C217" s="233" t="s">
        <v>1212</v>
      </c>
      <c r="D217" s="234">
        <v>41768.81</v>
      </c>
      <c r="E217" s="234">
        <v>45487.85</v>
      </c>
    </row>
    <row r="218" spans="2:5">
      <c r="B218" s="232" t="s">
        <v>1254</v>
      </c>
      <c r="C218" s="233" t="s">
        <v>1212</v>
      </c>
      <c r="D218" s="234">
        <v>43491.15</v>
      </c>
      <c r="E218" s="234">
        <v>43472.86</v>
      </c>
    </row>
    <row r="219" spans="2:5">
      <c r="B219" s="232" t="s">
        <v>1255</v>
      </c>
      <c r="C219" s="233" t="s">
        <v>1212</v>
      </c>
      <c r="D219" s="234">
        <v>49404.58</v>
      </c>
      <c r="E219" s="234">
        <v>49158.36</v>
      </c>
    </row>
    <row r="220" spans="2:5">
      <c r="B220" s="232" t="s">
        <v>1256</v>
      </c>
      <c r="C220" s="233" t="s">
        <v>1212</v>
      </c>
      <c r="D220" s="234">
        <v>47774.01</v>
      </c>
      <c r="E220" s="234">
        <v>46175.55</v>
      </c>
    </row>
    <row r="221" spans="2:5">
      <c r="B221" s="232" t="s">
        <v>1257</v>
      </c>
      <c r="C221" s="233" t="s">
        <v>1212</v>
      </c>
      <c r="D221" s="234">
        <v>45452.480000000003</v>
      </c>
      <c r="E221" s="234">
        <v>42381.52</v>
      </c>
    </row>
    <row r="222" spans="2:5">
      <c r="B222" s="232" t="s">
        <v>1258</v>
      </c>
      <c r="C222" s="233" t="s">
        <v>1212</v>
      </c>
      <c r="D222" s="234">
        <v>110438.9</v>
      </c>
      <c r="E222" s="234">
        <v>118493.84</v>
      </c>
    </row>
    <row r="223" spans="2:5">
      <c r="B223" s="232" t="s">
        <v>1259</v>
      </c>
      <c r="C223" s="233" t="s">
        <v>1212</v>
      </c>
      <c r="D223" s="234">
        <v>128615.5</v>
      </c>
      <c r="E223" s="234">
        <v>115074.41</v>
      </c>
    </row>
    <row r="224" spans="2:5">
      <c r="B224" s="232" t="s">
        <v>1260</v>
      </c>
      <c r="C224" s="233" t="s">
        <v>1212</v>
      </c>
      <c r="D224" s="234">
        <v>132769.71</v>
      </c>
      <c r="E224" s="234">
        <v>115359.01</v>
      </c>
    </row>
    <row r="225" spans="2:5">
      <c r="B225" s="232" t="s">
        <v>1261</v>
      </c>
      <c r="C225" s="233" t="s">
        <v>1212</v>
      </c>
      <c r="D225" s="234">
        <v>115255.05</v>
      </c>
      <c r="E225" s="234">
        <v>117626.38</v>
      </c>
    </row>
    <row r="226" spans="2:5">
      <c r="B226" s="232" t="s">
        <v>1262</v>
      </c>
      <c r="C226" s="233" t="s">
        <v>1212</v>
      </c>
      <c r="D226" s="234">
        <v>127424.27</v>
      </c>
      <c r="E226" s="234">
        <v>118577.77</v>
      </c>
    </row>
    <row r="227" spans="2:5">
      <c r="B227" s="232" t="s">
        <v>1263</v>
      </c>
      <c r="C227" s="233" t="s">
        <v>1247</v>
      </c>
      <c r="D227" s="234">
        <v>707781.74</v>
      </c>
      <c r="E227" s="234">
        <v>812449.43</v>
      </c>
    </row>
    <row r="228" spans="2:5">
      <c r="B228" s="232" t="s">
        <v>1264</v>
      </c>
      <c r="C228" s="233" t="s">
        <v>1247</v>
      </c>
      <c r="D228" s="234">
        <v>769252.09</v>
      </c>
      <c r="E228" s="234">
        <v>697793.59</v>
      </c>
    </row>
    <row r="229" spans="2:5">
      <c r="B229" s="232" t="s">
        <v>1265</v>
      </c>
      <c r="C229" s="233" t="s">
        <v>1247</v>
      </c>
      <c r="D229" s="234">
        <v>865154.48</v>
      </c>
      <c r="E229" s="234">
        <v>872389.15</v>
      </c>
    </row>
    <row r="230" spans="2:5">
      <c r="B230" s="232" t="s">
        <v>1266</v>
      </c>
      <c r="C230" s="233" t="s">
        <v>1247</v>
      </c>
      <c r="D230" s="234">
        <v>810138.67</v>
      </c>
      <c r="E230" s="234">
        <v>728640.83</v>
      </c>
    </row>
    <row r="231" spans="2:5">
      <c r="B231" s="232" t="s">
        <v>1267</v>
      </c>
      <c r="C231" s="233" t="s">
        <v>1247</v>
      </c>
      <c r="D231" s="234">
        <v>1484361.54</v>
      </c>
      <c r="E231" s="234">
        <v>1311481.3500000001</v>
      </c>
    </row>
    <row r="232" spans="2:5">
      <c r="B232" s="232" t="s">
        <v>1268</v>
      </c>
      <c r="C232" s="233" t="s">
        <v>1247</v>
      </c>
      <c r="D232" s="234">
        <v>1800904.5</v>
      </c>
      <c r="E232" s="234">
        <v>1476605.16</v>
      </c>
    </row>
    <row r="233" spans="2:5">
      <c r="B233" s="232" t="s">
        <v>1269</v>
      </c>
      <c r="C233" s="233" t="s">
        <v>1247</v>
      </c>
      <c r="D233" s="234">
        <v>1476848.7</v>
      </c>
      <c r="E233" s="234">
        <v>1691647.29</v>
      </c>
    </row>
    <row r="234" spans="2:5">
      <c r="B234" s="232" t="s">
        <v>1270</v>
      </c>
      <c r="C234" s="233" t="s">
        <v>1247</v>
      </c>
      <c r="D234" s="234">
        <v>1550969.73</v>
      </c>
      <c r="E234" s="234">
        <v>1584382.68</v>
      </c>
    </row>
    <row r="235" spans="2:5">
      <c r="B235" s="232" t="s">
        <v>1271</v>
      </c>
      <c r="C235" s="233" t="s">
        <v>1247</v>
      </c>
      <c r="D235" s="234">
        <v>2015086.79</v>
      </c>
      <c r="E235" s="234">
        <v>1810092.8</v>
      </c>
    </row>
    <row r="236" spans="2:5">
      <c r="B236" s="232" t="s">
        <v>1272</v>
      </c>
      <c r="C236" s="233" t="s">
        <v>1247</v>
      </c>
      <c r="D236" s="234">
        <v>1913322.18</v>
      </c>
      <c r="E236" s="234">
        <v>2290991.59</v>
      </c>
    </row>
    <row r="237" spans="2:5">
      <c r="B237" s="232" t="s">
        <v>1273</v>
      </c>
      <c r="C237" s="233" t="s">
        <v>1247</v>
      </c>
      <c r="D237" s="234">
        <v>2374294.9700000002</v>
      </c>
      <c r="E237" s="234">
        <v>1824080.01</v>
      </c>
    </row>
    <row r="238" spans="2:5">
      <c r="B238" s="232" t="s">
        <v>1274</v>
      </c>
      <c r="C238" s="233" t="s">
        <v>1247</v>
      </c>
      <c r="D238" s="234">
        <v>2054223.96</v>
      </c>
      <c r="E238" s="234">
        <v>2112557.33</v>
      </c>
    </row>
    <row r="239" spans="2:5">
      <c r="B239" s="232" t="s">
        <v>1275</v>
      </c>
      <c r="C239" s="233" t="s">
        <v>1247</v>
      </c>
      <c r="D239" s="234">
        <v>735572</v>
      </c>
      <c r="E239" s="234">
        <v>847728.76</v>
      </c>
    </row>
    <row r="240" spans="2:5">
      <c r="B240" s="232" t="s">
        <v>1276</v>
      </c>
      <c r="C240" s="233" t="s">
        <v>1247</v>
      </c>
      <c r="D240" s="234">
        <v>592173.27</v>
      </c>
      <c r="E240" s="234">
        <v>741002.44</v>
      </c>
    </row>
    <row r="241" spans="2:5">
      <c r="B241" s="232" t="s">
        <v>1277</v>
      </c>
      <c r="C241" s="233" t="s">
        <v>1247</v>
      </c>
      <c r="D241" s="234">
        <v>700458.62</v>
      </c>
      <c r="E241" s="234">
        <v>718434.61</v>
      </c>
    </row>
    <row r="242" spans="2:5">
      <c r="B242" s="232" t="s">
        <v>1278</v>
      </c>
      <c r="C242" s="233" t="s">
        <v>1247</v>
      </c>
      <c r="D242" s="234">
        <v>631813.22</v>
      </c>
      <c r="E242" s="234">
        <v>804996.1</v>
      </c>
    </row>
    <row r="243" spans="2:5">
      <c r="B243" s="232" t="s">
        <v>1279</v>
      </c>
      <c r="C243" s="233" t="s">
        <v>1247</v>
      </c>
      <c r="D243" s="234">
        <v>250399.29</v>
      </c>
      <c r="E243" s="234">
        <v>260515.65</v>
      </c>
    </row>
    <row r="244" spans="2:5">
      <c r="B244" s="232" t="s">
        <v>1280</v>
      </c>
      <c r="C244" s="233" t="s">
        <v>1247</v>
      </c>
      <c r="D244" s="234">
        <v>161968.35</v>
      </c>
      <c r="E244" s="234">
        <v>161726.1</v>
      </c>
    </row>
    <row r="245" spans="2:5">
      <c r="B245" s="232" t="s">
        <v>1281</v>
      </c>
      <c r="C245" s="233" t="s">
        <v>1247</v>
      </c>
      <c r="D245" s="234">
        <v>121047.48</v>
      </c>
      <c r="E245" s="234">
        <v>320894.03999999998</v>
      </c>
    </row>
    <row r="246" spans="2:5">
      <c r="B246" s="232" t="s">
        <v>1282</v>
      </c>
      <c r="C246" s="233" t="s">
        <v>1247</v>
      </c>
      <c r="D246" s="234">
        <v>239275.17</v>
      </c>
      <c r="E246" s="234">
        <v>339876.75</v>
      </c>
    </row>
    <row r="247" spans="2:5">
      <c r="B247" s="232" t="s">
        <v>1283</v>
      </c>
      <c r="C247" s="233" t="s">
        <v>1247</v>
      </c>
      <c r="D247" s="234">
        <v>595742.56000000006</v>
      </c>
      <c r="E247" s="234">
        <v>1421145.04</v>
      </c>
    </row>
    <row r="248" spans="2:5">
      <c r="B248" s="232" t="s">
        <v>1284</v>
      </c>
      <c r="C248" s="233" t="s">
        <v>1247</v>
      </c>
      <c r="D248" s="234">
        <v>562982.91</v>
      </c>
      <c r="E248" s="234">
        <v>1615142.2</v>
      </c>
    </row>
    <row r="249" spans="2:5">
      <c r="B249" s="232" t="s">
        <v>1285</v>
      </c>
      <c r="C249" s="233" t="s">
        <v>1212</v>
      </c>
      <c r="D249" s="234">
        <v>248242.92</v>
      </c>
      <c r="E249" s="234">
        <v>231998.04</v>
      </c>
    </row>
    <row r="250" spans="2:5">
      <c r="B250" s="232" t="s">
        <v>1286</v>
      </c>
      <c r="C250" s="233" t="s">
        <v>1212</v>
      </c>
      <c r="D250" s="234">
        <v>264521.7</v>
      </c>
      <c r="E250" s="234">
        <v>264101.34000000003</v>
      </c>
    </row>
    <row r="251" spans="2:5">
      <c r="B251" s="232" t="s">
        <v>1287</v>
      </c>
      <c r="C251" s="233" t="s">
        <v>1212</v>
      </c>
      <c r="D251" s="234">
        <v>304035.53999999998</v>
      </c>
      <c r="E251" s="234">
        <v>259996.05</v>
      </c>
    </row>
    <row r="252" spans="2:5">
      <c r="B252" s="232" t="s">
        <v>1288</v>
      </c>
      <c r="C252" s="233" t="s">
        <v>1212</v>
      </c>
      <c r="D252" s="234">
        <v>223000.98</v>
      </c>
      <c r="E252" s="234">
        <v>228272.43</v>
      </c>
    </row>
    <row r="253" spans="2:5">
      <c r="B253" s="232" t="s">
        <v>1289</v>
      </c>
      <c r="C253" s="233" t="s">
        <v>1212</v>
      </c>
      <c r="D253" s="234">
        <v>239971.32</v>
      </c>
      <c r="E253" s="234">
        <v>231709.89</v>
      </c>
    </row>
    <row r="254" spans="2:5">
      <c r="B254" s="232" t="s">
        <v>1290</v>
      </c>
      <c r="C254" s="233" t="s">
        <v>1212</v>
      </c>
      <c r="D254" s="234">
        <v>143059.54999999999</v>
      </c>
      <c r="E254" s="234">
        <v>149088.76</v>
      </c>
    </row>
    <row r="255" spans="2:5">
      <c r="B255" s="232" t="s">
        <v>1291</v>
      </c>
      <c r="C255" s="233" t="s">
        <v>1212</v>
      </c>
      <c r="D255" s="234">
        <v>1252009.71</v>
      </c>
      <c r="E255" s="234">
        <v>1074613</v>
      </c>
    </row>
    <row r="256" spans="2:5">
      <c r="B256" s="232" t="s">
        <v>1292</v>
      </c>
      <c r="C256" s="233" t="s">
        <v>1212</v>
      </c>
      <c r="D256" s="234">
        <v>945398.97</v>
      </c>
      <c r="E256" s="234">
        <v>995044.3</v>
      </c>
    </row>
    <row r="257" spans="2:5">
      <c r="B257" s="232" t="s">
        <v>1293</v>
      </c>
      <c r="C257" s="233" t="s">
        <v>1212</v>
      </c>
      <c r="D257" s="234">
        <v>1257816.32</v>
      </c>
      <c r="E257" s="234">
        <v>1088980.03</v>
      </c>
    </row>
    <row r="258" spans="2:5">
      <c r="B258" s="232" t="s">
        <v>1294</v>
      </c>
      <c r="C258" s="233" t="s">
        <v>1212</v>
      </c>
      <c r="D258" s="234">
        <v>1058560.6000000001</v>
      </c>
      <c r="E258" s="234">
        <v>1158493.75</v>
      </c>
    </row>
    <row r="259" spans="2:5">
      <c r="B259" s="232" t="s">
        <v>1295</v>
      </c>
      <c r="C259" s="233" t="s">
        <v>1247</v>
      </c>
      <c r="D259" s="234">
        <v>90851.03</v>
      </c>
      <c r="E259" s="234">
        <v>129387.29</v>
      </c>
    </row>
    <row r="260" spans="2:5">
      <c r="B260" s="232" t="s">
        <v>1296</v>
      </c>
      <c r="C260" s="233" t="s">
        <v>1247</v>
      </c>
      <c r="D260" s="234">
        <v>629378.1</v>
      </c>
      <c r="E260" s="234">
        <v>638867.68000000005</v>
      </c>
    </row>
    <row r="261" spans="2:5">
      <c r="B261" s="232" t="s">
        <v>1297</v>
      </c>
      <c r="C261" s="233" t="s">
        <v>1247</v>
      </c>
      <c r="D261" s="234">
        <v>732682.78</v>
      </c>
      <c r="E261" s="234">
        <v>582650.63</v>
      </c>
    </row>
    <row r="262" spans="2:5">
      <c r="B262" s="232" t="s">
        <v>1298</v>
      </c>
      <c r="C262" s="233" t="s">
        <v>1247</v>
      </c>
      <c r="D262" s="234">
        <v>349480.11</v>
      </c>
      <c r="E262" s="234">
        <v>312395.23</v>
      </c>
    </row>
    <row r="263" spans="2:5">
      <c r="B263" s="232" t="s">
        <v>1299</v>
      </c>
      <c r="C263" s="233" t="s">
        <v>1247</v>
      </c>
      <c r="D263" s="234">
        <v>628819.04</v>
      </c>
      <c r="E263" s="234">
        <v>597765.64</v>
      </c>
    </row>
    <row r="264" spans="2:5">
      <c r="B264" s="232" t="s">
        <v>1300</v>
      </c>
      <c r="C264" s="233" t="s">
        <v>1247</v>
      </c>
      <c r="D264" s="234">
        <v>1268216.67</v>
      </c>
      <c r="E264" s="234">
        <v>1149652.29</v>
      </c>
    </row>
    <row r="265" spans="2:5">
      <c r="B265" s="232" t="s">
        <v>1301</v>
      </c>
      <c r="C265" s="233" t="s">
        <v>1247</v>
      </c>
      <c r="D265" s="234">
        <v>1110473.3400000001</v>
      </c>
      <c r="E265" s="234">
        <v>1196394.42</v>
      </c>
    </row>
    <row r="266" spans="2:5">
      <c r="B266" s="232" t="s">
        <v>1302</v>
      </c>
      <c r="C266" s="233" t="s">
        <v>1247</v>
      </c>
      <c r="D266" s="234">
        <v>1164093.6299999999</v>
      </c>
      <c r="E266" s="234">
        <v>1184210.8500000001</v>
      </c>
    </row>
    <row r="267" spans="2:5">
      <c r="B267" s="232" t="s">
        <v>1303</v>
      </c>
      <c r="C267" s="233" t="s">
        <v>1247</v>
      </c>
      <c r="D267" s="234">
        <v>1070301.81</v>
      </c>
      <c r="E267" s="234">
        <v>1139978.1299999999</v>
      </c>
    </row>
    <row r="268" spans="2:5">
      <c r="B268" s="232" t="s">
        <v>1304</v>
      </c>
      <c r="C268" s="233" t="s">
        <v>1247</v>
      </c>
      <c r="D268" s="234">
        <v>1082128.8899999999</v>
      </c>
      <c r="E268" s="234">
        <v>997556.88</v>
      </c>
    </row>
    <row r="269" spans="2:5">
      <c r="B269" s="232" t="s">
        <v>1305</v>
      </c>
      <c r="C269" s="233" t="s">
        <v>1247</v>
      </c>
      <c r="D269" s="234">
        <v>1162233.82</v>
      </c>
      <c r="E269" s="234">
        <v>1333640.3600000001</v>
      </c>
    </row>
    <row r="270" spans="2:5">
      <c r="B270" s="232" t="s">
        <v>1306</v>
      </c>
      <c r="C270" s="233" t="s">
        <v>1247</v>
      </c>
      <c r="D270" s="234">
        <v>1232015.3</v>
      </c>
      <c r="E270" s="234">
        <v>1384706.82</v>
      </c>
    </row>
    <row r="271" spans="2:5">
      <c r="B271" s="232" t="s">
        <v>1307</v>
      </c>
      <c r="C271" s="233" t="s">
        <v>1247</v>
      </c>
      <c r="D271" s="234">
        <v>1392953.86</v>
      </c>
      <c r="E271" s="234">
        <v>1139243.68</v>
      </c>
    </row>
    <row r="272" spans="2:5">
      <c r="B272" s="232" t="s">
        <v>1308</v>
      </c>
      <c r="C272" s="233" t="s">
        <v>1247</v>
      </c>
      <c r="D272" s="234">
        <v>702180.88</v>
      </c>
      <c r="E272" s="234">
        <v>1167714.1599999999</v>
      </c>
    </row>
    <row r="273" spans="2:5">
      <c r="B273" s="232" t="s">
        <v>1309</v>
      </c>
      <c r="C273" s="233" t="s">
        <v>1247</v>
      </c>
      <c r="D273" s="234">
        <v>181311.31</v>
      </c>
      <c r="E273" s="234">
        <v>190949.22</v>
      </c>
    </row>
    <row r="274" spans="2:5">
      <c r="B274" s="232" t="s">
        <v>1310</v>
      </c>
      <c r="C274" s="233" t="s">
        <v>1247</v>
      </c>
      <c r="D274" s="234">
        <v>1044224.72</v>
      </c>
      <c r="E274" s="234">
        <v>933763.13</v>
      </c>
    </row>
    <row r="275" spans="2:5">
      <c r="B275" s="232" t="s">
        <v>1311</v>
      </c>
      <c r="C275" s="233" t="s">
        <v>1247</v>
      </c>
      <c r="D275" s="234">
        <v>991728.36</v>
      </c>
      <c r="E275" s="234">
        <v>954458.58</v>
      </c>
    </row>
    <row r="276" spans="2:5">
      <c r="B276" s="232" t="s">
        <v>1312</v>
      </c>
      <c r="C276" s="233" t="s">
        <v>1247</v>
      </c>
      <c r="D276" s="234">
        <v>1012064.41</v>
      </c>
      <c r="E276" s="234">
        <v>1023816.79</v>
      </c>
    </row>
    <row r="277" spans="2:5">
      <c r="B277" s="232" t="s">
        <v>1313</v>
      </c>
      <c r="C277" s="233" t="s">
        <v>1247</v>
      </c>
      <c r="D277" s="234">
        <v>991746.33</v>
      </c>
      <c r="E277" s="234">
        <v>1029129.92</v>
      </c>
    </row>
    <row r="278" spans="2:5">
      <c r="B278" s="232" t="s">
        <v>1314</v>
      </c>
      <c r="C278" s="233" t="s">
        <v>1247</v>
      </c>
      <c r="D278" s="234"/>
      <c r="E278" s="234">
        <v>286754.25</v>
      </c>
    </row>
    <row r="279" spans="2:5">
      <c r="B279" s="232" t="s">
        <v>1315</v>
      </c>
      <c r="C279" s="233" t="s">
        <v>1247</v>
      </c>
      <c r="D279" s="234">
        <v>2083141.35</v>
      </c>
      <c r="E279" s="234">
        <v>1949721.06</v>
      </c>
    </row>
    <row r="280" spans="2:5">
      <c r="B280" s="232" t="s">
        <v>1316</v>
      </c>
      <c r="C280" s="233" t="s">
        <v>1247</v>
      </c>
      <c r="D280" s="234">
        <v>1577895.3</v>
      </c>
      <c r="E280" s="234">
        <v>1956995.46</v>
      </c>
    </row>
    <row r="281" spans="2:5">
      <c r="B281" s="232" t="s">
        <v>1317</v>
      </c>
      <c r="C281" s="233" t="s">
        <v>1247</v>
      </c>
      <c r="D281" s="234">
        <v>1779733.92</v>
      </c>
      <c r="E281" s="234">
        <v>1718486.07</v>
      </c>
    </row>
    <row r="282" spans="2:5">
      <c r="B282" s="232" t="s">
        <v>1318</v>
      </c>
      <c r="C282" s="233" t="s">
        <v>1247</v>
      </c>
      <c r="D282" s="234">
        <v>2468242.89</v>
      </c>
      <c r="E282" s="234">
        <v>1859505.51</v>
      </c>
    </row>
    <row r="283" spans="2:5">
      <c r="B283" s="232" t="s">
        <v>1319</v>
      </c>
      <c r="C283" s="233" t="s">
        <v>1247</v>
      </c>
      <c r="D283" s="234">
        <v>719377.68</v>
      </c>
      <c r="E283" s="234">
        <v>757558.8</v>
      </c>
    </row>
    <row r="284" spans="2:5">
      <c r="B284" s="232" t="s">
        <v>1320</v>
      </c>
      <c r="C284" s="233" t="s">
        <v>1247</v>
      </c>
      <c r="D284" s="234">
        <v>710207.3</v>
      </c>
      <c r="E284" s="234">
        <v>779795.26</v>
      </c>
    </row>
    <row r="285" spans="2:5">
      <c r="B285" s="232" t="s">
        <v>1321</v>
      </c>
      <c r="C285" s="233" t="s">
        <v>1247</v>
      </c>
      <c r="D285" s="234">
        <v>831479.3</v>
      </c>
      <c r="E285" s="234">
        <v>758866.06</v>
      </c>
    </row>
    <row r="286" spans="2:5">
      <c r="B286" s="232" t="s">
        <v>1322</v>
      </c>
      <c r="C286" s="233" t="s">
        <v>1247</v>
      </c>
      <c r="D286" s="234">
        <v>846680.68</v>
      </c>
      <c r="E286" s="234">
        <v>837549.42</v>
      </c>
    </row>
    <row r="287" spans="2:5">
      <c r="B287" s="232" t="s">
        <v>1323</v>
      </c>
      <c r="C287" s="233" t="s">
        <v>1247</v>
      </c>
      <c r="D287" s="234">
        <v>147048.66</v>
      </c>
      <c r="E287" s="234">
        <v>121799.7</v>
      </c>
    </row>
    <row r="288" spans="2:5">
      <c r="B288" s="232" t="s">
        <v>1324</v>
      </c>
      <c r="C288" s="233" t="s">
        <v>1247</v>
      </c>
      <c r="D288" s="234">
        <v>125895.33</v>
      </c>
      <c r="E288" s="234">
        <v>134473.68</v>
      </c>
    </row>
    <row r="289" spans="2:5">
      <c r="B289" s="232" t="s">
        <v>1325</v>
      </c>
      <c r="C289" s="233" t="s">
        <v>1247</v>
      </c>
      <c r="D289" s="234">
        <v>142804.53</v>
      </c>
      <c r="E289" s="234">
        <v>149793.93</v>
      </c>
    </row>
    <row r="290" spans="2:5">
      <c r="B290" s="232" t="s">
        <v>1326</v>
      </c>
      <c r="C290" s="233" t="s">
        <v>1247</v>
      </c>
      <c r="D290" s="234">
        <v>165122.1</v>
      </c>
      <c r="E290" s="234">
        <v>140509.71</v>
      </c>
    </row>
    <row r="291" spans="2:5">
      <c r="B291" s="232" t="s">
        <v>1327</v>
      </c>
      <c r="C291" s="233" t="s">
        <v>1247</v>
      </c>
      <c r="D291" s="234">
        <v>206367.75</v>
      </c>
      <c r="E291" s="234">
        <v>185323.98</v>
      </c>
    </row>
    <row r="292" spans="2:5">
      <c r="B292" s="232" t="s">
        <v>1328</v>
      </c>
      <c r="C292" s="233" t="s">
        <v>1247</v>
      </c>
      <c r="D292" s="234">
        <v>202557.09</v>
      </c>
      <c r="E292" s="234">
        <v>205816.92</v>
      </c>
    </row>
    <row r="293" spans="2:5">
      <c r="B293" s="232" t="s">
        <v>1329</v>
      </c>
      <c r="C293" s="233" t="s">
        <v>1247</v>
      </c>
      <c r="D293" s="234">
        <v>154295.56</v>
      </c>
      <c r="E293" s="234">
        <v>125694.92</v>
      </c>
    </row>
    <row r="294" spans="2:5">
      <c r="B294" s="232" t="s">
        <v>1330</v>
      </c>
      <c r="C294" s="233" t="s">
        <v>1247</v>
      </c>
      <c r="D294" s="234">
        <v>156875.4</v>
      </c>
      <c r="E294" s="234">
        <v>157582.91</v>
      </c>
    </row>
    <row r="295" spans="2:5">
      <c r="B295" s="232" t="s">
        <v>1331</v>
      </c>
      <c r="C295" s="233" t="s">
        <v>1247</v>
      </c>
      <c r="D295" s="234">
        <v>148365.94</v>
      </c>
      <c r="E295" s="234">
        <v>139979.79</v>
      </c>
    </row>
    <row r="296" spans="2:5">
      <c r="B296" s="232" t="s">
        <v>1332</v>
      </c>
      <c r="C296" s="233" t="s">
        <v>1247</v>
      </c>
      <c r="D296" s="234">
        <v>150778.85999999999</v>
      </c>
      <c r="E296" s="234">
        <v>111849.94</v>
      </c>
    </row>
    <row r="297" spans="2:5">
      <c r="B297" s="232" t="s">
        <v>1333</v>
      </c>
      <c r="C297" s="233" t="s">
        <v>1247</v>
      </c>
      <c r="D297" s="234">
        <v>76402.41</v>
      </c>
      <c r="E297" s="234">
        <v>216189.89</v>
      </c>
    </row>
    <row r="298" spans="2:5">
      <c r="B298" s="232" t="s">
        <v>1334</v>
      </c>
      <c r="C298" s="233" t="s">
        <v>1247</v>
      </c>
      <c r="D298" s="234">
        <v>136842.65</v>
      </c>
      <c r="E298" s="234">
        <v>159406.73000000001</v>
      </c>
    </row>
    <row r="299" spans="2:5">
      <c r="B299" s="232" t="s">
        <v>1335</v>
      </c>
      <c r="C299" s="233" t="s">
        <v>1247</v>
      </c>
      <c r="D299" s="234">
        <v>114722.01</v>
      </c>
      <c r="E299" s="234">
        <v>216227.79</v>
      </c>
    </row>
    <row r="300" spans="2:5">
      <c r="B300" s="232" t="s">
        <v>1336</v>
      </c>
      <c r="C300" s="233" t="s">
        <v>1247</v>
      </c>
      <c r="D300" s="234">
        <v>111552.57</v>
      </c>
      <c r="E300" s="234">
        <v>229321.26</v>
      </c>
    </row>
    <row r="301" spans="2:5">
      <c r="B301" s="232" t="s">
        <v>1337</v>
      </c>
      <c r="C301" s="233" t="s">
        <v>1247</v>
      </c>
      <c r="D301" s="234">
        <v>158352.57999999999</v>
      </c>
      <c r="E301" s="234">
        <v>165805.34</v>
      </c>
    </row>
    <row r="302" spans="2:5">
      <c r="B302" s="232" t="s">
        <v>1338</v>
      </c>
      <c r="C302" s="233" t="s">
        <v>1247</v>
      </c>
      <c r="D302" s="234">
        <v>165279.19</v>
      </c>
      <c r="E302" s="234">
        <v>223514.71</v>
      </c>
    </row>
    <row r="303" spans="2:5">
      <c r="B303" s="232" t="s">
        <v>1339</v>
      </c>
      <c r="C303" s="233" t="s">
        <v>1247</v>
      </c>
      <c r="D303" s="234">
        <v>180002.9</v>
      </c>
      <c r="E303" s="234">
        <v>204005.55</v>
      </c>
    </row>
    <row r="304" spans="2:5">
      <c r="B304" s="232" t="s">
        <v>1340</v>
      </c>
      <c r="C304" s="233" t="s">
        <v>1247</v>
      </c>
      <c r="D304" s="234">
        <v>234893.26</v>
      </c>
      <c r="E304" s="234">
        <v>228795.84</v>
      </c>
    </row>
    <row r="305" spans="2:5">
      <c r="B305" s="232" t="s">
        <v>1341</v>
      </c>
      <c r="C305" s="233" t="s">
        <v>1247</v>
      </c>
      <c r="D305" s="234">
        <v>1506698.27</v>
      </c>
      <c r="E305" s="234">
        <v>1475405.58</v>
      </c>
    </row>
    <row r="306" spans="2:5">
      <c r="B306" s="232" t="s">
        <v>1342</v>
      </c>
      <c r="C306" s="233" t="s">
        <v>1247</v>
      </c>
      <c r="D306" s="234">
        <v>1455123.12</v>
      </c>
      <c r="E306" s="234">
        <v>1411916.44</v>
      </c>
    </row>
    <row r="307" spans="2:5">
      <c r="B307" s="232" t="s">
        <v>1343</v>
      </c>
      <c r="C307" s="233" t="s">
        <v>1212</v>
      </c>
      <c r="D307" s="234">
        <v>145124.25</v>
      </c>
      <c r="E307" s="234">
        <v>156528.09</v>
      </c>
    </row>
    <row r="308" spans="2:5">
      <c r="B308" s="232" t="s">
        <v>1344</v>
      </c>
      <c r="C308" s="233" t="s">
        <v>1212</v>
      </c>
      <c r="D308" s="234">
        <v>129334.79</v>
      </c>
      <c r="E308" s="234">
        <v>171930.02</v>
      </c>
    </row>
    <row r="309" spans="2:5">
      <c r="B309" s="232" t="s">
        <v>1345</v>
      </c>
      <c r="C309" s="233" t="s">
        <v>1212</v>
      </c>
      <c r="D309" s="234">
        <v>161024.13</v>
      </c>
      <c r="E309" s="234">
        <v>144188.32</v>
      </c>
    </row>
    <row r="310" spans="2:5">
      <c r="B310" s="232" t="s">
        <v>1346</v>
      </c>
      <c r="C310" s="233" t="s">
        <v>1212</v>
      </c>
      <c r="D310" s="234">
        <v>143062.84</v>
      </c>
      <c r="E310" s="234">
        <v>179099.4</v>
      </c>
    </row>
    <row r="311" spans="2:5">
      <c r="B311" s="232" t="s">
        <v>1347</v>
      </c>
      <c r="C311" s="233" t="s">
        <v>1212</v>
      </c>
      <c r="D311" s="234">
        <v>133800.76</v>
      </c>
      <c r="E311" s="234">
        <v>169857.81</v>
      </c>
    </row>
    <row r="312" spans="2:5">
      <c r="B312" s="232" t="s">
        <v>1348</v>
      </c>
      <c r="C312" s="233" t="s">
        <v>1212</v>
      </c>
      <c r="D312" s="234">
        <v>147123.56</v>
      </c>
      <c r="E312" s="234">
        <v>136550.29</v>
      </c>
    </row>
    <row r="313" spans="2:5">
      <c r="B313" s="232" t="s">
        <v>1349</v>
      </c>
      <c r="C313" s="233" t="s">
        <v>1212</v>
      </c>
      <c r="D313" s="234">
        <v>166393.56</v>
      </c>
      <c r="E313" s="234">
        <v>141396.85</v>
      </c>
    </row>
    <row r="314" spans="2:5">
      <c r="B314" s="232" t="s">
        <v>1350</v>
      </c>
      <c r="C314" s="233" t="s">
        <v>1212</v>
      </c>
      <c r="D314" s="234">
        <v>156920.76</v>
      </c>
      <c r="E314" s="234">
        <v>143457.04</v>
      </c>
    </row>
    <row r="315" spans="2:5">
      <c r="B315" s="232" t="s">
        <v>1351</v>
      </c>
      <c r="C315" s="233" t="s">
        <v>1212</v>
      </c>
      <c r="D315" s="234">
        <v>174356.95</v>
      </c>
      <c r="E315" s="234">
        <v>183609.48</v>
      </c>
    </row>
    <row r="316" spans="2:5">
      <c r="B316" s="232" t="s">
        <v>1352</v>
      </c>
      <c r="C316" s="233" t="s">
        <v>1212</v>
      </c>
      <c r="D316" s="234">
        <v>156358.79</v>
      </c>
      <c r="E316" s="234">
        <v>168148.81</v>
      </c>
    </row>
    <row r="317" spans="2:5">
      <c r="B317" s="232" t="s">
        <v>1353</v>
      </c>
      <c r="C317" s="233" t="s">
        <v>1354</v>
      </c>
      <c r="D317" s="234">
        <v>827668.8</v>
      </c>
      <c r="E317" s="234">
        <v>878148.6</v>
      </c>
    </row>
    <row r="318" spans="2:5">
      <c r="B318" s="232" t="s">
        <v>1355</v>
      </c>
      <c r="C318" s="233" t="s">
        <v>1354</v>
      </c>
      <c r="D318" s="234">
        <v>878148.6</v>
      </c>
      <c r="E318" s="234">
        <v>789684</v>
      </c>
    </row>
    <row r="319" spans="2:5">
      <c r="B319" s="232" t="s">
        <v>1356</v>
      </c>
      <c r="C319" s="233" t="s">
        <v>1354</v>
      </c>
      <c r="D319" s="234">
        <v>780687.6</v>
      </c>
      <c r="E319" s="234">
        <v>743702.4</v>
      </c>
    </row>
    <row r="320" spans="2:5">
      <c r="B320" s="232" t="s">
        <v>1357</v>
      </c>
      <c r="C320" s="233" t="s">
        <v>1358</v>
      </c>
      <c r="D320" s="234">
        <v>19069.68</v>
      </c>
      <c r="E320" s="234">
        <v>25087.98</v>
      </c>
    </row>
    <row r="321" spans="2:5">
      <c r="B321" s="232" t="s">
        <v>1359</v>
      </c>
      <c r="C321" s="233" t="s">
        <v>1358</v>
      </c>
      <c r="D321" s="234">
        <v>32370.52</v>
      </c>
      <c r="E321" s="234">
        <v>30410.44</v>
      </c>
    </row>
    <row r="322" spans="2:5">
      <c r="B322" s="232" t="s">
        <v>1360</v>
      </c>
      <c r="C322" s="233" t="s">
        <v>1358</v>
      </c>
      <c r="D322" s="234">
        <v>31971.9</v>
      </c>
      <c r="E322" s="234">
        <v>32185.46</v>
      </c>
    </row>
    <row r="323" spans="2:5">
      <c r="B323" s="232" t="s">
        <v>1361</v>
      </c>
      <c r="C323" s="233" t="s">
        <v>1358</v>
      </c>
      <c r="D323" s="234">
        <v>36215.81</v>
      </c>
      <c r="E323" s="234">
        <v>29815.99</v>
      </c>
    </row>
    <row r="324" spans="2:5">
      <c r="B324" s="232" t="s">
        <v>1362</v>
      </c>
      <c r="C324" s="233" t="s">
        <v>1358</v>
      </c>
      <c r="D324" s="234">
        <v>40327.019999999997</v>
      </c>
      <c r="E324" s="234">
        <v>32144.46</v>
      </c>
    </row>
    <row r="325" spans="2:5">
      <c r="B325" s="232" t="s">
        <v>1363</v>
      </c>
      <c r="C325" s="233" t="s">
        <v>1354</v>
      </c>
      <c r="D325" s="234">
        <v>42543.81</v>
      </c>
      <c r="E325" s="234">
        <v>54264.74</v>
      </c>
    </row>
    <row r="326" spans="2:5">
      <c r="B326" s="232" t="s">
        <v>1364</v>
      </c>
      <c r="C326" s="233" t="s">
        <v>1354</v>
      </c>
      <c r="D326" s="234">
        <v>45388.02</v>
      </c>
      <c r="E326" s="234">
        <v>49314.15</v>
      </c>
    </row>
    <row r="327" spans="2:5">
      <c r="B327" s="232" t="s">
        <v>1365</v>
      </c>
      <c r="C327" s="233" t="s">
        <v>1354</v>
      </c>
      <c r="D327" s="234">
        <v>50787.97</v>
      </c>
      <c r="E327" s="234">
        <v>51042.84</v>
      </c>
    </row>
    <row r="328" spans="2:5">
      <c r="B328" s="232" t="s">
        <v>1366</v>
      </c>
      <c r="C328" s="233" t="s">
        <v>1354</v>
      </c>
      <c r="D328" s="234">
        <v>53356.84</v>
      </c>
      <c r="E328" s="234">
        <v>63174.49</v>
      </c>
    </row>
    <row r="329" spans="2:5">
      <c r="B329" s="232" t="s">
        <v>1367</v>
      </c>
      <c r="C329" s="233" t="s">
        <v>1354</v>
      </c>
      <c r="D329" s="234">
        <v>61103.99</v>
      </c>
      <c r="E329" s="234">
        <v>55703.360000000001</v>
      </c>
    </row>
    <row r="330" spans="2:5">
      <c r="B330" s="232" t="s">
        <v>1368</v>
      </c>
      <c r="C330" s="233" t="s">
        <v>1354</v>
      </c>
      <c r="D330" s="234">
        <v>50105.15</v>
      </c>
      <c r="E330" s="234">
        <v>66426.94</v>
      </c>
    </row>
    <row r="331" spans="2:5">
      <c r="B331" s="232" t="s">
        <v>1369</v>
      </c>
      <c r="C331" s="233" t="s">
        <v>1354</v>
      </c>
      <c r="D331" s="234">
        <v>25539.13</v>
      </c>
      <c r="E331" s="234">
        <v>24363.439999999999</v>
      </c>
    </row>
    <row r="332" spans="2:5">
      <c r="B332" s="232" t="s">
        <v>1370</v>
      </c>
      <c r="C332" s="233" t="s">
        <v>1354</v>
      </c>
      <c r="D332" s="234">
        <v>23561.15</v>
      </c>
      <c r="E332" s="234">
        <v>25192.05</v>
      </c>
    </row>
    <row r="333" spans="2:5">
      <c r="B333" s="232" t="s">
        <v>1371</v>
      </c>
      <c r="C333" s="233" t="s">
        <v>1354</v>
      </c>
      <c r="D333" s="234">
        <v>26598.15</v>
      </c>
      <c r="E333" s="234">
        <v>23921.68</v>
      </c>
    </row>
    <row r="334" spans="2:5">
      <c r="B334" s="232" t="s">
        <v>1372</v>
      </c>
      <c r="C334" s="233" t="s">
        <v>1358</v>
      </c>
      <c r="D334" s="234">
        <v>76525.5</v>
      </c>
      <c r="E334" s="234">
        <v>71259.75</v>
      </c>
    </row>
    <row r="335" spans="2:5">
      <c r="B335" s="232" t="s">
        <v>1373</v>
      </c>
      <c r="C335" s="233" t="s">
        <v>1358</v>
      </c>
      <c r="D335" s="234">
        <v>113495.4</v>
      </c>
      <c r="E335" s="234">
        <v>61819.65</v>
      </c>
    </row>
    <row r="336" spans="2:5">
      <c r="B336" s="232" t="s">
        <v>1374</v>
      </c>
      <c r="C336" s="233" t="s">
        <v>1358</v>
      </c>
      <c r="D336" s="234">
        <v>78267.149999999994</v>
      </c>
      <c r="E336" s="234">
        <v>58134.9</v>
      </c>
    </row>
    <row r="337" spans="2:5">
      <c r="B337" s="232" t="s">
        <v>1375</v>
      </c>
      <c r="C337" s="233" t="s">
        <v>1358</v>
      </c>
      <c r="D337" s="234">
        <v>66271.95</v>
      </c>
      <c r="E337" s="234">
        <v>76857</v>
      </c>
    </row>
    <row r="338" spans="2:5">
      <c r="B338" s="232" t="s">
        <v>1376</v>
      </c>
      <c r="C338" s="233" t="s">
        <v>1358</v>
      </c>
      <c r="D338" s="234">
        <v>72575.55</v>
      </c>
      <c r="E338" s="234">
        <v>75798.75</v>
      </c>
    </row>
    <row r="339" spans="2:5">
      <c r="B339" s="232" t="s">
        <v>1377</v>
      </c>
      <c r="C339" s="233" t="s">
        <v>1354</v>
      </c>
      <c r="D339" s="234">
        <v>57554.68</v>
      </c>
      <c r="E339" s="234">
        <v>53369.02</v>
      </c>
    </row>
    <row r="340" spans="2:5">
      <c r="B340" s="232" t="s">
        <v>1378</v>
      </c>
      <c r="C340" s="233" t="s">
        <v>1354</v>
      </c>
      <c r="D340" s="234">
        <v>58342.879999999997</v>
      </c>
      <c r="E340" s="234">
        <v>63366.98</v>
      </c>
    </row>
    <row r="341" spans="2:5">
      <c r="B341" s="232" t="s">
        <v>1379</v>
      </c>
      <c r="C341" s="233" t="s">
        <v>1354</v>
      </c>
      <c r="D341" s="234">
        <v>58799.519999999997</v>
      </c>
      <c r="E341" s="234">
        <v>60239.5</v>
      </c>
    </row>
    <row r="342" spans="2:5">
      <c r="B342" s="232" t="s">
        <v>1380</v>
      </c>
      <c r="C342" s="233" t="s">
        <v>1358</v>
      </c>
      <c r="D342" s="234">
        <v>51948.88</v>
      </c>
      <c r="E342" s="234">
        <v>70527.77</v>
      </c>
    </row>
    <row r="343" spans="2:5">
      <c r="B343" s="232" t="s">
        <v>1381</v>
      </c>
      <c r="C343" s="233" t="s">
        <v>1358</v>
      </c>
      <c r="D343" s="234">
        <v>77078.69</v>
      </c>
      <c r="E343" s="234">
        <v>55018.58</v>
      </c>
    </row>
    <row r="344" spans="2:5">
      <c r="B344" s="232" t="s">
        <v>1382</v>
      </c>
      <c r="C344" s="233" t="s">
        <v>1358</v>
      </c>
      <c r="D344" s="234">
        <v>54098.34</v>
      </c>
      <c r="E344" s="234">
        <v>61523.3</v>
      </c>
    </row>
    <row r="345" spans="2:5">
      <c r="B345" s="232" t="s">
        <v>1383</v>
      </c>
      <c r="C345" s="233" t="s">
        <v>1358</v>
      </c>
      <c r="D345" s="234">
        <v>63264.21</v>
      </c>
      <c r="E345" s="234">
        <v>86531.35</v>
      </c>
    </row>
    <row r="346" spans="2:5">
      <c r="B346" s="232" t="s">
        <v>1384</v>
      </c>
      <c r="C346" s="233" t="s">
        <v>1358</v>
      </c>
      <c r="D346" s="234">
        <v>80812.83</v>
      </c>
      <c r="E346" s="234">
        <v>80058.570000000007</v>
      </c>
    </row>
    <row r="347" spans="2:5">
      <c r="B347" s="232" t="s">
        <v>1385</v>
      </c>
      <c r="C347" s="233" t="s">
        <v>1358</v>
      </c>
      <c r="D347" s="234">
        <v>87264.93</v>
      </c>
      <c r="E347" s="234">
        <v>72014</v>
      </c>
    </row>
    <row r="348" spans="2:5">
      <c r="B348" s="232" t="s">
        <v>1386</v>
      </c>
      <c r="C348" s="233" t="s">
        <v>1358</v>
      </c>
      <c r="D348" s="234">
        <v>108748.87</v>
      </c>
      <c r="E348" s="234">
        <v>99357.42</v>
      </c>
    </row>
    <row r="349" spans="2:5">
      <c r="B349" s="232" t="s">
        <v>1387</v>
      </c>
      <c r="C349" s="233" t="s">
        <v>1358</v>
      </c>
      <c r="D349" s="234">
        <v>89131.58</v>
      </c>
      <c r="E349" s="234">
        <v>99186.47</v>
      </c>
    </row>
    <row r="350" spans="2:5">
      <c r="B350" s="232" t="s">
        <v>1388</v>
      </c>
      <c r="C350" s="233" t="s">
        <v>1358</v>
      </c>
      <c r="D350" s="234">
        <v>75059.67</v>
      </c>
      <c r="E350" s="234">
        <v>81102.559999999998</v>
      </c>
    </row>
    <row r="351" spans="2:5">
      <c r="B351" s="232" t="s">
        <v>1389</v>
      </c>
      <c r="C351" s="233" t="s">
        <v>1358</v>
      </c>
      <c r="D351" s="234">
        <v>83457.22</v>
      </c>
      <c r="E351" s="234">
        <v>72621.58</v>
      </c>
    </row>
    <row r="352" spans="2:5">
      <c r="B352" s="232" t="s">
        <v>1390</v>
      </c>
      <c r="C352" s="233" t="s">
        <v>1358</v>
      </c>
      <c r="D352" s="234">
        <v>73379.58</v>
      </c>
      <c r="E352" s="234">
        <v>68410.33</v>
      </c>
    </row>
    <row r="353" spans="2:5">
      <c r="B353" s="232" t="s">
        <v>1391</v>
      </c>
      <c r="C353" s="233" t="s">
        <v>1354</v>
      </c>
      <c r="D353" s="234">
        <v>38723.74</v>
      </c>
      <c r="E353" s="234">
        <v>40120.519999999997</v>
      </c>
    </row>
    <row r="354" spans="2:5">
      <c r="B354" s="232" t="s">
        <v>1392</v>
      </c>
      <c r="C354" s="233" t="s">
        <v>1354</v>
      </c>
      <c r="D354" s="234">
        <v>33607.42</v>
      </c>
      <c r="E354" s="234">
        <v>38522.660000000003</v>
      </c>
    </row>
    <row r="355" spans="2:5">
      <c r="B355" s="232" t="s">
        <v>1393</v>
      </c>
      <c r="C355" s="233" t="s">
        <v>1358</v>
      </c>
      <c r="D355" s="234">
        <v>23086.31</v>
      </c>
      <c r="E355" s="234">
        <v>19346.98</v>
      </c>
    </row>
    <row r="356" spans="2:5">
      <c r="B356" s="232" t="s">
        <v>1394</v>
      </c>
      <c r="C356" s="233" t="s">
        <v>1358</v>
      </c>
      <c r="D356" s="234">
        <v>20971.27</v>
      </c>
      <c r="E356" s="234">
        <v>17050.259999999998</v>
      </c>
    </row>
    <row r="357" spans="2:5">
      <c r="B357" s="232" t="s">
        <v>1395</v>
      </c>
      <c r="C357" s="233" t="s">
        <v>1358</v>
      </c>
      <c r="D357" s="234">
        <v>555478.64</v>
      </c>
      <c r="E357" s="234">
        <v>532985.56000000006</v>
      </c>
    </row>
    <row r="358" spans="2:5">
      <c r="B358" s="232" t="s">
        <v>1396</v>
      </c>
      <c r="C358" s="233" t="s">
        <v>1358</v>
      </c>
      <c r="D358" s="234">
        <v>493538.08</v>
      </c>
      <c r="E358" s="234">
        <v>436420.96</v>
      </c>
    </row>
    <row r="359" spans="2:5">
      <c r="B359" s="232" t="s">
        <v>1397</v>
      </c>
      <c r="C359" s="233" t="s">
        <v>1358</v>
      </c>
      <c r="D359" s="234">
        <v>511467.94</v>
      </c>
      <c r="E359" s="234">
        <v>440565.3</v>
      </c>
    </row>
    <row r="360" spans="2:5">
      <c r="B360" s="232" t="s">
        <v>1398</v>
      </c>
      <c r="C360" s="233" t="s">
        <v>1358</v>
      </c>
      <c r="D360" s="234">
        <v>509250.6</v>
      </c>
      <c r="E360" s="234">
        <v>492667.27</v>
      </c>
    </row>
    <row r="361" spans="2:5">
      <c r="B361" s="232" t="s">
        <v>1399</v>
      </c>
      <c r="C361" s="233" t="s">
        <v>1358</v>
      </c>
      <c r="D361" s="234">
        <v>28623.74</v>
      </c>
      <c r="E361" s="234">
        <v>26364.5</v>
      </c>
    </row>
    <row r="362" spans="2:5">
      <c r="B362" s="232" t="s">
        <v>1400</v>
      </c>
      <c r="C362" s="233" t="s">
        <v>1358</v>
      </c>
      <c r="D362" s="234">
        <v>37067.08</v>
      </c>
      <c r="E362" s="234">
        <v>36615.5</v>
      </c>
    </row>
    <row r="363" spans="2:5">
      <c r="B363" s="232" t="s">
        <v>1401</v>
      </c>
      <c r="C363" s="233" t="s">
        <v>1358</v>
      </c>
      <c r="D363" s="234">
        <v>68130.960000000006</v>
      </c>
      <c r="E363" s="234">
        <v>29506.799999999999</v>
      </c>
    </row>
    <row r="364" spans="2:5">
      <c r="B364" s="232" t="s">
        <v>1402</v>
      </c>
      <c r="C364" s="233" t="s">
        <v>1358</v>
      </c>
      <c r="D364" s="234">
        <v>45277.26</v>
      </c>
      <c r="E364" s="234">
        <v>31634.720000000001</v>
      </c>
    </row>
    <row r="365" spans="2:5">
      <c r="B365" s="232" t="s">
        <v>1403</v>
      </c>
      <c r="C365" s="233" t="s">
        <v>1358</v>
      </c>
      <c r="D365" s="234">
        <v>58292.14</v>
      </c>
      <c r="E365" s="234">
        <v>78649.350000000006</v>
      </c>
    </row>
    <row r="366" spans="2:5">
      <c r="B366" s="232" t="s">
        <v>1404</v>
      </c>
      <c r="C366" s="233" t="s">
        <v>1358</v>
      </c>
      <c r="D366" s="234">
        <v>59390.52</v>
      </c>
      <c r="E366" s="234">
        <v>73855.56</v>
      </c>
    </row>
    <row r="367" spans="2:5">
      <c r="B367" s="232" t="s">
        <v>1405</v>
      </c>
      <c r="C367" s="233" t="s">
        <v>1358</v>
      </c>
      <c r="D367" s="234">
        <v>58758.31</v>
      </c>
      <c r="E367" s="234">
        <v>77733.48</v>
      </c>
    </row>
    <row r="368" spans="2:5">
      <c r="B368" s="232" t="s">
        <v>1406</v>
      </c>
      <c r="C368" s="233" t="s">
        <v>1358</v>
      </c>
      <c r="D368" s="234">
        <v>70514.14</v>
      </c>
      <c r="E368" s="234">
        <v>94077.56</v>
      </c>
    </row>
    <row r="369" spans="2:5">
      <c r="B369" s="232" t="s">
        <v>1407</v>
      </c>
      <c r="C369" s="233" t="s">
        <v>1247</v>
      </c>
      <c r="D369" s="234">
        <v>17849.39</v>
      </c>
      <c r="E369" s="234">
        <v>16207.06</v>
      </c>
    </row>
    <row r="370" spans="2:5">
      <c r="B370" s="232" t="s">
        <v>1408</v>
      </c>
      <c r="C370" s="233" t="s">
        <v>1247</v>
      </c>
      <c r="D370" s="234">
        <v>18267.41</v>
      </c>
      <c r="E370" s="234">
        <v>18521.14</v>
      </c>
    </row>
    <row r="371" spans="2:5">
      <c r="B371" s="232" t="s">
        <v>1409</v>
      </c>
      <c r="C371" s="233" t="s">
        <v>1247</v>
      </c>
      <c r="D371" s="234">
        <v>18872.68</v>
      </c>
      <c r="E371" s="234">
        <v>17506.54</v>
      </c>
    </row>
    <row r="372" spans="2:5">
      <c r="B372" s="232" t="s">
        <v>1410</v>
      </c>
      <c r="C372" s="233" t="s">
        <v>1247</v>
      </c>
      <c r="D372" s="234">
        <v>17323.22</v>
      </c>
      <c r="E372" s="234">
        <v>17388.57</v>
      </c>
    </row>
    <row r="373" spans="2:5">
      <c r="B373" s="232" t="s">
        <v>1411</v>
      </c>
      <c r="C373" s="233" t="s">
        <v>1247</v>
      </c>
      <c r="D373" s="234">
        <v>14821.2</v>
      </c>
      <c r="E373" s="234">
        <v>3866.4</v>
      </c>
    </row>
    <row r="374" spans="2:5">
      <c r="B374" s="232" t="s">
        <v>1412</v>
      </c>
      <c r="C374" s="233" t="s">
        <v>1247</v>
      </c>
      <c r="D374" s="234">
        <v>11706.6</v>
      </c>
      <c r="E374" s="234">
        <v>10417.799999999999</v>
      </c>
    </row>
    <row r="375" spans="2:5">
      <c r="B375" s="232" t="s">
        <v>1413</v>
      </c>
      <c r="C375" s="233" t="s">
        <v>1247</v>
      </c>
      <c r="D375" s="234">
        <v>12640.8</v>
      </c>
      <c r="E375" s="234">
        <v>15388.8</v>
      </c>
    </row>
    <row r="376" spans="2:5">
      <c r="B376" s="232" t="s">
        <v>1414</v>
      </c>
      <c r="C376" s="233" t="s">
        <v>1212</v>
      </c>
      <c r="D376" s="234">
        <v>322273.14</v>
      </c>
      <c r="E376" s="234">
        <v>323455.65000000002</v>
      </c>
    </row>
    <row r="377" spans="2:5">
      <c r="B377" s="232" t="s">
        <v>1415</v>
      </c>
      <c r="C377" s="233" t="s">
        <v>1212</v>
      </c>
      <c r="D377" s="234">
        <v>321318.55</v>
      </c>
      <c r="E377" s="234">
        <v>345032.46</v>
      </c>
    </row>
    <row r="378" spans="2:5">
      <c r="B378" s="232" t="s">
        <v>1416</v>
      </c>
      <c r="C378" s="233" t="s">
        <v>1212</v>
      </c>
      <c r="D378" s="234">
        <v>293347.74</v>
      </c>
      <c r="E378" s="234">
        <v>312035.01</v>
      </c>
    </row>
    <row r="379" spans="2:5">
      <c r="B379" s="232" t="s">
        <v>1417</v>
      </c>
      <c r="C379" s="233" t="s">
        <v>1212</v>
      </c>
      <c r="D379" s="234">
        <v>246220.79999999999</v>
      </c>
      <c r="E379" s="234">
        <v>341102.36</v>
      </c>
    </row>
    <row r="380" spans="2:5">
      <c r="B380" s="232" t="s">
        <v>1418</v>
      </c>
      <c r="C380" s="233" t="s">
        <v>1212</v>
      </c>
      <c r="D380" s="234">
        <v>311437.38</v>
      </c>
      <c r="E380" s="234">
        <v>334450.46999999997</v>
      </c>
    </row>
    <row r="381" spans="2:5">
      <c r="B381" s="232" t="s">
        <v>1419</v>
      </c>
      <c r="C381" s="233" t="s">
        <v>1212</v>
      </c>
      <c r="D381" s="234">
        <v>334412.63</v>
      </c>
      <c r="E381" s="234">
        <v>480132.86</v>
      </c>
    </row>
    <row r="382" spans="2:5">
      <c r="B382" s="232" t="s">
        <v>1420</v>
      </c>
      <c r="C382" s="233" t="s">
        <v>1212</v>
      </c>
      <c r="D382" s="234">
        <v>333828.44</v>
      </c>
      <c r="E382" s="234">
        <v>338157.01</v>
      </c>
    </row>
    <row r="383" spans="2:5">
      <c r="B383" s="232" t="s">
        <v>1421</v>
      </c>
      <c r="C383" s="233" t="s">
        <v>1212</v>
      </c>
      <c r="D383" s="234">
        <v>323253.27</v>
      </c>
      <c r="E383" s="234">
        <v>327126.44</v>
      </c>
    </row>
    <row r="384" spans="2:5">
      <c r="B384" s="232" t="s">
        <v>1422</v>
      </c>
      <c r="C384" s="233" t="s">
        <v>1212</v>
      </c>
      <c r="D384" s="234">
        <v>331565.3</v>
      </c>
      <c r="E384" s="234">
        <v>351390.83</v>
      </c>
    </row>
    <row r="385" spans="2:5">
      <c r="B385" s="232" t="s">
        <v>1423</v>
      </c>
      <c r="C385" s="233" t="s">
        <v>1212</v>
      </c>
      <c r="D385" s="234">
        <v>306114.07</v>
      </c>
      <c r="E385" s="234">
        <v>453655.83</v>
      </c>
    </row>
    <row r="386" spans="2:5">
      <c r="B386" s="232" t="s">
        <v>1424</v>
      </c>
      <c r="C386" s="233" t="s">
        <v>1212</v>
      </c>
      <c r="D386" s="234">
        <v>472693.12</v>
      </c>
      <c r="E386" s="234">
        <v>439647.1</v>
      </c>
    </row>
    <row r="387" spans="2:5">
      <c r="B387" s="232" t="s">
        <v>1425</v>
      </c>
      <c r="C387" s="233" t="s">
        <v>1212</v>
      </c>
      <c r="D387" s="234">
        <v>395509.41</v>
      </c>
      <c r="E387" s="234">
        <v>533302.97</v>
      </c>
    </row>
    <row r="388" spans="2:5">
      <c r="B388" s="232" t="s">
        <v>1426</v>
      </c>
      <c r="C388" s="233" t="s">
        <v>1212</v>
      </c>
      <c r="D388" s="234">
        <v>458701.35</v>
      </c>
      <c r="E388" s="234">
        <v>394771.64</v>
      </c>
    </row>
    <row r="389" spans="2:5">
      <c r="B389" s="232" t="s">
        <v>1427</v>
      </c>
      <c r="C389" s="233" t="s">
        <v>1212</v>
      </c>
      <c r="D389" s="234">
        <v>489158.91</v>
      </c>
      <c r="E389" s="234">
        <v>487498.97</v>
      </c>
    </row>
    <row r="390" spans="2:5">
      <c r="B390" s="232" t="s">
        <v>1428</v>
      </c>
      <c r="C390" s="233" t="s">
        <v>1212</v>
      </c>
      <c r="D390" s="234">
        <v>340496.28</v>
      </c>
      <c r="E390" s="234">
        <v>402486.19</v>
      </c>
    </row>
    <row r="391" spans="2:5">
      <c r="B391" s="232" t="s">
        <v>1429</v>
      </c>
      <c r="C391" s="233" t="s">
        <v>1212</v>
      </c>
      <c r="D391" s="234">
        <v>205121.4</v>
      </c>
      <c r="E391" s="234">
        <v>165703.20000000001</v>
      </c>
    </row>
    <row r="392" spans="2:5">
      <c r="B392" s="232" t="s">
        <v>1430</v>
      </c>
      <c r="C392" s="233" t="s">
        <v>1212</v>
      </c>
      <c r="D392" s="234">
        <v>141222.73000000001</v>
      </c>
      <c r="E392" s="234">
        <v>160847.1</v>
      </c>
    </row>
    <row r="393" spans="2:5">
      <c r="B393" s="232" t="s">
        <v>1431</v>
      </c>
      <c r="C393" s="233" t="s">
        <v>1212</v>
      </c>
      <c r="D393" s="234">
        <v>183356.59</v>
      </c>
      <c r="E393" s="234">
        <v>152024.81</v>
      </c>
    </row>
    <row r="394" spans="2:5">
      <c r="B394" s="232" t="s">
        <v>1432</v>
      </c>
      <c r="C394" s="233" t="s">
        <v>1212</v>
      </c>
      <c r="D394" s="234">
        <v>180828.97</v>
      </c>
      <c r="E394" s="234">
        <v>170311.78</v>
      </c>
    </row>
    <row r="395" spans="2:5">
      <c r="B395" s="232" t="s">
        <v>1433</v>
      </c>
      <c r="C395" s="233" t="s">
        <v>1212</v>
      </c>
      <c r="D395" s="234">
        <v>211061.98</v>
      </c>
      <c r="E395" s="234">
        <v>167678.62</v>
      </c>
    </row>
    <row r="396" spans="2:5">
      <c r="B396" s="232" t="s">
        <v>1434</v>
      </c>
      <c r="C396" s="233" t="s">
        <v>1212</v>
      </c>
      <c r="D396" s="234">
        <v>291469.37</v>
      </c>
      <c r="E396" s="234">
        <v>303256.77</v>
      </c>
    </row>
    <row r="397" spans="2:5">
      <c r="B397" s="232" t="s">
        <v>1435</v>
      </c>
      <c r="C397" s="233" t="s">
        <v>1212</v>
      </c>
      <c r="D397" s="234">
        <v>280059.94</v>
      </c>
      <c r="E397" s="234">
        <v>247247.61</v>
      </c>
    </row>
    <row r="398" spans="2:5">
      <c r="B398" s="232" t="s">
        <v>1436</v>
      </c>
      <c r="C398" s="233" t="s">
        <v>1212</v>
      </c>
      <c r="D398" s="234">
        <v>314266.28000000003</v>
      </c>
      <c r="E398" s="234">
        <v>338859</v>
      </c>
    </row>
    <row r="399" spans="2:5">
      <c r="B399" s="232" t="s">
        <v>1437</v>
      </c>
      <c r="C399" s="233" t="s">
        <v>1212</v>
      </c>
      <c r="D399" s="234">
        <v>378515.02</v>
      </c>
      <c r="E399" s="234">
        <v>298751.02</v>
      </c>
    </row>
    <row r="400" spans="2:5">
      <c r="B400" s="232" t="s">
        <v>1438</v>
      </c>
      <c r="C400" s="233" t="s">
        <v>1212</v>
      </c>
      <c r="D400" s="234">
        <v>339678.93</v>
      </c>
      <c r="E400" s="234">
        <v>337817.06</v>
      </c>
    </row>
    <row r="401" spans="2:5">
      <c r="B401" s="232" t="s">
        <v>1439</v>
      </c>
      <c r="C401" s="233" t="s">
        <v>1212</v>
      </c>
      <c r="D401" s="234">
        <v>446660.97</v>
      </c>
      <c r="E401" s="234">
        <v>551957.31999999995</v>
      </c>
    </row>
    <row r="402" spans="2:5">
      <c r="B402" s="232" t="s">
        <v>1440</v>
      </c>
      <c r="C402" s="233" t="s">
        <v>1212</v>
      </c>
      <c r="D402" s="234">
        <v>459260.56</v>
      </c>
      <c r="E402" s="234">
        <v>494518.39</v>
      </c>
    </row>
    <row r="403" spans="2:5">
      <c r="B403" s="232" t="s">
        <v>1441</v>
      </c>
      <c r="C403" s="233" t="s">
        <v>1212</v>
      </c>
      <c r="D403" s="234">
        <v>513594.65</v>
      </c>
      <c r="E403" s="234">
        <v>453737.68</v>
      </c>
    </row>
    <row r="404" spans="2:5">
      <c r="B404" s="232" t="s">
        <v>1442</v>
      </c>
      <c r="C404" s="233" t="s">
        <v>1212</v>
      </c>
      <c r="D404" s="234">
        <v>579481.49</v>
      </c>
      <c r="E404" s="234">
        <v>483325.74</v>
      </c>
    </row>
    <row r="405" spans="2:5">
      <c r="B405" s="232" t="s">
        <v>1443</v>
      </c>
      <c r="C405" s="233" t="s">
        <v>1212</v>
      </c>
      <c r="D405" s="234">
        <v>435084.33</v>
      </c>
      <c r="E405" s="234">
        <v>518151.53</v>
      </c>
    </row>
    <row r="406" spans="2:5">
      <c r="B406" s="232" t="s">
        <v>1444</v>
      </c>
      <c r="C406" s="233" t="s">
        <v>1212</v>
      </c>
      <c r="D406" s="234">
        <v>334863.56</v>
      </c>
      <c r="E406" s="234">
        <v>337979.49</v>
      </c>
    </row>
    <row r="407" spans="2:5">
      <c r="B407" s="232" t="s">
        <v>1445</v>
      </c>
      <c r="C407" s="233" t="s">
        <v>1212</v>
      </c>
      <c r="D407" s="234">
        <v>325655.77</v>
      </c>
      <c r="E407" s="234">
        <v>286152.77</v>
      </c>
    </row>
    <row r="408" spans="2:5">
      <c r="B408" s="232" t="s">
        <v>1446</v>
      </c>
      <c r="C408" s="233" t="s">
        <v>1212</v>
      </c>
      <c r="D408" s="234">
        <v>275957.03000000003</v>
      </c>
      <c r="E408" s="234">
        <v>308708.23</v>
      </c>
    </row>
    <row r="409" spans="2:5">
      <c r="B409" s="232" t="s">
        <v>1447</v>
      </c>
      <c r="C409" s="233" t="s">
        <v>1212</v>
      </c>
      <c r="D409" s="234">
        <v>267009.26</v>
      </c>
      <c r="E409" s="234">
        <v>276936.99</v>
      </c>
    </row>
    <row r="410" spans="2:5">
      <c r="B410" s="232" t="s">
        <v>1448</v>
      </c>
      <c r="C410" s="233" t="s">
        <v>1212</v>
      </c>
      <c r="D410" s="234">
        <v>271969.11</v>
      </c>
      <c r="E410" s="234">
        <v>276665.01</v>
      </c>
    </row>
    <row r="411" spans="2:5">
      <c r="B411" s="232" t="s">
        <v>1449</v>
      </c>
      <c r="C411" s="233" t="s">
        <v>1247</v>
      </c>
      <c r="D411" s="234">
        <v>37493.96</v>
      </c>
      <c r="E411" s="234">
        <v>24390.83</v>
      </c>
    </row>
    <row r="412" spans="2:5">
      <c r="B412" s="232" t="s">
        <v>1450</v>
      </c>
      <c r="C412" s="233" t="s">
        <v>1247</v>
      </c>
      <c r="D412" s="234">
        <v>27945.56</v>
      </c>
      <c r="E412" s="234">
        <v>32199.15</v>
      </c>
    </row>
    <row r="413" spans="2:5">
      <c r="B413" s="232" t="s">
        <v>1451</v>
      </c>
      <c r="C413" s="233" t="s">
        <v>1247</v>
      </c>
      <c r="D413" s="234">
        <v>32193.78</v>
      </c>
      <c r="E413" s="234">
        <v>34627.17</v>
      </c>
    </row>
    <row r="414" spans="2:5">
      <c r="B414" s="232" t="s">
        <v>1452</v>
      </c>
      <c r="C414" s="233" t="s">
        <v>1354</v>
      </c>
      <c r="D414" s="234">
        <v>38978.31</v>
      </c>
      <c r="E414" s="234">
        <v>38600.31</v>
      </c>
    </row>
    <row r="415" spans="2:5">
      <c r="B415" s="232" t="s">
        <v>1453</v>
      </c>
      <c r="C415" s="233" t="s">
        <v>1354</v>
      </c>
      <c r="D415" s="234">
        <v>31128.93</v>
      </c>
      <c r="E415" s="234">
        <v>35265.51</v>
      </c>
    </row>
    <row r="416" spans="2:5">
      <c r="B416" s="232" t="s">
        <v>1454</v>
      </c>
      <c r="C416" s="233" t="s">
        <v>1354</v>
      </c>
      <c r="D416" s="234">
        <v>76072.600000000006</v>
      </c>
      <c r="E416" s="234">
        <v>78916.06</v>
      </c>
    </row>
    <row r="417" spans="2:5">
      <c r="B417" s="232" t="s">
        <v>1455</v>
      </c>
      <c r="C417" s="233" t="s">
        <v>1354</v>
      </c>
      <c r="D417" s="234">
        <v>85720.23</v>
      </c>
      <c r="E417" s="234">
        <v>84330.880000000005</v>
      </c>
    </row>
    <row r="418" spans="2:5">
      <c r="B418" s="232" t="s">
        <v>1456</v>
      </c>
      <c r="C418" s="233" t="s">
        <v>1354</v>
      </c>
      <c r="D418" s="234">
        <v>80822.7</v>
      </c>
      <c r="E418" s="234">
        <v>89838.34</v>
      </c>
    </row>
    <row r="419" spans="2:5">
      <c r="B419" s="232" t="s">
        <v>1457</v>
      </c>
      <c r="C419" s="233" t="s">
        <v>1354</v>
      </c>
      <c r="D419" s="234">
        <v>709745.4</v>
      </c>
      <c r="E419" s="234">
        <v>631751.4</v>
      </c>
    </row>
    <row r="420" spans="2:5">
      <c r="B420" s="232" t="s">
        <v>1458</v>
      </c>
      <c r="C420" s="233" t="s">
        <v>1354</v>
      </c>
      <c r="D420" s="234">
        <v>642150.6</v>
      </c>
      <c r="E420" s="234">
        <v>608353.19999999995</v>
      </c>
    </row>
    <row r="421" spans="2:5">
      <c r="B421" s="232" t="s">
        <v>1459</v>
      </c>
      <c r="C421" s="233" t="s">
        <v>1354</v>
      </c>
      <c r="D421" s="234">
        <v>1032120.6</v>
      </c>
      <c r="E421" s="234">
        <v>686347.2</v>
      </c>
    </row>
    <row r="422" spans="2:5">
      <c r="B422" s="232" t="s">
        <v>1460</v>
      </c>
      <c r="C422" s="233" t="s">
        <v>1247</v>
      </c>
      <c r="D422" s="234">
        <v>65642.5</v>
      </c>
      <c r="E422" s="234">
        <v>42586</v>
      </c>
    </row>
    <row r="423" spans="2:5">
      <c r="B423" s="232" t="s">
        <v>1461</v>
      </c>
      <c r="C423" s="233" t="s">
        <v>1247</v>
      </c>
      <c r="D423" s="234">
        <v>58611.5</v>
      </c>
      <c r="E423" s="234">
        <v>53580</v>
      </c>
    </row>
    <row r="424" spans="2:5">
      <c r="B424" s="232" t="s">
        <v>1462</v>
      </c>
      <c r="C424" s="233" t="s">
        <v>1247</v>
      </c>
      <c r="D424" s="234">
        <v>62348</v>
      </c>
      <c r="E424" s="234">
        <v>62788.5</v>
      </c>
    </row>
    <row r="425" spans="2:5">
      <c r="B425" s="232" t="s">
        <v>1463</v>
      </c>
      <c r="C425" s="233" t="s">
        <v>1247</v>
      </c>
      <c r="D425" s="234">
        <v>43337.5</v>
      </c>
      <c r="E425" s="234">
        <v>35525</v>
      </c>
    </row>
    <row r="426" spans="2:5">
      <c r="B426" s="232" t="s">
        <v>1464</v>
      </c>
      <c r="C426" s="233" t="s">
        <v>1247</v>
      </c>
      <c r="D426" s="234">
        <v>29277</v>
      </c>
      <c r="E426" s="234">
        <v>43737</v>
      </c>
    </row>
    <row r="427" spans="2:5">
      <c r="B427" s="232" t="s">
        <v>1465</v>
      </c>
      <c r="C427" s="233" t="s">
        <v>1247</v>
      </c>
      <c r="D427" s="234">
        <v>38598</v>
      </c>
      <c r="E427" s="234">
        <v>39777</v>
      </c>
    </row>
    <row r="428" spans="2:5">
      <c r="B428" s="232" t="s">
        <v>1466</v>
      </c>
      <c r="C428" s="233" t="s">
        <v>1247</v>
      </c>
      <c r="D428" s="234">
        <v>28054.5</v>
      </c>
      <c r="E428" s="234">
        <v>46798.5</v>
      </c>
    </row>
    <row r="429" spans="2:5">
      <c r="B429" s="232" t="s">
        <v>1467</v>
      </c>
      <c r="C429" s="233" t="s">
        <v>1247</v>
      </c>
      <c r="D429" s="234">
        <v>34147.5</v>
      </c>
      <c r="E429" s="234">
        <v>31182</v>
      </c>
    </row>
    <row r="430" spans="2:5">
      <c r="B430" s="232" t="s">
        <v>1468</v>
      </c>
      <c r="C430" s="233" t="s">
        <v>1247</v>
      </c>
      <c r="D430" s="234">
        <v>39349.03</v>
      </c>
      <c r="E430" s="234">
        <v>39533.82</v>
      </c>
    </row>
    <row r="431" spans="2:5">
      <c r="B431" s="232" t="s">
        <v>1469</v>
      </c>
      <c r="C431" s="233" t="s">
        <v>1247</v>
      </c>
      <c r="D431" s="234">
        <v>46475.9</v>
      </c>
      <c r="E431" s="234">
        <v>40297.26</v>
      </c>
    </row>
    <row r="432" spans="2:5">
      <c r="B432" s="232" t="s">
        <v>1470</v>
      </c>
      <c r="C432" s="233" t="s">
        <v>1247</v>
      </c>
      <c r="D432" s="234">
        <v>48522.7</v>
      </c>
      <c r="E432" s="234">
        <v>38907.89</v>
      </c>
    </row>
    <row r="433" spans="2:5">
      <c r="B433" s="232" t="s">
        <v>1471</v>
      </c>
      <c r="C433" s="233" t="s">
        <v>1247</v>
      </c>
      <c r="D433" s="234">
        <v>43763.05</v>
      </c>
      <c r="E433" s="234">
        <v>46582.44</v>
      </c>
    </row>
    <row r="434" spans="2:5">
      <c r="B434" s="232" t="s">
        <v>1472</v>
      </c>
      <c r="C434" s="233" t="s">
        <v>1037</v>
      </c>
      <c r="D434" s="234">
        <v>358277.8</v>
      </c>
      <c r="E434" s="234">
        <v>303201.59999999998</v>
      </c>
    </row>
    <row r="435" spans="2:5">
      <c r="B435" s="232" t="s">
        <v>1473</v>
      </c>
      <c r="C435" s="233" t="s">
        <v>1037</v>
      </c>
      <c r="D435" s="234">
        <v>932578.42</v>
      </c>
      <c r="E435" s="234">
        <v>868207.32</v>
      </c>
    </row>
    <row r="436" spans="2:5">
      <c r="B436" s="232" t="s">
        <v>1474</v>
      </c>
      <c r="C436" s="233" t="s">
        <v>1037</v>
      </c>
      <c r="D436" s="234">
        <v>355824.98</v>
      </c>
      <c r="E436" s="234">
        <v>329426.23</v>
      </c>
    </row>
    <row r="437" spans="2:5">
      <c r="B437" s="232" t="s">
        <v>1475</v>
      </c>
      <c r="C437" s="233" t="s">
        <v>1037</v>
      </c>
      <c r="D437" s="234">
        <v>379753</v>
      </c>
      <c r="E437" s="234">
        <v>585938.80000000005</v>
      </c>
    </row>
    <row r="438" spans="2:5">
      <c r="B438" s="232" t="s">
        <v>1476</v>
      </c>
      <c r="C438" s="233" t="s">
        <v>1037</v>
      </c>
      <c r="D438" s="234">
        <v>537302.16</v>
      </c>
      <c r="E438" s="234">
        <v>1107877.68</v>
      </c>
    </row>
    <row r="439" spans="2:5">
      <c r="B439" s="232" t="s">
        <v>1477</v>
      </c>
      <c r="C439" s="233" t="s">
        <v>1037</v>
      </c>
      <c r="D439" s="234">
        <v>319188.12</v>
      </c>
      <c r="E439" s="234">
        <v>261152.32</v>
      </c>
    </row>
    <row r="440" spans="2:5">
      <c r="B440" s="232" t="s">
        <v>1478</v>
      </c>
      <c r="C440" s="233" t="s">
        <v>1037</v>
      </c>
      <c r="D440" s="234">
        <v>320829.98</v>
      </c>
      <c r="E440" s="234">
        <v>339917.7</v>
      </c>
    </row>
    <row r="441" spans="2:5">
      <c r="B441" s="232" t="s">
        <v>1479</v>
      </c>
      <c r="C441" s="233" t="s">
        <v>1037</v>
      </c>
      <c r="D441" s="234">
        <v>717807.36</v>
      </c>
      <c r="E441" s="234">
        <v>568572.31999999995</v>
      </c>
    </row>
    <row r="442" spans="2:5">
      <c r="B442" s="232" t="s">
        <v>1480</v>
      </c>
      <c r="C442" s="233" t="s">
        <v>1037</v>
      </c>
      <c r="D442" s="234">
        <v>726915.2</v>
      </c>
      <c r="E442" s="234">
        <v>604490.07999999996</v>
      </c>
    </row>
    <row r="443" spans="2:5">
      <c r="B443" s="232" t="s">
        <v>1481</v>
      </c>
      <c r="C443" s="233" t="s">
        <v>1037</v>
      </c>
      <c r="D443" s="234">
        <v>640374.46</v>
      </c>
      <c r="E443" s="234">
        <v>831187.06</v>
      </c>
    </row>
    <row r="444" spans="2:5">
      <c r="B444" s="232" t="s">
        <v>1482</v>
      </c>
      <c r="C444" s="233" t="s">
        <v>1037</v>
      </c>
      <c r="D444" s="234">
        <v>542546.34</v>
      </c>
      <c r="E444" s="234">
        <v>802636.4</v>
      </c>
    </row>
    <row r="445" spans="2:5">
      <c r="B445" s="232" t="s">
        <v>1483</v>
      </c>
      <c r="C445" s="233" t="s">
        <v>1247</v>
      </c>
      <c r="D445" s="234">
        <v>19561.3</v>
      </c>
      <c r="E445" s="234">
        <v>17185.849999999999</v>
      </c>
    </row>
    <row r="446" spans="2:5">
      <c r="B446" s="232" t="s">
        <v>1484</v>
      </c>
      <c r="C446" s="233" t="s">
        <v>1247</v>
      </c>
      <c r="D446" s="234">
        <v>16502.89</v>
      </c>
      <c r="E446" s="234">
        <v>16552.759999999998</v>
      </c>
    </row>
    <row r="447" spans="2:5">
      <c r="B447" s="232" t="s">
        <v>1485</v>
      </c>
      <c r="C447" s="233" t="s">
        <v>1247</v>
      </c>
      <c r="D447" s="234">
        <v>17272.95</v>
      </c>
      <c r="E447" s="234">
        <v>19607.22</v>
      </c>
    </row>
    <row r="448" spans="2:5">
      <c r="B448" s="232" t="s">
        <v>1486</v>
      </c>
      <c r="C448" s="233" t="s">
        <v>1247</v>
      </c>
      <c r="D448" s="234">
        <v>37067.879999999997</v>
      </c>
      <c r="E448" s="234">
        <v>33869.5</v>
      </c>
    </row>
    <row r="449" spans="2:5">
      <c r="B449" s="232" t="s">
        <v>1487</v>
      </c>
      <c r="C449" s="233" t="s">
        <v>1247</v>
      </c>
      <c r="D449" s="234">
        <v>34427.32</v>
      </c>
      <c r="E449" s="234">
        <v>28815.64</v>
      </c>
    </row>
    <row r="450" spans="2:5">
      <c r="B450" s="232" t="s">
        <v>1488</v>
      </c>
      <c r="C450" s="233" t="s">
        <v>1247</v>
      </c>
      <c r="D450" s="234">
        <v>32859.449999999997</v>
      </c>
      <c r="E450" s="234">
        <v>33955.550000000003</v>
      </c>
    </row>
    <row r="451" spans="2:5">
      <c r="B451" s="232" t="s">
        <v>1489</v>
      </c>
      <c r="C451" s="233" t="s">
        <v>1037</v>
      </c>
      <c r="D451" s="234">
        <v>87643.34</v>
      </c>
      <c r="E451" s="234">
        <v>63213.88</v>
      </c>
    </row>
    <row r="452" spans="2:5">
      <c r="B452" s="232" t="s">
        <v>1490</v>
      </c>
      <c r="C452" s="233" t="s">
        <v>1037</v>
      </c>
      <c r="D452" s="234">
        <v>80653.429999999993</v>
      </c>
      <c r="E452" s="234">
        <v>83406.23</v>
      </c>
    </row>
    <row r="453" spans="2:5">
      <c r="B453" s="232" t="s">
        <v>1491</v>
      </c>
      <c r="C453" s="233" t="s">
        <v>1037</v>
      </c>
      <c r="D453" s="234">
        <v>75308.710000000006</v>
      </c>
      <c r="E453" s="234">
        <v>85538.5</v>
      </c>
    </row>
    <row r="454" spans="2:5">
      <c r="B454" s="232" t="s">
        <v>1492</v>
      </c>
      <c r="C454" s="233" t="s">
        <v>1037</v>
      </c>
      <c r="D454" s="234">
        <v>72904.649999999994</v>
      </c>
      <c r="E454" s="234">
        <v>67220.67</v>
      </c>
    </row>
    <row r="455" spans="2:5">
      <c r="B455" s="232" t="s">
        <v>1493</v>
      </c>
      <c r="C455" s="233" t="s">
        <v>1354</v>
      </c>
      <c r="D455" s="234">
        <v>30188.79</v>
      </c>
      <c r="E455" s="234">
        <v>31597.99</v>
      </c>
    </row>
    <row r="456" spans="2:5">
      <c r="B456" s="232" t="s">
        <v>1494</v>
      </c>
      <c r="C456" s="233" t="s">
        <v>1354</v>
      </c>
      <c r="D456" s="234">
        <v>29233.54</v>
      </c>
      <c r="E456" s="234">
        <v>35821.35</v>
      </c>
    </row>
    <row r="457" spans="2:5">
      <c r="B457" s="232" t="s">
        <v>1495</v>
      </c>
      <c r="C457" s="233" t="s">
        <v>1354</v>
      </c>
      <c r="D457" s="234">
        <v>26939.62</v>
      </c>
      <c r="E457" s="234">
        <v>26432.81</v>
      </c>
    </row>
    <row r="458" spans="2:5">
      <c r="B458" s="232" t="s">
        <v>1496</v>
      </c>
      <c r="C458" s="233" t="s">
        <v>1212</v>
      </c>
      <c r="D458" s="234">
        <v>568705.55000000005</v>
      </c>
      <c r="E458" s="234">
        <v>720722</v>
      </c>
    </row>
    <row r="459" spans="2:5">
      <c r="B459" s="232" t="s">
        <v>1497</v>
      </c>
      <c r="C459" s="233" t="s">
        <v>1212</v>
      </c>
      <c r="D459" s="234">
        <v>741734.9</v>
      </c>
      <c r="E459" s="234">
        <v>658141.65</v>
      </c>
    </row>
    <row r="460" spans="2:5">
      <c r="B460" s="232" t="s">
        <v>1498</v>
      </c>
      <c r="C460" s="233" t="s">
        <v>1212</v>
      </c>
      <c r="D460" s="234">
        <v>712903.35</v>
      </c>
      <c r="E460" s="234">
        <v>691360.9</v>
      </c>
    </row>
    <row r="461" spans="2:5">
      <c r="B461" s="232" t="s">
        <v>1499</v>
      </c>
      <c r="C461" s="233" t="s">
        <v>1212</v>
      </c>
      <c r="D461" s="234">
        <v>848259</v>
      </c>
      <c r="E461" s="234">
        <v>752348.15</v>
      </c>
    </row>
    <row r="462" spans="2:5">
      <c r="B462" s="232" t="s">
        <v>1500</v>
      </c>
      <c r="C462" s="233" t="s">
        <v>1212</v>
      </c>
      <c r="D462" s="234">
        <v>212370.9</v>
      </c>
      <c r="E462" s="234">
        <v>191745.35</v>
      </c>
    </row>
    <row r="463" spans="2:5">
      <c r="B463" s="232" t="s">
        <v>1501</v>
      </c>
      <c r="C463" s="233" t="s">
        <v>1212</v>
      </c>
      <c r="D463" s="234">
        <v>216873.22</v>
      </c>
      <c r="E463" s="234">
        <v>205531.64</v>
      </c>
    </row>
    <row r="464" spans="2:5">
      <c r="B464" s="232" t="s">
        <v>1502</v>
      </c>
      <c r="C464" s="233" t="s">
        <v>1212</v>
      </c>
      <c r="D464" s="234">
        <v>214097.26</v>
      </c>
      <c r="E464" s="234">
        <v>178459.16</v>
      </c>
    </row>
    <row r="465" spans="2:5">
      <c r="B465" s="232" t="s">
        <v>1503</v>
      </c>
      <c r="C465" s="233" t="s">
        <v>1212</v>
      </c>
      <c r="D465" s="234">
        <v>216014.59</v>
      </c>
      <c r="E465" s="234">
        <v>170546.98</v>
      </c>
    </row>
    <row r="466" spans="2:5">
      <c r="B466" s="232" t="s">
        <v>1504</v>
      </c>
      <c r="C466" s="233" t="s">
        <v>1212</v>
      </c>
      <c r="D466" s="234">
        <v>243457.06</v>
      </c>
      <c r="E466" s="234">
        <v>206078.92</v>
      </c>
    </row>
    <row r="467" spans="2:5">
      <c r="B467" s="232" t="s">
        <v>1505</v>
      </c>
      <c r="C467" s="233" t="s">
        <v>1212</v>
      </c>
      <c r="D467" s="234">
        <v>203958.65</v>
      </c>
      <c r="E467" s="234">
        <v>253353.64</v>
      </c>
    </row>
    <row r="468" spans="2:5">
      <c r="B468" s="232" t="s">
        <v>1506</v>
      </c>
      <c r="C468" s="233" t="s">
        <v>1212</v>
      </c>
      <c r="D468" s="234">
        <v>295618.98</v>
      </c>
      <c r="E468" s="234">
        <v>203125.74</v>
      </c>
    </row>
    <row r="469" spans="2:5">
      <c r="B469" s="232" t="s">
        <v>1507</v>
      </c>
      <c r="C469" s="233" t="s">
        <v>1212</v>
      </c>
      <c r="D469" s="234">
        <v>250281.26</v>
      </c>
      <c r="E469" s="234">
        <v>216088.74</v>
      </c>
    </row>
    <row r="470" spans="2:5">
      <c r="B470" s="232" t="s">
        <v>1508</v>
      </c>
      <c r="C470" s="233" t="s">
        <v>1212</v>
      </c>
      <c r="D470" s="234">
        <v>546639</v>
      </c>
      <c r="E470" s="234">
        <v>587392.44999999995</v>
      </c>
    </row>
    <row r="471" spans="2:5">
      <c r="B471" s="232" t="s">
        <v>1509</v>
      </c>
      <c r="C471" s="233" t="s">
        <v>1212</v>
      </c>
      <c r="D471" s="234">
        <v>534024.30000000005</v>
      </c>
      <c r="E471" s="234">
        <v>529615.51</v>
      </c>
    </row>
    <row r="472" spans="2:5">
      <c r="B472" s="232" t="s">
        <v>1510</v>
      </c>
      <c r="C472" s="233" t="s">
        <v>1212</v>
      </c>
      <c r="D472" s="234">
        <v>631338.69999999995</v>
      </c>
      <c r="E472" s="234">
        <v>532293.64</v>
      </c>
    </row>
    <row r="473" spans="2:5">
      <c r="B473" s="232" t="s">
        <v>1511</v>
      </c>
      <c r="C473" s="233" t="s">
        <v>1212</v>
      </c>
      <c r="D473" s="234">
        <v>698350.95</v>
      </c>
      <c r="E473" s="234">
        <v>556873.98</v>
      </c>
    </row>
    <row r="474" spans="2:5">
      <c r="B474" s="232" t="s">
        <v>1512</v>
      </c>
      <c r="C474" s="233" t="s">
        <v>1212</v>
      </c>
      <c r="D474" s="234">
        <v>259403.09</v>
      </c>
      <c r="E474" s="234">
        <v>245409.54</v>
      </c>
    </row>
    <row r="475" spans="2:5">
      <c r="B475" s="232" t="s">
        <v>1513</v>
      </c>
      <c r="C475" s="233" t="s">
        <v>1212</v>
      </c>
      <c r="D475" s="234">
        <v>257624.76</v>
      </c>
      <c r="E475" s="234">
        <v>217275.74</v>
      </c>
    </row>
    <row r="476" spans="2:5">
      <c r="B476" s="232" t="s">
        <v>1514</v>
      </c>
      <c r="C476" s="233" t="s">
        <v>1212</v>
      </c>
      <c r="D476" s="234">
        <v>268938.59000000003</v>
      </c>
      <c r="E476" s="234">
        <v>239815.38</v>
      </c>
    </row>
    <row r="477" spans="2:5">
      <c r="B477" s="232" t="s">
        <v>1515</v>
      </c>
      <c r="C477" s="233" t="s">
        <v>1212</v>
      </c>
      <c r="D477" s="234">
        <v>239155.23</v>
      </c>
      <c r="E477" s="234">
        <v>262920.63</v>
      </c>
    </row>
    <row r="478" spans="2:5">
      <c r="B478" s="232" t="s">
        <v>1516</v>
      </c>
      <c r="C478" s="233" t="s">
        <v>1212</v>
      </c>
      <c r="D478" s="234">
        <v>462907.5</v>
      </c>
      <c r="E478" s="234">
        <v>844519.5</v>
      </c>
    </row>
    <row r="479" spans="2:5">
      <c r="B479" s="232" t="s">
        <v>1517</v>
      </c>
      <c r="C479" s="233" t="s">
        <v>1212</v>
      </c>
      <c r="D479" s="234">
        <v>432828</v>
      </c>
      <c r="E479" s="234">
        <v>838827</v>
      </c>
    </row>
    <row r="480" spans="2:5">
      <c r="B480" s="232" t="s">
        <v>1518</v>
      </c>
      <c r="C480" s="233" t="s">
        <v>1212</v>
      </c>
      <c r="D480" s="234">
        <v>442959</v>
      </c>
      <c r="E480" s="234">
        <v>865854</v>
      </c>
    </row>
    <row r="481" spans="2:5">
      <c r="B481" s="232" t="s">
        <v>1519</v>
      </c>
      <c r="C481" s="233" t="s">
        <v>1212</v>
      </c>
      <c r="D481" s="234">
        <v>420403.5</v>
      </c>
      <c r="E481" s="234">
        <v>974407.5</v>
      </c>
    </row>
    <row r="482" spans="2:5">
      <c r="B482" s="232" t="s">
        <v>1520</v>
      </c>
      <c r="C482" s="233" t="s">
        <v>1247</v>
      </c>
      <c r="D482" s="234">
        <v>21564.17</v>
      </c>
      <c r="E482" s="234">
        <v>25482.97</v>
      </c>
    </row>
    <row r="483" spans="2:5">
      <c r="B483" s="232" t="s">
        <v>1521</v>
      </c>
      <c r="C483" s="233" t="s">
        <v>1247</v>
      </c>
      <c r="D483" s="234">
        <v>21473.19</v>
      </c>
      <c r="E483" s="234">
        <v>18930.38</v>
      </c>
    </row>
    <row r="484" spans="2:5">
      <c r="B484" s="232" t="s">
        <v>1522</v>
      </c>
      <c r="C484" s="233" t="s">
        <v>1247</v>
      </c>
      <c r="D484" s="234">
        <v>23157.51</v>
      </c>
      <c r="E484" s="234">
        <v>24172.26</v>
      </c>
    </row>
    <row r="485" spans="2:5">
      <c r="B485" s="232" t="s">
        <v>1523</v>
      </c>
      <c r="C485" s="233" t="s">
        <v>1037</v>
      </c>
      <c r="D485" s="234">
        <v>29912.52</v>
      </c>
      <c r="E485" s="234">
        <v>34071.480000000003</v>
      </c>
    </row>
    <row r="486" spans="2:5">
      <c r="B486" s="232" t="s">
        <v>1524</v>
      </c>
      <c r="C486" s="233" t="s">
        <v>1037</v>
      </c>
      <c r="D486" s="234">
        <v>23354.16</v>
      </c>
      <c r="E486" s="234">
        <v>34071.480000000003</v>
      </c>
    </row>
    <row r="487" spans="2:5">
      <c r="B487" s="232" t="s">
        <v>1525</v>
      </c>
      <c r="C487" s="233" t="s">
        <v>1037</v>
      </c>
      <c r="D487" s="234">
        <v>27993</v>
      </c>
      <c r="E487" s="234">
        <v>28792.799999999999</v>
      </c>
    </row>
    <row r="488" spans="2:5">
      <c r="B488" s="232" t="s">
        <v>1526</v>
      </c>
      <c r="C488" s="233" t="s">
        <v>1247</v>
      </c>
      <c r="D488" s="234">
        <v>24010.11</v>
      </c>
      <c r="E488" s="234">
        <v>17630.02</v>
      </c>
    </row>
    <row r="489" spans="2:5">
      <c r="B489" s="232" t="s">
        <v>1527</v>
      </c>
      <c r="C489" s="233" t="s">
        <v>1247</v>
      </c>
      <c r="D489" s="234">
        <v>17057.71</v>
      </c>
      <c r="E489" s="234">
        <v>20337.82</v>
      </c>
    </row>
    <row r="490" spans="2:5">
      <c r="B490" s="232" t="s">
        <v>1528</v>
      </c>
      <c r="C490" s="233" t="s">
        <v>1247</v>
      </c>
      <c r="D490" s="234">
        <v>17251.45</v>
      </c>
      <c r="E490" s="234">
        <v>15196.63</v>
      </c>
    </row>
    <row r="491" spans="2:5">
      <c r="B491" s="232" t="s">
        <v>1529</v>
      </c>
      <c r="C491" s="233" t="s">
        <v>1247</v>
      </c>
      <c r="D491" s="234">
        <v>42997.16</v>
      </c>
      <c r="E491" s="234">
        <v>39675.129999999997</v>
      </c>
    </row>
    <row r="492" spans="2:5">
      <c r="B492" s="232" t="s">
        <v>1530</v>
      </c>
      <c r="C492" s="233" t="s">
        <v>1247</v>
      </c>
      <c r="D492" s="234">
        <v>35780.120000000003</v>
      </c>
      <c r="E492" s="234">
        <v>34339.94</v>
      </c>
    </row>
    <row r="493" spans="2:5">
      <c r="B493" s="232" t="s">
        <v>1531</v>
      </c>
      <c r="C493" s="233" t="s">
        <v>1247</v>
      </c>
      <c r="D493" s="234">
        <v>33608.85</v>
      </c>
      <c r="E493" s="234">
        <v>39410.97</v>
      </c>
    </row>
    <row r="494" spans="2:5">
      <c r="B494" s="232" t="s">
        <v>1532</v>
      </c>
      <c r="C494" s="233" t="s">
        <v>1037</v>
      </c>
      <c r="D494" s="234">
        <v>43834</v>
      </c>
      <c r="E494" s="234">
        <v>41033.72</v>
      </c>
    </row>
    <row r="495" spans="2:5">
      <c r="B495" s="232" t="s">
        <v>1533</v>
      </c>
      <c r="C495" s="233" t="s">
        <v>1037</v>
      </c>
      <c r="D495" s="234">
        <v>41049.120000000003</v>
      </c>
      <c r="E495" s="234">
        <v>42851.76</v>
      </c>
    </row>
    <row r="496" spans="2:5">
      <c r="B496" s="232" t="s">
        <v>1534</v>
      </c>
      <c r="C496" s="233" t="s">
        <v>1037</v>
      </c>
      <c r="D496" s="234">
        <v>39798.639999999999</v>
      </c>
      <c r="E496" s="234">
        <v>45195.08</v>
      </c>
    </row>
    <row r="497" spans="2:5">
      <c r="B497" s="232" t="s">
        <v>1535</v>
      </c>
      <c r="C497" s="233" t="s">
        <v>1037</v>
      </c>
      <c r="D497" s="234">
        <v>42745.919999999998</v>
      </c>
      <c r="E497" s="234">
        <v>40856.76</v>
      </c>
    </row>
    <row r="498" spans="2:5">
      <c r="B498" s="232" t="s">
        <v>1536</v>
      </c>
      <c r="C498" s="233" t="s">
        <v>1037</v>
      </c>
      <c r="D498" s="234">
        <v>40348.620000000003</v>
      </c>
      <c r="E498" s="234">
        <v>40974.18</v>
      </c>
    </row>
    <row r="499" spans="2:5">
      <c r="B499" s="232" t="s">
        <v>1537</v>
      </c>
      <c r="C499" s="233" t="s">
        <v>1037</v>
      </c>
      <c r="D499" s="234">
        <v>36595.26</v>
      </c>
      <c r="E499" s="234">
        <v>35656.92</v>
      </c>
    </row>
    <row r="500" spans="2:5">
      <c r="B500" s="232" t="s">
        <v>1538</v>
      </c>
      <c r="C500" s="233" t="s">
        <v>1037</v>
      </c>
      <c r="D500" s="234">
        <v>37429.339999999997</v>
      </c>
      <c r="E500" s="234">
        <v>35344.14</v>
      </c>
    </row>
    <row r="501" spans="2:5">
      <c r="B501" s="232" t="s">
        <v>1539</v>
      </c>
      <c r="C501" s="233" t="s">
        <v>1037</v>
      </c>
      <c r="D501" s="234">
        <v>22311.64</v>
      </c>
      <c r="E501" s="234">
        <v>33780.239999999998</v>
      </c>
    </row>
    <row r="502" spans="2:5">
      <c r="B502" s="232" t="s">
        <v>1540</v>
      </c>
      <c r="C502" s="233" t="s">
        <v>1354</v>
      </c>
      <c r="D502" s="234">
        <v>9615.57</v>
      </c>
      <c r="E502" s="234">
        <v>6799.89</v>
      </c>
    </row>
    <row r="503" spans="2:5">
      <c r="B503" s="232" t="s">
        <v>1541</v>
      </c>
      <c r="C503" s="233" t="s">
        <v>1354</v>
      </c>
      <c r="D503" s="234">
        <v>8156.41</v>
      </c>
      <c r="E503" s="234">
        <v>7629.21</v>
      </c>
    </row>
    <row r="504" spans="2:5">
      <c r="B504" s="232" t="s">
        <v>1542</v>
      </c>
      <c r="C504" s="233" t="s">
        <v>1354</v>
      </c>
      <c r="D504" s="234">
        <v>9433.1200000000008</v>
      </c>
      <c r="E504" s="234">
        <v>8652.27</v>
      </c>
    </row>
    <row r="505" spans="2:5">
      <c r="B505" s="232" t="s">
        <v>1543</v>
      </c>
      <c r="C505" s="233" t="s">
        <v>1354</v>
      </c>
      <c r="D505" s="234">
        <v>20912.560000000001</v>
      </c>
      <c r="E505" s="234">
        <v>21082.46</v>
      </c>
    </row>
    <row r="506" spans="2:5">
      <c r="B506" s="232" t="s">
        <v>1544</v>
      </c>
      <c r="C506" s="233" t="s">
        <v>1354</v>
      </c>
      <c r="D506" s="234">
        <v>22045.18</v>
      </c>
      <c r="E506" s="234">
        <v>14755.19</v>
      </c>
    </row>
    <row r="507" spans="2:5">
      <c r="B507" s="232" t="s">
        <v>1545</v>
      </c>
      <c r="C507" s="233" t="s">
        <v>1354</v>
      </c>
      <c r="D507" s="234">
        <v>21291.58</v>
      </c>
      <c r="E507" s="234">
        <v>19534.27</v>
      </c>
    </row>
    <row r="508" spans="2:5">
      <c r="B508" s="232" t="s">
        <v>1546</v>
      </c>
      <c r="C508" s="233" t="s">
        <v>1247</v>
      </c>
      <c r="D508" s="234">
        <v>54773.91</v>
      </c>
      <c r="E508" s="234">
        <v>75870.22</v>
      </c>
    </row>
    <row r="509" spans="2:5">
      <c r="B509" s="232" t="s">
        <v>1547</v>
      </c>
      <c r="C509" s="233" t="s">
        <v>1247</v>
      </c>
      <c r="D509" s="234">
        <v>62499.34</v>
      </c>
      <c r="E509" s="234">
        <v>60168.33</v>
      </c>
    </row>
    <row r="510" spans="2:5">
      <c r="B510" s="232" t="s">
        <v>1548</v>
      </c>
      <c r="C510" s="233" t="s">
        <v>1247</v>
      </c>
      <c r="D510" s="234">
        <v>56553.86</v>
      </c>
      <c r="E510" s="234">
        <v>50231.7</v>
      </c>
    </row>
    <row r="511" spans="2:5">
      <c r="B511" s="232" t="s">
        <v>1549</v>
      </c>
      <c r="C511" s="233" t="s">
        <v>1550</v>
      </c>
      <c r="D511" s="234">
        <v>291970.64</v>
      </c>
      <c r="E511" s="234">
        <v>290861.90999999997</v>
      </c>
    </row>
    <row r="512" spans="2:5">
      <c r="B512" s="232" t="s">
        <v>1551</v>
      </c>
      <c r="C512" s="233" t="s">
        <v>1550</v>
      </c>
      <c r="D512" s="234">
        <v>300581.32</v>
      </c>
      <c r="E512" s="234">
        <v>296353.34000000003</v>
      </c>
    </row>
    <row r="513" spans="2:5">
      <c r="B513" s="232" t="s">
        <v>1552</v>
      </c>
      <c r="C513" s="233" t="s">
        <v>1550</v>
      </c>
      <c r="D513" s="234">
        <v>312260.90999999997</v>
      </c>
      <c r="E513" s="234">
        <v>307071.71999999997</v>
      </c>
    </row>
    <row r="514" spans="2:5">
      <c r="B514" s="232" t="s">
        <v>1553</v>
      </c>
      <c r="C514" s="233" t="s">
        <v>1550</v>
      </c>
      <c r="D514" s="234">
        <v>464474.56</v>
      </c>
      <c r="E514" s="234">
        <v>480929.33</v>
      </c>
    </row>
    <row r="515" spans="2:5">
      <c r="B515" s="232" t="s">
        <v>1554</v>
      </c>
      <c r="C515" s="233" t="s">
        <v>1550</v>
      </c>
      <c r="D515" s="234">
        <v>450091.93</v>
      </c>
      <c r="E515" s="234">
        <v>459066.79</v>
      </c>
    </row>
    <row r="516" spans="2:5">
      <c r="B516" s="232" t="s">
        <v>1555</v>
      </c>
      <c r="C516" s="233" t="s">
        <v>1550</v>
      </c>
      <c r="D516" s="234">
        <v>364500.64</v>
      </c>
      <c r="E516" s="234">
        <v>443997.74</v>
      </c>
    </row>
    <row r="517" spans="2:5">
      <c r="B517" s="232" t="s">
        <v>1556</v>
      </c>
      <c r="C517" s="233" t="s">
        <v>1550</v>
      </c>
      <c r="D517" s="234">
        <v>513925.88</v>
      </c>
      <c r="E517" s="234">
        <v>469325.44</v>
      </c>
    </row>
    <row r="518" spans="2:5">
      <c r="B518" s="232" t="s">
        <v>1557</v>
      </c>
      <c r="C518" s="233" t="s">
        <v>1550</v>
      </c>
      <c r="D518" s="234">
        <v>474519.16</v>
      </c>
      <c r="E518" s="234">
        <v>368759.83</v>
      </c>
    </row>
    <row r="519" spans="2:5">
      <c r="B519" s="232" t="s">
        <v>1558</v>
      </c>
      <c r="C519" s="233" t="s">
        <v>1550</v>
      </c>
      <c r="D519" s="234">
        <v>426580.94</v>
      </c>
      <c r="E519" s="234">
        <v>488305.32</v>
      </c>
    </row>
    <row r="520" spans="2:5">
      <c r="B520" s="232" t="s">
        <v>1559</v>
      </c>
      <c r="C520" s="233" t="s">
        <v>1550</v>
      </c>
      <c r="D520" s="234">
        <v>16275.27</v>
      </c>
      <c r="E520" s="234">
        <v>14744</v>
      </c>
    </row>
    <row r="521" spans="2:5">
      <c r="B521" s="232" t="s">
        <v>1560</v>
      </c>
      <c r="C521" s="233" t="s">
        <v>1550</v>
      </c>
      <c r="D521" s="234">
        <v>16538.689999999999</v>
      </c>
      <c r="E521" s="234">
        <v>16463.849999999999</v>
      </c>
    </row>
    <row r="522" spans="2:5">
      <c r="B522" s="232" t="s">
        <v>1561</v>
      </c>
      <c r="C522" s="233" t="s">
        <v>1550</v>
      </c>
      <c r="D522" s="234">
        <v>14092.16</v>
      </c>
      <c r="E522" s="234">
        <v>18454.98</v>
      </c>
    </row>
    <row r="523" spans="2:5">
      <c r="B523" s="232" t="s">
        <v>1562</v>
      </c>
      <c r="C523" s="233" t="s">
        <v>1550</v>
      </c>
      <c r="D523" s="234">
        <v>29349.439999999999</v>
      </c>
      <c r="E523" s="234">
        <v>31209.97</v>
      </c>
    </row>
    <row r="524" spans="2:5">
      <c r="B524" s="232" t="s">
        <v>1563</v>
      </c>
      <c r="C524" s="233" t="s">
        <v>1550</v>
      </c>
      <c r="D524" s="234">
        <v>30274.5</v>
      </c>
      <c r="E524" s="234">
        <v>28859.33</v>
      </c>
    </row>
    <row r="525" spans="2:5">
      <c r="B525" s="232" t="s">
        <v>1564</v>
      </c>
      <c r="C525" s="233" t="s">
        <v>1550</v>
      </c>
      <c r="D525" s="234">
        <v>28406.59</v>
      </c>
      <c r="E525" s="234">
        <v>31917.15</v>
      </c>
    </row>
    <row r="526" spans="2:5">
      <c r="B526" s="232" t="s">
        <v>1565</v>
      </c>
      <c r="C526" s="233" t="s">
        <v>1550</v>
      </c>
      <c r="D526" s="234">
        <v>22107.72</v>
      </c>
      <c r="E526" s="234">
        <v>20284.330000000002</v>
      </c>
    </row>
    <row r="527" spans="2:5">
      <c r="B527" s="232" t="s">
        <v>1566</v>
      </c>
      <c r="C527" s="233" t="s">
        <v>1550</v>
      </c>
      <c r="D527" s="234">
        <v>19432.57</v>
      </c>
      <c r="E527" s="234">
        <v>20137.849999999999</v>
      </c>
    </row>
    <row r="528" spans="2:5">
      <c r="B528" s="232" t="s">
        <v>1567</v>
      </c>
      <c r="C528" s="233" t="s">
        <v>1550</v>
      </c>
      <c r="D528" s="234">
        <v>20818.93</v>
      </c>
      <c r="E528" s="234">
        <v>22741.07</v>
      </c>
    </row>
    <row r="529" spans="2:5">
      <c r="B529" s="232" t="s">
        <v>1568</v>
      </c>
      <c r="C529" s="233" t="s">
        <v>1550</v>
      </c>
      <c r="D529" s="234">
        <v>24660.65</v>
      </c>
      <c r="E529" s="234">
        <v>21112.07</v>
      </c>
    </row>
    <row r="530" spans="2:5">
      <c r="B530" s="232" t="s">
        <v>1569</v>
      </c>
      <c r="C530" s="233" t="s">
        <v>1550</v>
      </c>
      <c r="D530" s="234">
        <v>23950.78</v>
      </c>
      <c r="E530" s="234">
        <v>23171.39</v>
      </c>
    </row>
    <row r="531" spans="2:5">
      <c r="B531" s="232" t="s">
        <v>1570</v>
      </c>
      <c r="C531" s="233" t="s">
        <v>1550</v>
      </c>
      <c r="D531" s="234">
        <v>21860.71</v>
      </c>
      <c r="E531" s="234">
        <v>20808.939999999999</v>
      </c>
    </row>
    <row r="532" spans="2:5">
      <c r="B532" s="232" t="s">
        <v>1571</v>
      </c>
      <c r="C532" s="233" t="s">
        <v>1550</v>
      </c>
      <c r="D532" s="234">
        <v>40252.910000000003</v>
      </c>
      <c r="E532" s="234">
        <v>34971.51</v>
      </c>
    </row>
    <row r="533" spans="2:5">
      <c r="B533" s="232" t="s">
        <v>1572</v>
      </c>
      <c r="C533" s="233" t="s">
        <v>1550</v>
      </c>
      <c r="D533" s="234">
        <v>35857.21</v>
      </c>
      <c r="E533" s="234">
        <v>33029.03</v>
      </c>
    </row>
    <row r="534" spans="2:5">
      <c r="B534" s="232" t="s">
        <v>1573</v>
      </c>
      <c r="C534" s="233" t="s">
        <v>1550</v>
      </c>
      <c r="D534" s="234">
        <v>39803.769999999997</v>
      </c>
      <c r="E534" s="234">
        <v>44333.7</v>
      </c>
    </row>
    <row r="535" spans="2:5">
      <c r="B535" s="232" t="s">
        <v>1574</v>
      </c>
      <c r="C535" s="233" t="s">
        <v>1550</v>
      </c>
      <c r="D535" s="234">
        <v>145723.49</v>
      </c>
      <c r="E535" s="234">
        <v>161563.18</v>
      </c>
    </row>
    <row r="536" spans="2:5">
      <c r="B536" s="232" t="s">
        <v>1575</v>
      </c>
      <c r="C536" s="233" t="s">
        <v>1550</v>
      </c>
      <c r="D536" s="234">
        <v>169238.27</v>
      </c>
      <c r="E536" s="234">
        <v>189475.3</v>
      </c>
    </row>
    <row r="537" spans="2:5">
      <c r="B537" s="232" t="s">
        <v>1576</v>
      </c>
      <c r="C537" s="233" t="s">
        <v>1550</v>
      </c>
      <c r="D537" s="234">
        <v>156652.12</v>
      </c>
      <c r="E537" s="234">
        <v>202063.67</v>
      </c>
    </row>
    <row r="538" spans="2:5">
      <c r="B538" s="232" t="s">
        <v>1577</v>
      </c>
      <c r="C538" s="233" t="s">
        <v>1550</v>
      </c>
      <c r="D538" s="234">
        <v>299947.45</v>
      </c>
      <c r="E538" s="234">
        <v>280567.89</v>
      </c>
    </row>
    <row r="539" spans="2:5">
      <c r="B539" s="232" t="s">
        <v>1578</v>
      </c>
      <c r="C539" s="233" t="s">
        <v>1550</v>
      </c>
      <c r="D539" s="234">
        <v>255007.91</v>
      </c>
      <c r="E539" s="234">
        <v>302012.95</v>
      </c>
    </row>
    <row r="540" spans="2:5">
      <c r="B540" s="232" t="s">
        <v>1579</v>
      </c>
      <c r="C540" s="233" t="s">
        <v>1550</v>
      </c>
      <c r="D540" s="234">
        <v>218976.55</v>
      </c>
      <c r="E540" s="234">
        <v>256638.17</v>
      </c>
    </row>
    <row r="541" spans="2:5">
      <c r="B541" s="232" t="s">
        <v>1580</v>
      </c>
      <c r="C541" s="233" t="s">
        <v>1550</v>
      </c>
      <c r="D541" s="234">
        <v>26342.93</v>
      </c>
      <c r="E541" s="234">
        <v>18810.45</v>
      </c>
    </row>
    <row r="542" spans="2:5">
      <c r="B542" s="232" t="s">
        <v>1581</v>
      </c>
      <c r="C542" s="233" t="s">
        <v>1550</v>
      </c>
      <c r="D542" s="234">
        <v>21170.799999999999</v>
      </c>
      <c r="E542" s="234">
        <v>12745.77</v>
      </c>
    </row>
    <row r="543" spans="2:5">
      <c r="B543" s="232" t="s">
        <v>1582</v>
      </c>
      <c r="C543" s="233" t="s">
        <v>1550</v>
      </c>
      <c r="D543" s="234">
        <v>20620.32</v>
      </c>
      <c r="E543" s="234">
        <v>18920.990000000002</v>
      </c>
    </row>
    <row r="544" spans="2:5">
      <c r="B544" s="232" t="s">
        <v>1583</v>
      </c>
      <c r="C544" s="233" t="s">
        <v>1550</v>
      </c>
      <c r="D544" s="234">
        <v>23609.26</v>
      </c>
      <c r="E544" s="234">
        <v>19431.48</v>
      </c>
    </row>
    <row r="545" spans="2:5">
      <c r="B545" s="232" t="s">
        <v>1584</v>
      </c>
      <c r="C545" s="233" t="s">
        <v>1550</v>
      </c>
      <c r="D545" s="234">
        <v>18363.259999999998</v>
      </c>
      <c r="E545" s="234">
        <v>21757.18</v>
      </c>
    </row>
    <row r="546" spans="2:5">
      <c r="B546" s="232" t="s">
        <v>1585</v>
      </c>
      <c r="C546" s="233" t="s">
        <v>1550</v>
      </c>
      <c r="D546" s="234">
        <v>17464.55</v>
      </c>
      <c r="E546" s="234">
        <v>15929.8</v>
      </c>
    </row>
    <row r="547" spans="2:5">
      <c r="B547" s="232" t="s">
        <v>1586</v>
      </c>
      <c r="C547" s="233" t="s">
        <v>1550</v>
      </c>
      <c r="D547" s="234">
        <v>21313.040000000001</v>
      </c>
      <c r="E547" s="234">
        <v>21874.37</v>
      </c>
    </row>
    <row r="548" spans="2:5">
      <c r="B548" s="232" t="s">
        <v>1587</v>
      </c>
      <c r="C548" s="233" t="s">
        <v>1550</v>
      </c>
      <c r="D548" s="234">
        <v>17338.310000000001</v>
      </c>
      <c r="E548" s="234">
        <v>21249.360000000001</v>
      </c>
    </row>
    <row r="549" spans="2:5">
      <c r="B549" s="232" t="s">
        <v>1588</v>
      </c>
      <c r="C549" s="233" t="s">
        <v>1550</v>
      </c>
      <c r="D549" s="234">
        <v>12224.74</v>
      </c>
      <c r="E549" s="234">
        <v>15299.83</v>
      </c>
    </row>
    <row r="550" spans="2:5">
      <c r="B550" s="232" t="s">
        <v>1589</v>
      </c>
      <c r="C550" s="233" t="s">
        <v>1550</v>
      </c>
      <c r="D550" s="234">
        <v>14586.96</v>
      </c>
      <c r="E550" s="234">
        <v>21435.51</v>
      </c>
    </row>
    <row r="551" spans="2:5">
      <c r="B551" s="232" t="s">
        <v>1590</v>
      </c>
      <c r="C551" s="233" t="s">
        <v>1550</v>
      </c>
      <c r="D551" s="234">
        <v>156742.68</v>
      </c>
      <c r="E551" s="234">
        <v>155062.95000000001</v>
      </c>
    </row>
    <row r="552" spans="2:5">
      <c r="B552" s="232" t="s">
        <v>1591</v>
      </c>
      <c r="C552" s="233" t="s">
        <v>1550</v>
      </c>
      <c r="D552" s="234">
        <v>137483.82</v>
      </c>
      <c r="E552" s="234">
        <v>155963.04</v>
      </c>
    </row>
    <row r="553" spans="2:5">
      <c r="B553" s="232" t="s">
        <v>1592</v>
      </c>
      <c r="C553" s="233" t="s">
        <v>1550</v>
      </c>
      <c r="D553" s="234">
        <v>160279.53</v>
      </c>
      <c r="E553" s="234">
        <v>169004.49</v>
      </c>
    </row>
    <row r="554" spans="2:5">
      <c r="B554" s="232" t="s">
        <v>1593</v>
      </c>
      <c r="C554" s="233" t="s">
        <v>1550</v>
      </c>
      <c r="D554" s="234">
        <v>121908.54</v>
      </c>
      <c r="E554" s="234">
        <v>154241.70000000001</v>
      </c>
    </row>
    <row r="555" spans="2:5">
      <c r="B555" s="232" t="s">
        <v>1594</v>
      </c>
      <c r="C555" s="233" t="s">
        <v>1550</v>
      </c>
      <c r="D555" s="234">
        <v>165233.31</v>
      </c>
      <c r="E555" s="234">
        <v>173469.9</v>
      </c>
    </row>
    <row r="556" spans="2:5">
      <c r="B556" s="232" t="s">
        <v>1595</v>
      </c>
      <c r="C556" s="233" t="s">
        <v>1247</v>
      </c>
      <c r="D556" s="234">
        <v>15195.93</v>
      </c>
      <c r="E556" s="234">
        <v>14807.43</v>
      </c>
    </row>
    <row r="557" spans="2:5">
      <c r="B557" s="232" t="s">
        <v>1596</v>
      </c>
      <c r="C557" s="233" t="s">
        <v>1247</v>
      </c>
      <c r="D557" s="234">
        <v>18716.990000000002</v>
      </c>
      <c r="E557" s="234">
        <v>19581.45</v>
      </c>
    </row>
    <row r="558" spans="2:5">
      <c r="B558" s="232" t="s">
        <v>1597</v>
      </c>
      <c r="C558" s="233" t="s">
        <v>1247</v>
      </c>
      <c r="D558" s="234">
        <v>16830.330000000002</v>
      </c>
      <c r="E558" s="234">
        <v>15204.94</v>
      </c>
    </row>
    <row r="559" spans="2:5">
      <c r="B559" s="232" t="s">
        <v>1598</v>
      </c>
      <c r="C559" s="233" t="s">
        <v>1247</v>
      </c>
      <c r="D559" s="234">
        <v>21591.31</v>
      </c>
      <c r="E559" s="234">
        <v>19368.3</v>
      </c>
    </row>
    <row r="560" spans="2:5">
      <c r="B560" s="232" t="s">
        <v>1599</v>
      </c>
      <c r="C560" s="233" t="s">
        <v>1247</v>
      </c>
      <c r="D560" s="234">
        <v>19639.490000000002</v>
      </c>
      <c r="E560" s="234">
        <v>19713.490000000002</v>
      </c>
    </row>
    <row r="561" spans="2:5">
      <c r="B561" s="232" t="s">
        <v>1600</v>
      </c>
      <c r="C561" s="233" t="s">
        <v>1247</v>
      </c>
      <c r="D561" s="234">
        <v>18449.330000000002</v>
      </c>
      <c r="E561" s="234">
        <v>16669.09</v>
      </c>
    </row>
    <row r="562" spans="2:5">
      <c r="B562" s="232" t="s">
        <v>1601</v>
      </c>
      <c r="C562" s="233" t="s">
        <v>1354</v>
      </c>
      <c r="D562" s="234">
        <v>76616.3</v>
      </c>
      <c r="E562" s="234">
        <v>78981.240000000005</v>
      </c>
    </row>
    <row r="563" spans="2:5">
      <c r="B563" s="232" t="s">
        <v>1602</v>
      </c>
      <c r="C563" s="233" t="s">
        <v>1354</v>
      </c>
      <c r="D563" s="234">
        <v>66230.86</v>
      </c>
      <c r="E563" s="234">
        <v>65288.72</v>
      </c>
    </row>
    <row r="564" spans="2:5">
      <c r="B564" s="232" t="s">
        <v>1603</v>
      </c>
      <c r="C564" s="233" t="s">
        <v>1354</v>
      </c>
      <c r="D564" s="234">
        <v>73227.88</v>
      </c>
      <c r="E564" s="234">
        <v>67474.14</v>
      </c>
    </row>
    <row r="565" spans="2:5">
      <c r="B565" s="232" t="s">
        <v>1604</v>
      </c>
      <c r="C565" s="233" t="s">
        <v>1247</v>
      </c>
      <c r="D565" s="234">
        <v>49462.74</v>
      </c>
      <c r="E565" s="234">
        <v>43689.62</v>
      </c>
    </row>
    <row r="566" spans="2:5">
      <c r="B566" s="232" t="s">
        <v>1605</v>
      </c>
      <c r="C566" s="233" t="s">
        <v>1247</v>
      </c>
      <c r="D566" s="234">
        <v>50556.98</v>
      </c>
      <c r="E566" s="234">
        <v>47078.38</v>
      </c>
    </row>
    <row r="567" spans="2:5">
      <c r="B567" s="232" t="s">
        <v>1606</v>
      </c>
      <c r="C567" s="233" t="s">
        <v>1247</v>
      </c>
      <c r="D567" s="234">
        <v>49873.38</v>
      </c>
      <c r="E567" s="234">
        <v>42754.75</v>
      </c>
    </row>
    <row r="568" spans="2:5">
      <c r="B568" s="232" t="s">
        <v>1607</v>
      </c>
      <c r="C568" s="233" t="s">
        <v>1354</v>
      </c>
      <c r="D568" s="234">
        <v>11935.56</v>
      </c>
      <c r="E568" s="234">
        <v>12003.12</v>
      </c>
    </row>
    <row r="569" spans="2:5">
      <c r="B569" s="232" t="s">
        <v>1608</v>
      </c>
      <c r="C569" s="233" t="s">
        <v>1354</v>
      </c>
      <c r="D569" s="234">
        <v>9465.9500000000007</v>
      </c>
      <c r="E569" s="234">
        <v>14846.95</v>
      </c>
    </row>
    <row r="570" spans="2:5">
      <c r="B570" s="232" t="s">
        <v>1609</v>
      </c>
      <c r="C570" s="233" t="s">
        <v>1354</v>
      </c>
      <c r="D570" s="234">
        <v>11387.82</v>
      </c>
      <c r="E570" s="234">
        <v>10785.37</v>
      </c>
    </row>
    <row r="571" spans="2:5">
      <c r="B571" s="232" t="s">
        <v>1610</v>
      </c>
      <c r="C571" s="233" t="s">
        <v>1354</v>
      </c>
      <c r="D571" s="234">
        <v>60998.18</v>
      </c>
      <c r="E571" s="234">
        <v>59322.8</v>
      </c>
    </row>
    <row r="572" spans="2:5">
      <c r="B572" s="232" t="s">
        <v>1611</v>
      </c>
      <c r="C572" s="233" t="s">
        <v>1354</v>
      </c>
      <c r="D572" s="234">
        <v>58516.71</v>
      </c>
      <c r="E572" s="234">
        <v>58097.05</v>
      </c>
    </row>
    <row r="573" spans="2:5">
      <c r="B573" s="232" t="s">
        <v>1612</v>
      </c>
      <c r="C573" s="233" t="s">
        <v>1354</v>
      </c>
      <c r="D573" s="234">
        <v>65744.899999999994</v>
      </c>
      <c r="E573" s="234">
        <v>50100.43</v>
      </c>
    </row>
    <row r="574" spans="2:5">
      <c r="B574" s="232" t="s">
        <v>1613</v>
      </c>
      <c r="C574" s="233" t="s">
        <v>1354</v>
      </c>
      <c r="D574" s="234">
        <v>83303.56</v>
      </c>
      <c r="E574" s="234">
        <v>85586.92</v>
      </c>
    </row>
    <row r="575" spans="2:5">
      <c r="B575" s="232" t="s">
        <v>1614</v>
      </c>
      <c r="C575" s="233" t="s">
        <v>1354</v>
      </c>
      <c r="D575" s="234">
        <v>89223.61</v>
      </c>
      <c r="E575" s="234">
        <v>71448.100000000006</v>
      </c>
    </row>
    <row r="576" spans="2:5">
      <c r="B576" s="232" t="s">
        <v>1615</v>
      </c>
      <c r="C576" s="233" t="s">
        <v>1354</v>
      </c>
      <c r="D576" s="234">
        <v>82549.58</v>
      </c>
      <c r="E576" s="234">
        <v>68055.399999999994</v>
      </c>
    </row>
    <row r="577" spans="2:5">
      <c r="B577" s="232" t="s">
        <v>1616</v>
      </c>
      <c r="C577" s="233" t="s">
        <v>1354</v>
      </c>
      <c r="D577" s="234">
        <v>37952.410000000003</v>
      </c>
      <c r="E577" s="234">
        <v>40218.58</v>
      </c>
    </row>
    <row r="578" spans="2:5">
      <c r="B578" s="232" t="s">
        <v>1617</v>
      </c>
      <c r="C578" s="233" t="s">
        <v>1354</v>
      </c>
      <c r="D578" s="234">
        <v>43474.6</v>
      </c>
      <c r="E578" s="234">
        <v>40185.870000000003</v>
      </c>
    </row>
    <row r="579" spans="2:5">
      <c r="B579" s="232" t="s">
        <v>1618</v>
      </c>
      <c r="C579" s="233" t="s">
        <v>1354</v>
      </c>
      <c r="D579" s="234">
        <v>40218.93</v>
      </c>
      <c r="E579" s="234">
        <v>35229.019999999997</v>
      </c>
    </row>
    <row r="580" spans="2:5">
      <c r="B580" s="232" t="s">
        <v>1619</v>
      </c>
      <c r="C580" s="233" t="s">
        <v>1354</v>
      </c>
      <c r="D580" s="234">
        <v>16663.32</v>
      </c>
      <c r="E580" s="234">
        <v>30994.91</v>
      </c>
    </row>
    <row r="581" spans="2:5">
      <c r="B581" s="232" t="s">
        <v>1620</v>
      </c>
      <c r="C581" s="233" t="s">
        <v>1354</v>
      </c>
      <c r="D581" s="234">
        <v>10861.4</v>
      </c>
      <c r="E581" s="234">
        <v>39747.160000000003</v>
      </c>
    </row>
    <row r="582" spans="2:5">
      <c r="B582" s="232" t="s">
        <v>1621</v>
      </c>
      <c r="C582" s="233" t="s">
        <v>1354</v>
      </c>
      <c r="D582" s="234">
        <v>18673.3</v>
      </c>
      <c r="E582" s="234">
        <v>35953.379999999997</v>
      </c>
    </row>
    <row r="583" spans="2:5">
      <c r="B583" s="232" t="s">
        <v>1622</v>
      </c>
      <c r="C583" s="233" t="s">
        <v>1354</v>
      </c>
      <c r="D583" s="234">
        <v>335275.2</v>
      </c>
      <c r="E583" s="234">
        <v>298388.56</v>
      </c>
    </row>
    <row r="584" spans="2:5">
      <c r="B584" s="232" t="s">
        <v>1623</v>
      </c>
      <c r="C584" s="233" t="s">
        <v>1037</v>
      </c>
      <c r="D584" s="234">
        <v>18982.849999999999</v>
      </c>
      <c r="E584" s="234">
        <v>17960.61</v>
      </c>
    </row>
    <row r="585" spans="2:5">
      <c r="B585" s="232" t="s">
        <v>1624</v>
      </c>
      <c r="C585" s="233" t="s">
        <v>1037</v>
      </c>
      <c r="D585" s="234">
        <v>21819.21</v>
      </c>
      <c r="E585" s="234">
        <v>17875.599999999999</v>
      </c>
    </row>
    <row r="586" spans="2:5">
      <c r="B586" s="232" t="s">
        <v>1625</v>
      </c>
      <c r="C586" s="233" t="s">
        <v>1037</v>
      </c>
      <c r="D586" s="234">
        <v>24342.94</v>
      </c>
      <c r="E586" s="234">
        <v>19632.330000000002</v>
      </c>
    </row>
    <row r="587" spans="2:5">
      <c r="B587" s="232" t="s">
        <v>1626</v>
      </c>
      <c r="C587" s="233" t="s">
        <v>1037</v>
      </c>
      <c r="D587" s="234">
        <v>22063.29</v>
      </c>
      <c r="E587" s="234">
        <v>21404.62</v>
      </c>
    </row>
    <row r="588" spans="2:5">
      <c r="B588" s="232" t="s">
        <v>1627</v>
      </c>
      <c r="C588" s="233" t="s">
        <v>1037</v>
      </c>
      <c r="D588" s="234">
        <v>8994</v>
      </c>
      <c r="E588" s="234">
        <v>6655.56</v>
      </c>
    </row>
    <row r="589" spans="2:5">
      <c r="B589" s="232" t="s">
        <v>1628</v>
      </c>
      <c r="C589" s="233" t="s">
        <v>1037</v>
      </c>
      <c r="D589" s="234">
        <v>11632.24</v>
      </c>
      <c r="E589" s="234">
        <v>11782.14</v>
      </c>
    </row>
    <row r="590" spans="2:5">
      <c r="B590" s="232" t="s">
        <v>1629</v>
      </c>
      <c r="C590" s="233" t="s">
        <v>1037</v>
      </c>
      <c r="D590" s="234">
        <v>6715.52</v>
      </c>
      <c r="E590" s="234">
        <v>8724.18</v>
      </c>
    </row>
    <row r="591" spans="2:5">
      <c r="B591" s="232" t="s">
        <v>1630</v>
      </c>
      <c r="C591" s="233" t="s">
        <v>1037</v>
      </c>
      <c r="D591" s="234">
        <v>9143.9</v>
      </c>
      <c r="E591" s="234">
        <v>9533.64</v>
      </c>
    </row>
    <row r="592" spans="2:5">
      <c r="B592" s="232" t="s">
        <v>1631</v>
      </c>
      <c r="C592" s="233" t="s">
        <v>1037</v>
      </c>
      <c r="D592" s="234">
        <v>92416.54</v>
      </c>
      <c r="E592" s="234">
        <v>65433.56</v>
      </c>
    </row>
    <row r="593" spans="2:5">
      <c r="B593" s="232" t="s">
        <v>1632</v>
      </c>
      <c r="C593" s="233" t="s">
        <v>1037</v>
      </c>
      <c r="D593" s="234">
        <v>88282.29</v>
      </c>
      <c r="E593" s="234">
        <v>76256.240000000005</v>
      </c>
    </row>
    <row r="594" spans="2:5">
      <c r="B594" s="232" t="s">
        <v>1633</v>
      </c>
      <c r="C594" s="233" t="s">
        <v>1037</v>
      </c>
      <c r="D594" s="234">
        <v>84907.65</v>
      </c>
      <c r="E594" s="234">
        <v>86683.5</v>
      </c>
    </row>
    <row r="595" spans="2:5">
      <c r="B595" s="232" t="s">
        <v>1634</v>
      </c>
      <c r="C595" s="233" t="s">
        <v>1037</v>
      </c>
      <c r="D595" s="234">
        <v>79991.179999999993</v>
      </c>
      <c r="E595" s="234">
        <v>84496.639999999999</v>
      </c>
    </row>
    <row r="596" spans="2:5">
      <c r="B596" s="232" t="s">
        <v>1635</v>
      </c>
      <c r="C596" s="233" t="s">
        <v>1037</v>
      </c>
      <c r="D596" s="234">
        <v>584908</v>
      </c>
      <c r="E596" s="234">
        <v>438371</v>
      </c>
    </row>
    <row r="597" spans="2:5">
      <c r="B597" s="232" t="s">
        <v>1636</v>
      </c>
      <c r="C597" s="233" t="s">
        <v>1037</v>
      </c>
      <c r="D597" s="234">
        <v>458755.6</v>
      </c>
      <c r="E597" s="234">
        <v>442698.32</v>
      </c>
    </row>
    <row r="598" spans="2:5">
      <c r="B598" s="232" t="s">
        <v>1637</v>
      </c>
      <c r="C598" s="233" t="s">
        <v>1037</v>
      </c>
      <c r="D598" s="234">
        <v>522356.12</v>
      </c>
      <c r="E598" s="234">
        <v>524110.62</v>
      </c>
    </row>
    <row r="599" spans="2:5">
      <c r="B599" s="232" t="s">
        <v>1638</v>
      </c>
      <c r="C599" s="233" t="s">
        <v>1037</v>
      </c>
      <c r="D599" s="234">
        <v>576654.75</v>
      </c>
      <c r="E599" s="234">
        <v>540345.75</v>
      </c>
    </row>
    <row r="600" spans="2:5">
      <c r="B600" s="232" t="s">
        <v>1639</v>
      </c>
      <c r="C600" s="233" t="s">
        <v>1165</v>
      </c>
      <c r="D600" s="234">
        <v>432231.41</v>
      </c>
      <c r="E600" s="234">
        <v>439108.41</v>
      </c>
    </row>
    <row r="601" spans="2:5">
      <c r="B601" s="232" t="s">
        <v>1640</v>
      </c>
      <c r="C601" s="233" t="s">
        <v>1165</v>
      </c>
      <c r="D601" s="234">
        <v>478071.1</v>
      </c>
      <c r="E601" s="234">
        <v>441398.75</v>
      </c>
    </row>
    <row r="602" spans="2:5">
      <c r="B602" s="232" t="s">
        <v>1641</v>
      </c>
      <c r="C602" s="233" t="s">
        <v>1165</v>
      </c>
      <c r="D602" s="234">
        <v>472147.91</v>
      </c>
      <c r="E602" s="234">
        <v>409366.88</v>
      </c>
    </row>
    <row r="603" spans="2:5">
      <c r="B603" s="232" t="s">
        <v>1642</v>
      </c>
      <c r="C603" s="233" t="s">
        <v>1165</v>
      </c>
      <c r="D603" s="234">
        <v>516268.35</v>
      </c>
      <c r="E603" s="234">
        <v>573260.74</v>
      </c>
    </row>
    <row r="604" spans="2:5">
      <c r="B604" s="232" t="s">
        <v>1643</v>
      </c>
      <c r="C604" s="233" t="s">
        <v>1165</v>
      </c>
      <c r="D604" s="234">
        <v>347742.55</v>
      </c>
      <c r="E604" s="234">
        <v>332966.8</v>
      </c>
    </row>
    <row r="605" spans="2:5">
      <c r="B605" s="232" t="s">
        <v>1644</v>
      </c>
      <c r="C605" s="233" t="s">
        <v>1165</v>
      </c>
      <c r="D605" s="234">
        <v>326025.68</v>
      </c>
      <c r="E605" s="234">
        <v>287994.78999999998</v>
      </c>
    </row>
    <row r="606" spans="2:5">
      <c r="B606" s="232" t="s">
        <v>1645</v>
      </c>
      <c r="C606" s="233" t="s">
        <v>1165</v>
      </c>
      <c r="D606" s="234">
        <v>298963.67</v>
      </c>
      <c r="E606" s="234">
        <v>297069.19</v>
      </c>
    </row>
    <row r="607" spans="2:5">
      <c r="B607" s="232" t="s">
        <v>1646</v>
      </c>
      <c r="C607" s="233" t="s">
        <v>1165</v>
      </c>
      <c r="D607" s="234">
        <v>336538.85</v>
      </c>
      <c r="E607" s="234">
        <v>298306.96999999997</v>
      </c>
    </row>
    <row r="608" spans="2:5">
      <c r="B608" s="232" t="s">
        <v>1647</v>
      </c>
      <c r="C608" s="233" t="s">
        <v>1165</v>
      </c>
      <c r="D608" s="234">
        <v>517128.78</v>
      </c>
      <c r="E608" s="234">
        <v>489690.18</v>
      </c>
    </row>
    <row r="609" spans="2:5">
      <c r="B609" s="232" t="s">
        <v>1648</v>
      </c>
      <c r="C609" s="233" t="s">
        <v>1165</v>
      </c>
      <c r="D609" s="234">
        <v>525195.86</v>
      </c>
      <c r="E609" s="234">
        <v>595437.36</v>
      </c>
    </row>
    <row r="610" spans="2:5">
      <c r="B610" s="232" t="s">
        <v>1649</v>
      </c>
      <c r="C610" s="233" t="s">
        <v>1165</v>
      </c>
      <c r="D610" s="234">
        <v>657598.62</v>
      </c>
      <c r="E610" s="234">
        <v>544116.65</v>
      </c>
    </row>
    <row r="611" spans="2:5">
      <c r="B611" s="232" t="s">
        <v>1650</v>
      </c>
      <c r="C611" s="233" t="s">
        <v>1165</v>
      </c>
      <c r="D611" s="234">
        <v>576908.07999999996</v>
      </c>
      <c r="E611" s="234">
        <v>513213.68</v>
      </c>
    </row>
    <row r="612" spans="2:5">
      <c r="B612" s="232" t="s">
        <v>1651</v>
      </c>
      <c r="C612" s="233" t="s">
        <v>1165</v>
      </c>
      <c r="D612" s="234">
        <v>112964.4</v>
      </c>
      <c r="E612" s="234">
        <v>78472.800000000003</v>
      </c>
    </row>
    <row r="613" spans="2:5">
      <c r="B613" s="232" t="s">
        <v>1652</v>
      </c>
      <c r="C613" s="233" t="s">
        <v>1165</v>
      </c>
      <c r="D613" s="234">
        <v>105051.6</v>
      </c>
      <c r="E613" s="234">
        <v>92610</v>
      </c>
    </row>
    <row r="614" spans="2:5">
      <c r="B614" s="232" t="s">
        <v>1653</v>
      </c>
      <c r="C614" s="233" t="s">
        <v>1165</v>
      </c>
      <c r="D614" s="234">
        <v>130546.8</v>
      </c>
      <c r="E614" s="234">
        <v>97596</v>
      </c>
    </row>
    <row r="615" spans="2:5">
      <c r="B615" s="232" t="s">
        <v>1654</v>
      </c>
      <c r="C615" s="233" t="s">
        <v>1165</v>
      </c>
      <c r="D615" s="234">
        <v>122580</v>
      </c>
      <c r="E615" s="234">
        <v>113392.8</v>
      </c>
    </row>
    <row r="616" spans="2:5">
      <c r="B616" s="232" t="s">
        <v>1655</v>
      </c>
      <c r="C616" s="233" t="s">
        <v>1165</v>
      </c>
      <c r="D616" s="234">
        <v>823055.24</v>
      </c>
      <c r="E616" s="234">
        <v>612342.53</v>
      </c>
    </row>
    <row r="617" spans="2:5">
      <c r="B617" s="232" t="s">
        <v>1656</v>
      </c>
      <c r="C617" s="233" t="s">
        <v>1165</v>
      </c>
      <c r="D617" s="234">
        <v>647868.27</v>
      </c>
      <c r="E617" s="234">
        <v>752408.67</v>
      </c>
    </row>
    <row r="618" spans="2:5">
      <c r="B618" s="232" t="s">
        <v>1657</v>
      </c>
      <c r="C618" s="233" t="s">
        <v>1165</v>
      </c>
      <c r="D618" s="234">
        <v>908744.83</v>
      </c>
      <c r="E618" s="234">
        <v>705038.29</v>
      </c>
    </row>
    <row r="619" spans="2:5">
      <c r="B619" s="232" t="s">
        <v>1658</v>
      </c>
      <c r="C619" s="233" t="s">
        <v>1165</v>
      </c>
      <c r="D619" s="234">
        <v>718739.79</v>
      </c>
      <c r="E619" s="234">
        <v>696870.56</v>
      </c>
    </row>
    <row r="620" spans="2:5">
      <c r="B620" s="232" t="s">
        <v>1659</v>
      </c>
      <c r="C620" s="233" t="s">
        <v>1165</v>
      </c>
      <c r="D620" s="234">
        <v>626623.27</v>
      </c>
      <c r="E620" s="234">
        <v>529242.56000000006</v>
      </c>
    </row>
    <row r="621" spans="2:5">
      <c r="B621" s="232" t="s">
        <v>1660</v>
      </c>
      <c r="C621" s="233" t="s">
        <v>1165</v>
      </c>
      <c r="D621" s="234">
        <v>643155.52</v>
      </c>
      <c r="E621" s="234">
        <v>572884.41</v>
      </c>
    </row>
    <row r="622" spans="2:5">
      <c r="B622" s="232" t="s">
        <v>1661</v>
      </c>
      <c r="C622" s="233" t="s">
        <v>1165</v>
      </c>
      <c r="D622" s="234">
        <v>620638.76</v>
      </c>
      <c r="E622" s="234">
        <v>532519.4</v>
      </c>
    </row>
    <row r="623" spans="2:5">
      <c r="B623" s="232" t="s">
        <v>1662</v>
      </c>
      <c r="C623" s="233" t="s">
        <v>1165</v>
      </c>
      <c r="D623" s="234">
        <v>575957.27</v>
      </c>
      <c r="E623" s="234">
        <v>440583.64</v>
      </c>
    </row>
    <row r="624" spans="2:5">
      <c r="B624" s="232" t="s">
        <v>1663</v>
      </c>
      <c r="C624" s="233" t="s">
        <v>1165</v>
      </c>
      <c r="D624" s="234">
        <v>372993.6</v>
      </c>
      <c r="E624" s="234">
        <v>398030.4</v>
      </c>
    </row>
    <row r="625" spans="2:5">
      <c r="B625" s="232" t="s">
        <v>1664</v>
      </c>
      <c r="C625" s="233" t="s">
        <v>1165</v>
      </c>
      <c r="D625" s="234">
        <v>301531.2</v>
      </c>
      <c r="E625" s="234">
        <v>396902.40000000002</v>
      </c>
    </row>
    <row r="626" spans="2:5">
      <c r="B626" s="232" t="s">
        <v>1665</v>
      </c>
      <c r="C626" s="233" t="s">
        <v>1165</v>
      </c>
      <c r="D626" s="234">
        <v>275035.2</v>
      </c>
      <c r="E626" s="234">
        <v>435696</v>
      </c>
    </row>
    <row r="627" spans="2:5">
      <c r="B627" s="232" t="s">
        <v>1666</v>
      </c>
      <c r="C627" s="233" t="s">
        <v>1165</v>
      </c>
      <c r="D627" s="234">
        <v>485323.2</v>
      </c>
      <c r="E627" s="234">
        <v>323140.8</v>
      </c>
    </row>
    <row r="628" spans="2:5">
      <c r="B628" s="232" t="s">
        <v>1667</v>
      </c>
      <c r="C628" s="233" t="s">
        <v>1165</v>
      </c>
      <c r="D628" s="234">
        <v>783401.19</v>
      </c>
      <c r="E628" s="234">
        <v>610033.71</v>
      </c>
    </row>
    <row r="629" spans="2:5">
      <c r="B629" s="232" t="s">
        <v>1668</v>
      </c>
      <c r="C629" s="233" t="s">
        <v>1165</v>
      </c>
      <c r="D629" s="234">
        <v>612732.12</v>
      </c>
      <c r="E629" s="234">
        <v>706374.24</v>
      </c>
    </row>
    <row r="630" spans="2:5">
      <c r="B630" s="232" t="s">
        <v>1669</v>
      </c>
      <c r="C630" s="233" t="s">
        <v>1165</v>
      </c>
      <c r="D630" s="234">
        <v>741106.08</v>
      </c>
      <c r="E630" s="234">
        <v>757789.89</v>
      </c>
    </row>
    <row r="631" spans="2:5">
      <c r="B631" s="232" t="s">
        <v>1670</v>
      </c>
      <c r="C631" s="233" t="s">
        <v>1165</v>
      </c>
      <c r="D631" s="234">
        <v>741616.59</v>
      </c>
      <c r="E631" s="234">
        <v>802178.52</v>
      </c>
    </row>
    <row r="632" spans="2:5">
      <c r="B632" s="232" t="s">
        <v>1671</v>
      </c>
      <c r="C632" s="233" t="s">
        <v>1165</v>
      </c>
      <c r="D632" s="234">
        <v>277629.75</v>
      </c>
      <c r="E632" s="234">
        <v>327302.37</v>
      </c>
    </row>
    <row r="633" spans="2:5">
      <c r="B633" s="232" t="s">
        <v>1672</v>
      </c>
      <c r="C633" s="233" t="s">
        <v>1165</v>
      </c>
      <c r="D633" s="234">
        <v>461092.77</v>
      </c>
      <c r="E633" s="234">
        <v>390050.85</v>
      </c>
    </row>
    <row r="634" spans="2:5">
      <c r="B634" s="232" t="s">
        <v>1673</v>
      </c>
      <c r="C634" s="233" t="s">
        <v>1165</v>
      </c>
      <c r="D634" s="234">
        <v>319898.90999999997</v>
      </c>
      <c r="E634" s="234">
        <v>341776.77</v>
      </c>
    </row>
    <row r="635" spans="2:5">
      <c r="B635" s="232" t="s">
        <v>1674</v>
      </c>
      <c r="C635" s="233" t="s">
        <v>1165</v>
      </c>
      <c r="D635" s="234">
        <v>429967.92</v>
      </c>
      <c r="E635" s="234">
        <v>322270.56</v>
      </c>
    </row>
    <row r="636" spans="2:5">
      <c r="B636" s="232" t="s">
        <v>1675</v>
      </c>
      <c r="C636" s="233" t="s">
        <v>1165</v>
      </c>
      <c r="D636" s="234">
        <v>203210.16</v>
      </c>
      <c r="E636" s="234">
        <v>214742.94</v>
      </c>
    </row>
    <row r="637" spans="2:5">
      <c r="B637" s="232" t="s">
        <v>1676</v>
      </c>
      <c r="C637" s="233" t="s">
        <v>1165</v>
      </c>
      <c r="D637" s="234">
        <v>273386.55</v>
      </c>
      <c r="E637" s="234">
        <v>216031.14</v>
      </c>
    </row>
    <row r="638" spans="2:5">
      <c r="B638" s="232" t="s">
        <v>1677</v>
      </c>
      <c r="C638" s="233" t="s">
        <v>1165</v>
      </c>
      <c r="D638" s="234">
        <v>223767.12</v>
      </c>
      <c r="E638" s="234">
        <v>247154.73</v>
      </c>
    </row>
    <row r="639" spans="2:5">
      <c r="B639" s="232" t="s">
        <v>1678</v>
      </c>
      <c r="C639" s="233" t="s">
        <v>1165</v>
      </c>
      <c r="D639" s="234">
        <v>225733.32</v>
      </c>
      <c r="E639" s="234">
        <v>234313.41</v>
      </c>
    </row>
    <row r="640" spans="2:5">
      <c r="B640" s="232" t="s">
        <v>1679</v>
      </c>
      <c r="C640" s="233" t="s">
        <v>1165</v>
      </c>
      <c r="D640" s="234">
        <v>610737.32999999996</v>
      </c>
      <c r="E640" s="234">
        <v>528754.80000000005</v>
      </c>
    </row>
    <row r="641" spans="2:5">
      <c r="B641" s="232" t="s">
        <v>1680</v>
      </c>
      <c r="C641" s="233" t="s">
        <v>1165</v>
      </c>
      <c r="D641" s="234">
        <v>630667.38</v>
      </c>
      <c r="E641" s="234">
        <v>652895.67000000004</v>
      </c>
    </row>
    <row r="642" spans="2:5">
      <c r="B642" s="232" t="s">
        <v>1681</v>
      </c>
      <c r="C642" s="233" t="s">
        <v>1165</v>
      </c>
      <c r="D642" s="234">
        <v>608866.02</v>
      </c>
      <c r="E642" s="234">
        <v>598527.93000000005</v>
      </c>
    </row>
    <row r="643" spans="2:5">
      <c r="B643" s="232" t="s">
        <v>1682</v>
      </c>
      <c r="C643" s="233" t="s">
        <v>1165</v>
      </c>
      <c r="D643" s="234">
        <v>694810.62</v>
      </c>
      <c r="E643" s="234">
        <v>628125.75</v>
      </c>
    </row>
    <row r="644" spans="2:5">
      <c r="B644" s="232" t="s">
        <v>1683</v>
      </c>
      <c r="C644" s="233" t="s">
        <v>1165</v>
      </c>
      <c r="D644" s="234">
        <v>132271.16</v>
      </c>
      <c r="E644" s="234">
        <v>178378.8</v>
      </c>
    </row>
    <row r="645" spans="2:5">
      <c r="B645" s="232" t="s">
        <v>1684</v>
      </c>
      <c r="C645" s="233" t="s">
        <v>1165</v>
      </c>
      <c r="D645" s="234">
        <v>162281.32999999999</v>
      </c>
      <c r="E645" s="234">
        <v>192418.46</v>
      </c>
    </row>
    <row r="646" spans="2:5">
      <c r="B646" s="232" t="s">
        <v>1685</v>
      </c>
      <c r="C646" s="233" t="s">
        <v>1165</v>
      </c>
      <c r="D646" s="234">
        <v>169814.29</v>
      </c>
      <c r="E646" s="234">
        <v>176664.84</v>
      </c>
    </row>
    <row r="647" spans="2:5">
      <c r="B647" s="232" t="s">
        <v>1686</v>
      </c>
      <c r="C647" s="233" t="s">
        <v>1165</v>
      </c>
      <c r="D647" s="234">
        <v>234526.86</v>
      </c>
      <c r="E647" s="234">
        <v>106694.01</v>
      </c>
    </row>
    <row r="648" spans="2:5">
      <c r="B648" s="232" t="s">
        <v>1687</v>
      </c>
      <c r="C648" s="233" t="s">
        <v>1165</v>
      </c>
      <c r="D648" s="234">
        <v>1697332.14</v>
      </c>
      <c r="E648" s="234">
        <v>1535071.86</v>
      </c>
    </row>
    <row r="649" spans="2:5">
      <c r="B649" s="232" t="s">
        <v>1688</v>
      </c>
      <c r="C649" s="233" t="s">
        <v>1165</v>
      </c>
      <c r="D649" s="234">
        <v>1365370.65</v>
      </c>
      <c r="E649" s="234">
        <v>1853813.92</v>
      </c>
    </row>
    <row r="650" spans="2:5">
      <c r="B650" s="232" t="s">
        <v>1689</v>
      </c>
      <c r="C650" s="233" t="s">
        <v>1165</v>
      </c>
      <c r="D650" s="234">
        <v>1460004.7</v>
      </c>
      <c r="E650" s="234">
        <v>1600866.75</v>
      </c>
    </row>
    <row r="651" spans="2:5">
      <c r="B651" s="232" t="s">
        <v>1690</v>
      </c>
      <c r="C651" s="233" t="s">
        <v>1165</v>
      </c>
      <c r="D651" s="234">
        <v>1668928.59</v>
      </c>
      <c r="E651" s="234">
        <v>1701048.16</v>
      </c>
    </row>
    <row r="652" spans="2:5">
      <c r="B652" s="232" t="s">
        <v>1691</v>
      </c>
      <c r="C652" s="233" t="s">
        <v>1247</v>
      </c>
      <c r="D652" s="234">
        <v>41725.58</v>
      </c>
      <c r="E652" s="234">
        <v>36383.129999999997</v>
      </c>
    </row>
    <row r="653" spans="2:5">
      <c r="B653" s="232" t="s">
        <v>1692</v>
      </c>
      <c r="C653" s="233" t="s">
        <v>1247</v>
      </c>
      <c r="D653" s="234">
        <v>36643.730000000003</v>
      </c>
      <c r="E653" s="234">
        <v>34141.410000000003</v>
      </c>
    </row>
    <row r="654" spans="2:5">
      <c r="B654" s="232" t="s">
        <v>1693</v>
      </c>
      <c r="C654" s="233" t="s">
        <v>1247</v>
      </c>
      <c r="D654" s="234">
        <v>41828.620000000003</v>
      </c>
      <c r="E654" s="234">
        <v>39245.74</v>
      </c>
    </row>
    <row r="655" spans="2:5">
      <c r="B655" s="232" t="s">
        <v>1694</v>
      </c>
      <c r="C655" s="233" t="s">
        <v>1354</v>
      </c>
      <c r="D655" s="234">
        <v>54765.11</v>
      </c>
      <c r="E655" s="234">
        <v>52507.64</v>
      </c>
    </row>
    <row r="656" spans="2:5">
      <c r="B656" s="232" t="s">
        <v>1695</v>
      </c>
      <c r="C656" s="233" t="s">
        <v>1354</v>
      </c>
      <c r="D656" s="234">
        <v>51819.77</v>
      </c>
      <c r="E656" s="234">
        <v>46680.7</v>
      </c>
    </row>
    <row r="657" spans="2:5">
      <c r="B657" s="232" t="s">
        <v>1696</v>
      </c>
      <c r="C657" s="233" t="s">
        <v>1354</v>
      </c>
      <c r="D657" s="234">
        <v>55112.11</v>
      </c>
      <c r="E657" s="234">
        <v>44177.120000000003</v>
      </c>
    </row>
    <row r="658" spans="2:5">
      <c r="B658" s="232" t="s">
        <v>1697</v>
      </c>
      <c r="C658" s="233" t="s">
        <v>1354</v>
      </c>
      <c r="D658" s="234">
        <v>82548.55</v>
      </c>
      <c r="E658" s="234">
        <v>76438.509999999995</v>
      </c>
    </row>
    <row r="659" spans="2:5">
      <c r="B659" s="232" t="s">
        <v>1698</v>
      </c>
      <c r="C659" s="233" t="s">
        <v>1354</v>
      </c>
      <c r="D659" s="234">
        <v>81791.08</v>
      </c>
      <c r="E659" s="234">
        <v>77928.97</v>
      </c>
    </row>
    <row r="660" spans="2:5">
      <c r="B660" s="232" t="s">
        <v>1699</v>
      </c>
      <c r="C660" s="233" t="s">
        <v>1354</v>
      </c>
      <c r="D660" s="234">
        <v>78492.39</v>
      </c>
      <c r="E660" s="234">
        <v>70711.81</v>
      </c>
    </row>
    <row r="661" spans="2:5">
      <c r="B661" s="232" t="s">
        <v>1700</v>
      </c>
      <c r="C661" s="233" t="s">
        <v>1037</v>
      </c>
      <c r="D661" s="234">
        <v>1821204</v>
      </c>
      <c r="E661" s="234">
        <v>2850795</v>
      </c>
    </row>
    <row r="662" spans="2:5">
      <c r="B662" s="232" t="s">
        <v>1701</v>
      </c>
      <c r="C662" s="233" t="s">
        <v>1037</v>
      </c>
      <c r="D662" s="234">
        <v>1238764.8</v>
      </c>
      <c r="E662" s="234">
        <v>1127895.6000000001</v>
      </c>
    </row>
    <row r="663" spans="2:5">
      <c r="B663" s="232" t="s">
        <v>1702</v>
      </c>
      <c r="C663" s="233" t="s">
        <v>1037</v>
      </c>
      <c r="D663" s="234">
        <v>1002318.3</v>
      </c>
      <c r="E663" s="234">
        <v>1290310.2</v>
      </c>
    </row>
    <row r="664" spans="2:5">
      <c r="B664" s="232" t="s">
        <v>1703</v>
      </c>
      <c r="C664" s="233" t="s">
        <v>1037</v>
      </c>
      <c r="D664" s="234">
        <v>1071525</v>
      </c>
      <c r="E664" s="234">
        <v>1131150</v>
      </c>
    </row>
    <row r="665" spans="2:5">
      <c r="B665" s="232" t="s">
        <v>1704</v>
      </c>
      <c r="C665" s="233" t="s">
        <v>1354</v>
      </c>
      <c r="D665" s="234">
        <v>99294</v>
      </c>
      <c r="E665" s="234">
        <v>111019</v>
      </c>
    </row>
    <row r="666" spans="2:5">
      <c r="B666" s="232" t="s">
        <v>1705</v>
      </c>
      <c r="C666" s="233" t="s">
        <v>1354</v>
      </c>
      <c r="D666" s="234">
        <v>116580</v>
      </c>
      <c r="E666" s="234">
        <v>113364</v>
      </c>
    </row>
    <row r="667" spans="2:5">
      <c r="B667" s="232" t="s">
        <v>1706</v>
      </c>
      <c r="C667" s="233" t="s">
        <v>1354</v>
      </c>
      <c r="D667" s="234">
        <v>83951</v>
      </c>
      <c r="E667" s="234">
        <v>95609</v>
      </c>
    </row>
    <row r="668" spans="2:5">
      <c r="B668" s="232" t="s">
        <v>1707</v>
      </c>
      <c r="C668" s="233" t="s">
        <v>1354</v>
      </c>
      <c r="D668" s="234">
        <v>28948.73</v>
      </c>
      <c r="E668" s="234">
        <v>19362.599999999999</v>
      </c>
    </row>
    <row r="669" spans="2:5">
      <c r="B669" s="232" t="s">
        <v>1708</v>
      </c>
      <c r="C669" s="233" t="s">
        <v>1354</v>
      </c>
      <c r="D669" s="234">
        <v>23310.14</v>
      </c>
      <c r="E669" s="234">
        <v>24499.919999999998</v>
      </c>
    </row>
    <row r="670" spans="2:5">
      <c r="B670" s="232" t="s">
        <v>1709</v>
      </c>
      <c r="C670" s="233" t="s">
        <v>1354</v>
      </c>
      <c r="D670" s="234">
        <v>65743.86</v>
      </c>
      <c r="E670" s="234">
        <v>70128.240000000005</v>
      </c>
    </row>
    <row r="671" spans="2:5">
      <c r="B671" s="232" t="s">
        <v>1710</v>
      </c>
      <c r="C671" s="233" t="s">
        <v>1354</v>
      </c>
      <c r="D671" s="234">
        <v>79256.52</v>
      </c>
      <c r="E671" s="234">
        <v>59946.6</v>
      </c>
    </row>
    <row r="672" spans="2:5">
      <c r="B672" s="232" t="s">
        <v>1711</v>
      </c>
      <c r="C672" s="233" t="s">
        <v>1354</v>
      </c>
      <c r="D672" s="234">
        <v>47019.06</v>
      </c>
      <c r="E672" s="234">
        <v>46345.18</v>
      </c>
    </row>
    <row r="673" spans="2:5">
      <c r="B673" s="232" t="s">
        <v>1712</v>
      </c>
      <c r="C673" s="233" t="s">
        <v>1354</v>
      </c>
      <c r="D673" s="234">
        <v>48042.559999999998</v>
      </c>
      <c r="E673" s="234">
        <v>42679.33</v>
      </c>
    </row>
    <row r="674" spans="2:5">
      <c r="B674" s="232" t="s">
        <v>1713</v>
      </c>
      <c r="C674" s="233" t="s">
        <v>1354</v>
      </c>
      <c r="D674" s="234">
        <v>47569.4</v>
      </c>
      <c r="E674" s="234">
        <v>48081.94</v>
      </c>
    </row>
    <row r="675" spans="2:5">
      <c r="B675" s="232" t="s">
        <v>1714</v>
      </c>
      <c r="C675" s="233" t="s">
        <v>1247</v>
      </c>
      <c r="D675" s="234">
        <v>42767.72</v>
      </c>
      <c r="E675" s="234">
        <v>42822.45</v>
      </c>
    </row>
    <row r="676" spans="2:5">
      <c r="B676" s="232" t="s">
        <v>1715</v>
      </c>
      <c r="C676" s="233" t="s">
        <v>1247</v>
      </c>
      <c r="D676" s="234">
        <v>50419.45</v>
      </c>
      <c r="E676" s="234">
        <v>41835.769999999997</v>
      </c>
    </row>
    <row r="677" spans="2:5">
      <c r="B677" s="232" t="s">
        <v>1716</v>
      </c>
      <c r="C677" s="233" t="s">
        <v>1247</v>
      </c>
      <c r="D677" s="234">
        <v>45416.29</v>
      </c>
      <c r="E677" s="234">
        <v>45186.35</v>
      </c>
    </row>
    <row r="678" spans="2:5">
      <c r="B678" s="232" t="s">
        <v>1717</v>
      </c>
      <c r="C678" s="233" t="s">
        <v>1247</v>
      </c>
      <c r="D678" s="234">
        <v>13601.5</v>
      </c>
      <c r="E678" s="234">
        <v>11835.92</v>
      </c>
    </row>
    <row r="679" spans="2:5">
      <c r="B679" s="232" t="s">
        <v>1718</v>
      </c>
      <c r="C679" s="233" t="s">
        <v>1247</v>
      </c>
      <c r="D679" s="234">
        <v>54293.82</v>
      </c>
      <c r="E679" s="234">
        <v>184131.15</v>
      </c>
    </row>
    <row r="680" spans="2:5">
      <c r="B680" s="232" t="s">
        <v>1719</v>
      </c>
      <c r="C680" s="233" t="s">
        <v>1247</v>
      </c>
      <c r="D680" s="234">
        <v>50257.68</v>
      </c>
      <c r="E680" s="234">
        <v>158462.01</v>
      </c>
    </row>
    <row r="681" spans="2:5">
      <c r="B681" s="232" t="s">
        <v>1720</v>
      </c>
      <c r="C681" s="233" t="s">
        <v>1247</v>
      </c>
      <c r="D681" s="234">
        <v>85070.48</v>
      </c>
      <c r="E681" s="234">
        <v>141269.20000000001</v>
      </c>
    </row>
    <row r="682" spans="2:5">
      <c r="B682" s="232" t="s">
        <v>1721</v>
      </c>
      <c r="C682" s="233" t="s">
        <v>1247</v>
      </c>
      <c r="D682" s="234">
        <v>50858.03</v>
      </c>
      <c r="E682" s="234">
        <v>130065.95</v>
      </c>
    </row>
    <row r="683" spans="2:5">
      <c r="B683" s="232" t="s">
        <v>1722</v>
      </c>
      <c r="C683" s="233" t="s">
        <v>1247</v>
      </c>
      <c r="D683" s="234">
        <v>16566.09</v>
      </c>
      <c r="E683" s="234">
        <v>10725.28</v>
      </c>
    </row>
    <row r="684" spans="2:5">
      <c r="B684" s="232" t="s">
        <v>1723</v>
      </c>
      <c r="C684" s="233" t="s">
        <v>1247</v>
      </c>
      <c r="D684" s="234">
        <v>14170.11</v>
      </c>
      <c r="E684" s="234">
        <v>15125.67</v>
      </c>
    </row>
    <row r="685" spans="2:5">
      <c r="B685" s="232" t="s">
        <v>1724</v>
      </c>
      <c r="C685" s="233" t="s">
        <v>1247</v>
      </c>
      <c r="D685" s="234">
        <v>14764.82</v>
      </c>
      <c r="E685" s="234">
        <v>14713.79</v>
      </c>
    </row>
    <row r="686" spans="2:5">
      <c r="B686" s="232" t="s">
        <v>1725</v>
      </c>
      <c r="C686" s="233" t="s">
        <v>1247</v>
      </c>
      <c r="D686" s="234">
        <v>4515.08</v>
      </c>
      <c r="E686" s="234">
        <v>23598.02</v>
      </c>
    </row>
    <row r="687" spans="2:5">
      <c r="B687" s="232" t="s">
        <v>1726</v>
      </c>
      <c r="C687" s="233" t="s">
        <v>1247</v>
      </c>
      <c r="D687" s="234">
        <v>9833.75</v>
      </c>
      <c r="E687" s="234">
        <v>30959.55</v>
      </c>
    </row>
    <row r="688" spans="2:5">
      <c r="B688" s="232" t="s">
        <v>1727</v>
      </c>
      <c r="C688" s="233" t="s">
        <v>1247</v>
      </c>
      <c r="D688" s="234">
        <v>7193.16</v>
      </c>
      <c r="E688" s="234">
        <v>27362.62</v>
      </c>
    </row>
    <row r="689" spans="2:5">
      <c r="B689" s="232" t="s">
        <v>1728</v>
      </c>
      <c r="C689" s="233" t="s">
        <v>1037</v>
      </c>
      <c r="D689" s="234">
        <v>129531.84</v>
      </c>
      <c r="E689" s="234">
        <v>118490</v>
      </c>
    </row>
    <row r="690" spans="2:5">
      <c r="B690" s="232" t="s">
        <v>1729</v>
      </c>
      <c r="C690" s="233" t="s">
        <v>1037</v>
      </c>
      <c r="D690" s="234">
        <v>128599.56</v>
      </c>
      <c r="E690" s="234">
        <v>115345.68</v>
      </c>
    </row>
    <row r="691" spans="2:5">
      <c r="B691" s="232" t="s">
        <v>1730</v>
      </c>
      <c r="C691" s="233" t="s">
        <v>1037</v>
      </c>
      <c r="D691" s="234">
        <v>111777.04</v>
      </c>
      <c r="E691" s="234">
        <v>122736.6</v>
      </c>
    </row>
    <row r="692" spans="2:5">
      <c r="B692" s="232" t="s">
        <v>1731</v>
      </c>
      <c r="C692" s="233" t="s">
        <v>1037</v>
      </c>
      <c r="D692" s="234">
        <v>118250.64</v>
      </c>
      <c r="E692" s="234">
        <v>119140.08</v>
      </c>
    </row>
    <row r="693" spans="2:5">
      <c r="B693" s="232" t="s">
        <v>1732</v>
      </c>
      <c r="C693" s="233" t="s">
        <v>1247</v>
      </c>
      <c r="D693" s="234">
        <v>10063.200000000001</v>
      </c>
      <c r="E693" s="234">
        <v>10602.3</v>
      </c>
    </row>
    <row r="694" spans="2:5">
      <c r="B694" s="232" t="s">
        <v>1733</v>
      </c>
      <c r="C694" s="233" t="s">
        <v>1247</v>
      </c>
      <c r="D694" s="234">
        <v>23720.400000000001</v>
      </c>
      <c r="E694" s="234">
        <v>16712.099999999999</v>
      </c>
    </row>
    <row r="695" spans="2:5">
      <c r="B695" s="232" t="s">
        <v>1734</v>
      </c>
      <c r="C695" s="233" t="s">
        <v>1247</v>
      </c>
      <c r="D695" s="234">
        <v>18808.599999999999</v>
      </c>
      <c r="E695" s="234">
        <v>15813.6</v>
      </c>
    </row>
    <row r="696" spans="2:5">
      <c r="B696" s="232" t="s">
        <v>1735</v>
      </c>
      <c r="C696" s="233" t="s">
        <v>1037</v>
      </c>
      <c r="D696" s="234">
        <v>9257.19</v>
      </c>
      <c r="E696" s="234">
        <v>7294.25</v>
      </c>
    </row>
    <row r="697" spans="2:5">
      <c r="B697" s="232" t="s">
        <v>1736</v>
      </c>
      <c r="C697" s="233" t="s">
        <v>1037</v>
      </c>
      <c r="D697" s="234">
        <v>9228.7800000000007</v>
      </c>
      <c r="E697" s="234">
        <v>7775.26</v>
      </c>
    </row>
    <row r="698" spans="2:5">
      <c r="B698" s="232" t="s">
        <v>1737</v>
      </c>
      <c r="C698" s="233" t="s">
        <v>1037</v>
      </c>
      <c r="D698" s="234">
        <v>8912.57</v>
      </c>
      <c r="E698" s="234">
        <v>6204.78</v>
      </c>
    </row>
    <row r="699" spans="2:5">
      <c r="B699" s="232" t="s">
        <v>1738</v>
      </c>
      <c r="C699" s="233" t="s">
        <v>1037</v>
      </c>
      <c r="D699" s="234">
        <v>9963.26</v>
      </c>
      <c r="E699" s="234">
        <v>8493.48</v>
      </c>
    </row>
    <row r="700" spans="2:5">
      <c r="B700" s="232" t="s">
        <v>1739</v>
      </c>
      <c r="C700" s="233" t="s">
        <v>1354</v>
      </c>
      <c r="D700" s="234">
        <v>38508.44</v>
      </c>
      <c r="E700" s="234">
        <v>34460.21</v>
      </c>
    </row>
    <row r="701" spans="2:5">
      <c r="B701" s="232" t="s">
        <v>1740</v>
      </c>
      <c r="C701" s="233" t="s">
        <v>1354</v>
      </c>
      <c r="D701" s="234">
        <v>45121.63</v>
      </c>
      <c r="E701" s="234">
        <v>44253.38</v>
      </c>
    </row>
    <row r="702" spans="2:5">
      <c r="B702" s="232" t="s">
        <v>1741</v>
      </c>
      <c r="C702" s="233" t="s">
        <v>1212</v>
      </c>
      <c r="D702" s="234">
        <v>153522.79</v>
      </c>
      <c r="E702" s="234">
        <v>136150.07</v>
      </c>
    </row>
    <row r="703" spans="2:5">
      <c r="B703" s="232" t="s">
        <v>1742</v>
      </c>
      <c r="C703" s="233" t="s">
        <v>1212</v>
      </c>
      <c r="D703" s="234">
        <v>170561.12</v>
      </c>
      <c r="E703" s="234">
        <v>147625.79</v>
      </c>
    </row>
    <row r="704" spans="2:5">
      <c r="B704" s="232" t="s">
        <v>1743</v>
      </c>
      <c r="C704" s="233" t="s">
        <v>1212</v>
      </c>
      <c r="D704" s="234">
        <v>129048.6</v>
      </c>
      <c r="E704" s="234">
        <v>114032.59</v>
      </c>
    </row>
    <row r="705" spans="2:5">
      <c r="B705" s="232" t="s">
        <v>1744</v>
      </c>
      <c r="C705" s="233" t="s">
        <v>1212</v>
      </c>
      <c r="D705" s="234">
        <v>112865.18</v>
      </c>
      <c r="E705" s="234">
        <v>145595.85</v>
      </c>
    </row>
    <row r="706" spans="2:5">
      <c r="B706" s="232" t="s">
        <v>1745</v>
      </c>
      <c r="C706" s="233" t="s">
        <v>1212</v>
      </c>
      <c r="D706" s="234">
        <v>179330.62</v>
      </c>
      <c r="E706" s="234">
        <v>143217.32</v>
      </c>
    </row>
    <row r="707" spans="2:5">
      <c r="B707" s="232" t="s">
        <v>1746</v>
      </c>
      <c r="C707" s="233" t="s">
        <v>1212</v>
      </c>
      <c r="D707" s="234">
        <v>160113.93</v>
      </c>
      <c r="E707" s="234">
        <v>169276.03</v>
      </c>
    </row>
    <row r="708" spans="2:5">
      <c r="B708" s="232" t="s">
        <v>1747</v>
      </c>
      <c r="C708" s="233" t="s">
        <v>1212</v>
      </c>
      <c r="D708" s="234">
        <v>162317.72</v>
      </c>
      <c r="E708" s="234">
        <v>170696.86</v>
      </c>
    </row>
    <row r="709" spans="2:5">
      <c r="B709" s="232" t="s">
        <v>1748</v>
      </c>
      <c r="C709" s="233" t="s">
        <v>1212</v>
      </c>
      <c r="D709" s="234">
        <v>171482.84</v>
      </c>
      <c r="E709" s="234">
        <v>147939.16</v>
      </c>
    </row>
    <row r="710" spans="2:5">
      <c r="B710" s="232" t="s">
        <v>1749</v>
      </c>
      <c r="C710" s="233" t="s">
        <v>1212</v>
      </c>
      <c r="D710" s="234">
        <v>171734.78</v>
      </c>
      <c r="E710" s="234">
        <v>160687.88</v>
      </c>
    </row>
    <row r="711" spans="2:5">
      <c r="B711" s="232" t="s">
        <v>1750</v>
      </c>
      <c r="C711" s="233" t="s">
        <v>1212</v>
      </c>
      <c r="D711" s="234">
        <v>188159.13</v>
      </c>
      <c r="E711" s="234">
        <v>167953.15</v>
      </c>
    </row>
    <row r="712" spans="2:5">
      <c r="B712" s="232" t="s">
        <v>1751</v>
      </c>
      <c r="C712" s="233" t="s">
        <v>1212</v>
      </c>
      <c r="D712" s="234">
        <v>222464.97</v>
      </c>
      <c r="E712" s="234">
        <v>223369.3</v>
      </c>
    </row>
    <row r="713" spans="2:5">
      <c r="B713" s="232" t="s">
        <v>1752</v>
      </c>
      <c r="C713" s="233" t="s">
        <v>1212</v>
      </c>
      <c r="D713" s="234">
        <v>247232</v>
      </c>
      <c r="E713" s="234">
        <v>216093.94</v>
      </c>
    </row>
    <row r="714" spans="2:5">
      <c r="B714" s="232" t="s">
        <v>1753</v>
      </c>
      <c r="C714" s="233" t="s">
        <v>1212</v>
      </c>
      <c r="D714" s="234">
        <v>247033.18</v>
      </c>
      <c r="E714" s="234">
        <v>248610.84</v>
      </c>
    </row>
    <row r="715" spans="2:5">
      <c r="B715" s="232" t="s">
        <v>1754</v>
      </c>
      <c r="C715" s="233" t="s">
        <v>1212</v>
      </c>
      <c r="D715" s="234">
        <v>236979.07</v>
      </c>
      <c r="E715" s="234">
        <v>257172.67</v>
      </c>
    </row>
    <row r="716" spans="2:5">
      <c r="B716" s="232" t="s">
        <v>1755</v>
      </c>
      <c r="C716" s="233" t="s">
        <v>1212</v>
      </c>
      <c r="D716" s="234">
        <v>237527.89</v>
      </c>
      <c r="E716" s="234">
        <v>233995.88</v>
      </c>
    </row>
    <row r="717" spans="2:5">
      <c r="B717" s="232" t="s">
        <v>1756</v>
      </c>
      <c r="C717" s="233" t="s">
        <v>1212</v>
      </c>
      <c r="D717" s="234">
        <v>132695.20000000001</v>
      </c>
      <c r="E717" s="234">
        <v>222976.71</v>
      </c>
    </row>
    <row r="718" spans="2:5">
      <c r="B718" s="232" t="s">
        <v>1757</v>
      </c>
      <c r="C718" s="233" t="s">
        <v>1212</v>
      </c>
      <c r="D718" s="234">
        <v>172291.99</v>
      </c>
      <c r="E718" s="234">
        <v>150289.35</v>
      </c>
    </row>
    <row r="719" spans="2:5">
      <c r="B719" s="232" t="s">
        <v>1758</v>
      </c>
      <c r="C719" s="233" t="s">
        <v>1212</v>
      </c>
      <c r="D719" s="234">
        <v>183979.25</v>
      </c>
      <c r="E719" s="234">
        <v>179330.98</v>
      </c>
    </row>
    <row r="720" spans="2:5">
      <c r="B720" s="232" t="s">
        <v>1759</v>
      </c>
      <c r="C720" s="233" t="s">
        <v>1212</v>
      </c>
      <c r="D720" s="234">
        <v>175948.01</v>
      </c>
      <c r="E720" s="234">
        <v>194054.95</v>
      </c>
    </row>
    <row r="721" spans="2:5">
      <c r="B721" s="232" t="s">
        <v>1760</v>
      </c>
      <c r="C721" s="233" t="s">
        <v>1212</v>
      </c>
      <c r="D721" s="234">
        <v>207220.54</v>
      </c>
      <c r="E721" s="234">
        <v>229576.17</v>
      </c>
    </row>
    <row r="722" spans="2:5">
      <c r="B722" s="232" t="s">
        <v>1761</v>
      </c>
      <c r="C722" s="233" t="s">
        <v>1212</v>
      </c>
      <c r="D722" s="234">
        <v>312340.07</v>
      </c>
      <c r="E722" s="234">
        <v>307743.13</v>
      </c>
    </row>
    <row r="723" spans="2:5">
      <c r="B723" s="232" t="s">
        <v>1762</v>
      </c>
      <c r="C723" s="233" t="s">
        <v>1212</v>
      </c>
      <c r="D723" s="234">
        <v>277697.43</v>
      </c>
      <c r="E723" s="234">
        <v>283059.28000000003</v>
      </c>
    </row>
    <row r="724" spans="2:5">
      <c r="B724" s="232" t="s">
        <v>1763</v>
      </c>
      <c r="C724" s="233" t="s">
        <v>1212</v>
      </c>
      <c r="D724" s="234">
        <v>272668.45</v>
      </c>
      <c r="E724" s="234">
        <v>280157.89</v>
      </c>
    </row>
    <row r="725" spans="2:5">
      <c r="B725" s="232" t="s">
        <v>1764</v>
      </c>
      <c r="C725" s="233" t="s">
        <v>1212</v>
      </c>
      <c r="D725" s="234">
        <v>324953.77</v>
      </c>
      <c r="E725" s="234">
        <v>272416.51</v>
      </c>
    </row>
    <row r="726" spans="2:5">
      <c r="B726" s="232" t="s">
        <v>1765</v>
      </c>
      <c r="C726" s="233" t="s">
        <v>1212</v>
      </c>
      <c r="D726" s="234">
        <v>176023.09</v>
      </c>
      <c r="E726" s="234">
        <v>175603.12</v>
      </c>
    </row>
    <row r="727" spans="2:5">
      <c r="B727" s="232" t="s">
        <v>1766</v>
      </c>
      <c r="C727" s="233" t="s">
        <v>1212</v>
      </c>
      <c r="D727" s="234">
        <v>138696.99</v>
      </c>
      <c r="E727" s="234">
        <v>143352.72</v>
      </c>
    </row>
    <row r="728" spans="2:5">
      <c r="B728" s="232" t="s">
        <v>1767</v>
      </c>
      <c r="C728" s="233" t="s">
        <v>1212</v>
      </c>
      <c r="D728" s="234">
        <v>167359.57999999999</v>
      </c>
      <c r="E728" s="234">
        <v>194928.14</v>
      </c>
    </row>
    <row r="729" spans="2:5">
      <c r="B729" s="232" t="s">
        <v>1768</v>
      </c>
      <c r="C729" s="233" t="s">
        <v>1212</v>
      </c>
      <c r="D729" s="234">
        <v>171311.3</v>
      </c>
      <c r="E729" s="234">
        <v>142636.79</v>
      </c>
    </row>
    <row r="730" spans="2:5">
      <c r="B730" s="232" t="s">
        <v>1769</v>
      </c>
      <c r="C730" s="233" t="s">
        <v>1212</v>
      </c>
      <c r="D730" s="234">
        <v>150186.4</v>
      </c>
      <c r="E730" s="234">
        <v>150846.37</v>
      </c>
    </row>
    <row r="731" spans="2:5">
      <c r="B731" s="232" t="s">
        <v>1770</v>
      </c>
      <c r="C731" s="233" t="s">
        <v>1212</v>
      </c>
      <c r="D731" s="234">
        <v>298779.64</v>
      </c>
      <c r="E731" s="234">
        <v>254271.73</v>
      </c>
    </row>
    <row r="732" spans="2:5">
      <c r="B732" s="232" t="s">
        <v>1771</v>
      </c>
      <c r="C732" s="233" t="s">
        <v>1037</v>
      </c>
      <c r="D732" s="234">
        <v>39916.730000000003</v>
      </c>
      <c r="E732" s="234">
        <v>38523.51</v>
      </c>
    </row>
    <row r="733" spans="2:5">
      <c r="B733" s="232" t="s">
        <v>1772</v>
      </c>
      <c r="C733" s="233" t="s">
        <v>1037</v>
      </c>
      <c r="D733" s="234">
        <v>31579.56</v>
      </c>
      <c r="E733" s="234">
        <v>36043.53</v>
      </c>
    </row>
    <row r="734" spans="2:5">
      <c r="B734" s="232" t="s">
        <v>1773</v>
      </c>
      <c r="C734" s="233" t="s">
        <v>1037</v>
      </c>
      <c r="D734" s="234">
        <v>39600.339999999997</v>
      </c>
      <c r="E734" s="234">
        <v>35145.64</v>
      </c>
    </row>
    <row r="735" spans="2:5">
      <c r="B735" s="232" t="s">
        <v>1774</v>
      </c>
      <c r="C735" s="233" t="s">
        <v>1037</v>
      </c>
      <c r="D735" s="234">
        <v>41431.35</v>
      </c>
      <c r="E735" s="234">
        <v>34697.839999999997</v>
      </c>
    </row>
    <row r="736" spans="2:5">
      <c r="B736" s="232" t="s">
        <v>1775</v>
      </c>
      <c r="C736" s="233" t="s">
        <v>1247</v>
      </c>
      <c r="D736" s="234">
        <v>20732.509999999998</v>
      </c>
      <c r="E736" s="234">
        <v>22003.54</v>
      </c>
    </row>
    <row r="737" spans="2:5">
      <c r="B737" s="232" t="s">
        <v>1776</v>
      </c>
      <c r="C737" s="233" t="s">
        <v>1247</v>
      </c>
      <c r="D737" s="234">
        <v>18760.37</v>
      </c>
      <c r="E737" s="234">
        <v>21280.15</v>
      </c>
    </row>
    <row r="738" spans="2:5">
      <c r="B738" s="232" t="s">
        <v>1777</v>
      </c>
      <c r="C738" s="233" t="s">
        <v>1247</v>
      </c>
      <c r="D738" s="234">
        <v>21227.07</v>
      </c>
      <c r="E738" s="234">
        <v>20568.16</v>
      </c>
    </row>
    <row r="739" spans="2:5">
      <c r="B739" s="232" t="s">
        <v>1778</v>
      </c>
      <c r="C739" s="233" t="s">
        <v>1354</v>
      </c>
      <c r="D739" s="234">
        <v>39849.08</v>
      </c>
      <c r="E739" s="234">
        <v>34588.97</v>
      </c>
    </row>
    <row r="740" spans="2:5">
      <c r="B740" s="232" t="s">
        <v>1779</v>
      </c>
      <c r="C740" s="233" t="s">
        <v>1354</v>
      </c>
      <c r="D740" s="234">
        <v>35314.050000000003</v>
      </c>
      <c r="E740" s="234">
        <v>45178.77</v>
      </c>
    </row>
    <row r="741" spans="2:5">
      <c r="B741" s="232" t="s">
        <v>1780</v>
      </c>
      <c r="C741" s="233" t="s">
        <v>1354</v>
      </c>
      <c r="D741" s="234">
        <v>39945.18</v>
      </c>
      <c r="E741" s="234">
        <v>39442.76</v>
      </c>
    </row>
    <row r="742" spans="2:5">
      <c r="B742" s="232" t="s">
        <v>1781</v>
      </c>
      <c r="C742" s="233" t="s">
        <v>1247</v>
      </c>
      <c r="D742" s="234">
        <v>88927.44</v>
      </c>
      <c r="E742" s="234">
        <v>82016.91</v>
      </c>
    </row>
    <row r="743" spans="2:5">
      <c r="B743" s="232" t="s">
        <v>1782</v>
      </c>
      <c r="C743" s="233" t="s">
        <v>1247</v>
      </c>
      <c r="D743" s="234">
        <v>108012.99</v>
      </c>
      <c r="E743" s="234">
        <v>91531.95</v>
      </c>
    </row>
    <row r="744" spans="2:5">
      <c r="B744" s="232" t="s">
        <v>1783</v>
      </c>
      <c r="C744" s="233" t="s">
        <v>1247</v>
      </c>
      <c r="D744" s="234">
        <v>190299.51</v>
      </c>
      <c r="E744" s="234">
        <v>206654.13</v>
      </c>
    </row>
    <row r="745" spans="2:5">
      <c r="B745" s="232" t="s">
        <v>1784</v>
      </c>
      <c r="C745" s="233" t="s">
        <v>1037</v>
      </c>
      <c r="D745" s="234">
        <v>57349.59</v>
      </c>
      <c r="E745" s="234">
        <v>44018.400000000001</v>
      </c>
    </row>
    <row r="746" spans="2:5">
      <c r="B746" s="232" t="s">
        <v>1785</v>
      </c>
      <c r="C746" s="233" t="s">
        <v>1037</v>
      </c>
      <c r="D746" s="234">
        <v>64680.68</v>
      </c>
      <c r="E746" s="234">
        <v>66450.97</v>
      </c>
    </row>
    <row r="747" spans="2:5">
      <c r="B747" s="232" t="s">
        <v>1786</v>
      </c>
      <c r="C747" s="233" t="s">
        <v>1037</v>
      </c>
      <c r="D747" s="234">
        <v>51902.46</v>
      </c>
      <c r="E747" s="234">
        <v>54290.19</v>
      </c>
    </row>
    <row r="748" spans="2:5">
      <c r="B748" s="232" t="s">
        <v>1787</v>
      </c>
      <c r="C748" s="233" t="s">
        <v>1247</v>
      </c>
      <c r="D748" s="234">
        <v>30301.79</v>
      </c>
      <c r="E748" s="234">
        <v>33872.92</v>
      </c>
    </row>
    <row r="749" spans="2:5">
      <c r="B749" s="232" t="s">
        <v>1788</v>
      </c>
      <c r="C749" s="233" t="s">
        <v>1247</v>
      </c>
      <c r="D749" s="234">
        <v>28384.61</v>
      </c>
      <c r="E749" s="234">
        <v>28579.7</v>
      </c>
    </row>
    <row r="750" spans="2:5">
      <c r="B750" s="232" t="s">
        <v>1789</v>
      </c>
      <c r="C750" s="233" t="s">
        <v>1247</v>
      </c>
      <c r="D750" s="234">
        <v>23621.48</v>
      </c>
      <c r="E750" s="234">
        <v>25553.96</v>
      </c>
    </row>
    <row r="751" spans="2:5">
      <c r="B751" s="232" t="s">
        <v>1790</v>
      </c>
      <c r="C751" s="233" t="s">
        <v>1247</v>
      </c>
      <c r="D751" s="234">
        <v>38517.269999999997</v>
      </c>
      <c r="E751" s="234">
        <v>38782.94</v>
      </c>
    </row>
    <row r="752" spans="2:5">
      <c r="B752" s="232" t="s">
        <v>1791</v>
      </c>
      <c r="C752" s="233" t="s">
        <v>1247</v>
      </c>
      <c r="D752" s="234">
        <v>35118.28</v>
      </c>
      <c r="E752" s="234">
        <v>39279.019999999997</v>
      </c>
    </row>
    <row r="753" spans="2:5">
      <c r="B753" s="232" t="s">
        <v>1792</v>
      </c>
      <c r="C753" s="233" t="s">
        <v>1247</v>
      </c>
      <c r="D753" s="234">
        <v>40944.85</v>
      </c>
      <c r="E753" s="234">
        <v>30075.88</v>
      </c>
    </row>
    <row r="754" spans="2:5">
      <c r="B754" s="232" t="s">
        <v>1793</v>
      </c>
      <c r="C754" s="233" t="s">
        <v>1247</v>
      </c>
      <c r="D754" s="234">
        <v>20433.53</v>
      </c>
      <c r="E754" s="234">
        <v>20194.849999999999</v>
      </c>
    </row>
    <row r="755" spans="2:5">
      <c r="B755" s="232" t="s">
        <v>1794</v>
      </c>
      <c r="C755" s="233" t="s">
        <v>1247</v>
      </c>
      <c r="D755" s="234">
        <v>22255.48</v>
      </c>
      <c r="E755" s="234">
        <v>18778.5</v>
      </c>
    </row>
    <row r="756" spans="2:5">
      <c r="B756" s="232" t="s">
        <v>1795</v>
      </c>
      <c r="C756" s="233" t="s">
        <v>1247</v>
      </c>
      <c r="D756" s="234">
        <v>23026.9</v>
      </c>
      <c r="E756" s="234">
        <v>19978.53</v>
      </c>
    </row>
    <row r="757" spans="2:5">
      <c r="B757" s="232" t="s">
        <v>1796</v>
      </c>
      <c r="C757" s="233" t="s">
        <v>1247</v>
      </c>
      <c r="D757" s="234">
        <v>22296.82</v>
      </c>
      <c r="E757" s="234">
        <v>21471.45</v>
      </c>
    </row>
    <row r="758" spans="2:5">
      <c r="B758" s="232" t="s">
        <v>1797</v>
      </c>
      <c r="C758" s="233" t="s">
        <v>1354</v>
      </c>
      <c r="D758" s="234">
        <v>107671.2</v>
      </c>
      <c r="E758" s="234">
        <v>75028.800000000003</v>
      </c>
    </row>
    <row r="759" spans="2:5">
      <c r="B759" s="232" t="s">
        <v>1798</v>
      </c>
      <c r="C759" s="233" t="s">
        <v>1354</v>
      </c>
      <c r="D759" s="234">
        <v>90050.8</v>
      </c>
      <c r="E759" s="234">
        <v>96709.2</v>
      </c>
    </row>
    <row r="760" spans="2:5">
      <c r="B760" s="232" t="s">
        <v>1799</v>
      </c>
      <c r="C760" s="233" t="s">
        <v>1354</v>
      </c>
      <c r="D760" s="234">
        <v>107508.8</v>
      </c>
      <c r="E760" s="234">
        <v>85747.199999999997</v>
      </c>
    </row>
    <row r="761" spans="2:5">
      <c r="B761" s="232" t="s">
        <v>1800</v>
      </c>
      <c r="C761" s="233" t="s">
        <v>1354</v>
      </c>
      <c r="D761" s="234">
        <v>497147</v>
      </c>
      <c r="E761" s="234">
        <v>488159.9</v>
      </c>
    </row>
    <row r="762" spans="2:5">
      <c r="B762" s="232" t="s">
        <v>1801</v>
      </c>
      <c r="C762" s="233" t="s">
        <v>1354</v>
      </c>
      <c r="D762" s="234">
        <v>18755.04</v>
      </c>
      <c r="E762" s="234">
        <v>25522.080000000002</v>
      </c>
    </row>
    <row r="763" spans="2:5">
      <c r="B763" s="232" t="s">
        <v>1802</v>
      </c>
      <c r="C763" s="233" t="s">
        <v>1354</v>
      </c>
      <c r="D763" s="234">
        <v>24023.200000000001</v>
      </c>
      <c r="E763" s="234">
        <v>26686.720000000001</v>
      </c>
    </row>
    <row r="764" spans="2:5">
      <c r="B764" s="232" t="s">
        <v>1803</v>
      </c>
      <c r="C764" s="233" t="s">
        <v>1354</v>
      </c>
      <c r="D764" s="234">
        <v>19669.439999999999</v>
      </c>
      <c r="E764" s="234">
        <v>15735.93</v>
      </c>
    </row>
    <row r="765" spans="2:5">
      <c r="B765" s="232" t="s">
        <v>1804</v>
      </c>
      <c r="C765" s="233" t="s">
        <v>1354</v>
      </c>
      <c r="D765" s="234">
        <v>19758.490000000002</v>
      </c>
      <c r="E765" s="234">
        <v>18088.36</v>
      </c>
    </row>
    <row r="766" spans="2:5">
      <c r="B766" s="232" t="s">
        <v>1805</v>
      </c>
      <c r="C766" s="233" t="s">
        <v>1354</v>
      </c>
      <c r="D766" s="234">
        <v>21750.34</v>
      </c>
      <c r="E766" s="234">
        <v>14050.92</v>
      </c>
    </row>
    <row r="767" spans="2:5">
      <c r="B767" s="232" t="s">
        <v>1806</v>
      </c>
      <c r="C767" s="233" t="s">
        <v>1354</v>
      </c>
      <c r="D767" s="234">
        <v>35982.93</v>
      </c>
      <c r="E767" s="234">
        <v>32073.18</v>
      </c>
    </row>
    <row r="768" spans="2:5">
      <c r="B768" s="232" t="s">
        <v>1807</v>
      </c>
      <c r="C768" s="233" t="s">
        <v>1354</v>
      </c>
      <c r="D768" s="234">
        <v>33413.56</v>
      </c>
      <c r="E768" s="234">
        <v>21387.91</v>
      </c>
    </row>
    <row r="769" spans="2:5">
      <c r="B769" s="232" t="s">
        <v>1808</v>
      </c>
      <c r="C769" s="233" t="s">
        <v>1354</v>
      </c>
      <c r="D769" s="234">
        <v>27551.360000000001</v>
      </c>
      <c r="E769" s="234">
        <v>24600.21</v>
      </c>
    </row>
    <row r="770" spans="2:5">
      <c r="B770" s="232" t="s">
        <v>1809</v>
      </c>
      <c r="C770" s="233" t="s">
        <v>1354</v>
      </c>
      <c r="D770" s="234">
        <v>11520</v>
      </c>
      <c r="E770" s="234">
        <v>8832</v>
      </c>
    </row>
    <row r="771" spans="2:5">
      <c r="B771" s="232" t="s">
        <v>1810</v>
      </c>
      <c r="C771" s="233" t="s">
        <v>1354</v>
      </c>
      <c r="D771" s="234">
        <v>7648</v>
      </c>
      <c r="E771" s="234">
        <v>10176</v>
      </c>
    </row>
    <row r="772" spans="2:5">
      <c r="B772" s="232" t="s">
        <v>1811</v>
      </c>
      <c r="C772" s="233" t="s">
        <v>1354</v>
      </c>
      <c r="D772" s="234">
        <v>8992</v>
      </c>
      <c r="E772" s="234">
        <v>9984</v>
      </c>
    </row>
    <row r="773" spans="2:5">
      <c r="B773" s="232" t="s">
        <v>1812</v>
      </c>
      <c r="C773" s="233" t="s">
        <v>1354</v>
      </c>
      <c r="D773" s="234">
        <v>22321.08</v>
      </c>
      <c r="E773" s="234">
        <v>19730.560000000001</v>
      </c>
    </row>
    <row r="774" spans="2:5">
      <c r="B774" s="232" t="s">
        <v>1813</v>
      </c>
      <c r="C774" s="233" t="s">
        <v>1354</v>
      </c>
      <c r="D774" s="234">
        <v>18818.86</v>
      </c>
      <c r="E774" s="234">
        <v>24279.49</v>
      </c>
    </row>
    <row r="775" spans="2:5">
      <c r="B775" s="232" t="s">
        <v>1814</v>
      </c>
      <c r="C775" s="233" t="s">
        <v>1354</v>
      </c>
      <c r="D775" s="234">
        <v>22487.439999999999</v>
      </c>
      <c r="E775" s="234">
        <v>23047.37</v>
      </c>
    </row>
    <row r="776" spans="2:5">
      <c r="B776" s="232" t="s">
        <v>1815</v>
      </c>
      <c r="C776" s="233" t="s">
        <v>1247</v>
      </c>
      <c r="D776" s="234">
        <v>15279.2</v>
      </c>
      <c r="E776" s="234">
        <v>14990.61</v>
      </c>
    </row>
    <row r="777" spans="2:5">
      <c r="B777" s="232" t="s">
        <v>1816</v>
      </c>
      <c r="C777" s="233" t="s">
        <v>1247</v>
      </c>
      <c r="D777" s="234">
        <v>12900.12</v>
      </c>
      <c r="E777" s="234">
        <v>12112.38</v>
      </c>
    </row>
    <row r="778" spans="2:5">
      <c r="B778" s="232" t="s">
        <v>1817</v>
      </c>
      <c r="C778" s="233" t="s">
        <v>1247</v>
      </c>
      <c r="D778" s="234">
        <v>16735.45</v>
      </c>
      <c r="E778" s="234">
        <v>16525.68</v>
      </c>
    </row>
    <row r="779" spans="2:5">
      <c r="B779" s="232" t="s">
        <v>1818</v>
      </c>
      <c r="C779" s="233" t="s">
        <v>1247</v>
      </c>
      <c r="D779" s="234">
        <v>8486.18</v>
      </c>
      <c r="E779" s="234">
        <v>8535.33</v>
      </c>
    </row>
    <row r="780" spans="2:5">
      <c r="B780" s="232" t="s">
        <v>1819</v>
      </c>
      <c r="C780" s="233" t="s">
        <v>1247</v>
      </c>
      <c r="D780" s="234">
        <v>11441.91</v>
      </c>
      <c r="E780" s="234">
        <v>9240.44</v>
      </c>
    </row>
    <row r="781" spans="2:5">
      <c r="B781" s="232" t="s">
        <v>1820</v>
      </c>
      <c r="C781" s="233" t="s">
        <v>1247</v>
      </c>
      <c r="D781" s="234">
        <v>8156</v>
      </c>
      <c r="E781" s="234">
        <v>12943.01</v>
      </c>
    </row>
    <row r="782" spans="2:5">
      <c r="B782" s="232" t="s">
        <v>1821</v>
      </c>
      <c r="C782" s="233" t="s">
        <v>1354</v>
      </c>
      <c r="D782" s="234">
        <v>62754.61</v>
      </c>
      <c r="E782" s="234">
        <v>67758.59</v>
      </c>
    </row>
    <row r="783" spans="2:5">
      <c r="B783" s="232" t="s">
        <v>1822</v>
      </c>
      <c r="C783" s="233" t="s">
        <v>1354</v>
      </c>
      <c r="D783" s="234">
        <v>60109.18</v>
      </c>
      <c r="E783" s="234">
        <v>62356.85</v>
      </c>
    </row>
    <row r="784" spans="2:5">
      <c r="B784" s="232" t="s">
        <v>1823</v>
      </c>
      <c r="C784" s="233" t="s">
        <v>1354</v>
      </c>
      <c r="D784" s="234">
        <v>71702.78</v>
      </c>
      <c r="E784" s="234">
        <v>66816.19</v>
      </c>
    </row>
    <row r="785" spans="2:5">
      <c r="B785" s="232" t="s">
        <v>1824</v>
      </c>
      <c r="C785" s="233" t="s">
        <v>1354</v>
      </c>
      <c r="D785" s="234">
        <v>23084.3</v>
      </c>
      <c r="E785" s="234">
        <v>26617.54</v>
      </c>
    </row>
    <row r="786" spans="2:5">
      <c r="B786" s="232" t="s">
        <v>1825</v>
      </c>
      <c r="C786" s="233" t="s">
        <v>1354</v>
      </c>
      <c r="D786" s="234">
        <v>23651.07</v>
      </c>
      <c r="E786" s="234">
        <v>24617.360000000001</v>
      </c>
    </row>
    <row r="787" spans="2:5">
      <c r="B787" s="232" t="s">
        <v>1826</v>
      </c>
      <c r="C787" s="233" t="s">
        <v>1354</v>
      </c>
      <c r="D787" s="234">
        <v>23475.919999999998</v>
      </c>
      <c r="E787" s="234">
        <v>29756.55</v>
      </c>
    </row>
    <row r="788" spans="2:5">
      <c r="B788" s="232" t="s">
        <v>1827</v>
      </c>
      <c r="C788" s="233" t="s">
        <v>1247</v>
      </c>
      <c r="D788" s="234">
        <v>4104194.4</v>
      </c>
      <c r="E788" s="234">
        <v>3374843.4</v>
      </c>
    </row>
    <row r="789" spans="2:5">
      <c r="B789" s="232" t="s">
        <v>1828</v>
      </c>
      <c r="C789" s="233" t="s">
        <v>1247</v>
      </c>
      <c r="D789" s="234">
        <v>3598628.85</v>
      </c>
      <c r="E789" s="234">
        <v>3472931.7</v>
      </c>
    </row>
    <row r="790" spans="2:5">
      <c r="B790" s="232" t="s">
        <v>1829</v>
      </c>
      <c r="C790" s="233" t="s">
        <v>1247</v>
      </c>
      <c r="D790" s="234">
        <v>3384528.3</v>
      </c>
      <c r="E790" s="234">
        <v>4453355.7</v>
      </c>
    </row>
    <row r="791" spans="2:5">
      <c r="B791" s="232" t="s">
        <v>1830</v>
      </c>
      <c r="C791" s="233" t="s">
        <v>1247</v>
      </c>
      <c r="D791" s="234">
        <v>406037.61</v>
      </c>
      <c r="E791" s="234">
        <v>350454.73</v>
      </c>
    </row>
    <row r="792" spans="2:5">
      <c r="B792" s="232" t="s">
        <v>1831</v>
      </c>
      <c r="C792" s="233" t="s">
        <v>1247</v>
      </c>
      <c r="D792" s="234">
        <v>382189.55</v>
      </c>
      <c r="E792" s="234">
        <v>361971.14</v>
      </c>
    </row>
    <row r="793" spans="2:5">
      <c r="B793" s="232" t="s">
        <v>1832</v>
      </c>
      <c r="C793" s="233" t="s">
        <v>1247</v>
      </c>
      <c r="D793" s="234">
        <v>368415.2</v>
      </c>
      <c r="E793" s="234">
        <v>486279.21</v>
      </c>
    </row>
    <row r="794" spans="2:5">
      <c r="B794" s="232" t="s">
        <v>1833</v>
      </c>
      <c r="C794" s="233" t="s">
        <v>1247</v>
      </c>
      <c r="D794" s="234">
        <v>939272.69</v>
      </c>
      <c r="E794" s="234">
        <v>984651.75</v>
      </c>
    </row>
    <row r="795" spans="2:5">
      <c r="B795" s="232" t="s">
        <v>1834</v>
      </c>
      <c r="C795" s="233" t="s">
        <v>1247</v>
      </c>
      <c r="D795" s="234">
        <v>841678.27</v>
      </c>
      <c r="E795" s="234">
        <v>703674.83</v>
      </c>
    </row>
    <row r="796" spans="2:5">
      <c r="B796" s="232" t="s">
        <v>1835</v>
      </c>
      <c r="C796" s="233" t="s">
        <v>1247</v>
      </c>
      <c r="D796" s="234">
        <v>881668.13</v>
      </c>
      <c r="E796" s="234">
        <v>948584.03</v>
      </c>
    </row>
    <row r="797" spans="2:5">
      <c r="B797" s="232" t="s">
        <v>1836</v>
      </c>
      <c r="C797" s="233" t="s">
        <v>1247</v>
      </c>
      <c r="D797" s="234">
        <v>674241.42</v>
      </c>
      <c r="E797" s="234">
        <v>1011054.57</v>
      </c>
    </row>
    <row r="798" spans="2:5">
      <c r="B798" s="232" t="s">
        <v>1837</v>
      </c>
      <c r="C798" s="233" t="s">
        <v>1247</v>
      </c>
      <c r="D798" s="234">
        <v>563205.27</v>
      </c>
      <c r="E798" s="234">
        <v>949598.49</v>
      </c>
    </row>
    <row r="799" spans="2:5">
      <c r="B799" s="232" t="s">
        <v>1838</v>
      </c>
      <c r="C799" s="233" t="s">
        <v>1247</v>
      </c>
      <c r="D799" s="234">
        <v>586726.62</v>
      </c>
      <c r="E799" s="234">
        <v>1007279.97</v>
      </c>
    </row>
    <row r="800" spans="2:5">
      <c r="B800" s="232" t="s">
        <v>1839</v>
      </c>
      <c r="C800" s="233" t="s">
        <v>1247</v>
      </c>
      <c r="D800" s="234">
        <v>918600.48</v>
      </c>
      <c r="E800" s="234">
        <v>1267431.3</v>
      </c>
    </row>
    <row r="801" spans="2:5">
      <c r="B801" s="232" t="s">
        <v>1840</v>
      </c>
      <c r="C801" s="233" t="s">
        <v>1247</v>
      </c>
      <c r="D801" s="234">
        <v>747451.8</v>
      </c>
      <c r="E801" s="234">
        <v>1463195.34</v>
      </c>
    </row>
    <row r="802" spans="2:5">
      <c r="B802" s="232" t="s">
        <v>1841</v>
      </c>
      <c r="C802" s="233" t="s">
        <v>1247</v>
      </c>
      <c r="D802" s="234">
        <v>717911.37</v>
      </c>
      <c r="E802" s="234">
        <v>1718060.22</v>
      </c>
    </row>
    <row r="803" spans="2:5">
      <c r="B803" s="232" t="s">
        <v>1842</v>
      </c>
      <c r="C803" s="233" t="s">
        <v>1247</v>
      </c>
      <c r="D803" s="234">
        <v>15246.77</v>
      </c>
      <c r="E803" s="234">
        <v>21971.71</v>
      </c>
    </row>
    <row r="804" spans="2:5">
      <c r="B804" s="232" t="s">
        <v>1843</v>
      </c>
      <c r="C804" s="233" t="s">
        <v>1247</v>
      </c>
      <c r="D804" s="234">
        <v>19567.38</v>
      </c>
      <c r="E804" s="234">
        <v>16809.43</v>
      </c>
    </row>
    <row r="805" spans="2:5">
      <c r="B805" s="232" t="s">
        <v>1844</v>
      </c>
      <c r="C805" s="233" t="s">
        <v>1247</v>
      </c>
      <c r="D805" s="234">
        <v>19111.68</v>
      </c>
      <c r="E805" s="234">
        <v>18313.080000000002</v>
      </c>
    </row>
    <row r="806" spans="2:5">
      <c r="B806" s="232" t="s">
        <v>1845</v>
      </c>
      <c r="C806" s="233" t="s">
        <v>1037</v>
      </c>
      <c r="D806" s="234">
        <v>30095.7</v>
      </c>
      <c r="E806" s="234">
        <v>48713.04</v>
      </c>
    </row>
    <row r="807" spans="2:5">
      <c r="B807" s="232" t="s">
        <v>1846</v>
      </c>
      <c r="C807" s="233" t="s">
        <v>1037</v>
      </c>
      <c r="D807" s="234">
        <v>35134.980000000003</v>
      </c>
      <c r="E807" s="234">
        <v>38214.54</v>
      </c>
    </row>
    <row r="808" spans="2:5">
      <c r="B808" s="232" t="s">
        <v>1847</v>
      </c>
      <c r="C808" s="233" t="s">
        <v>1037</v>
      </c>
      <c r="D808" s="234">
        <v>31775.46</v>
      </c>
      <c r="E808" s="234">
        <v>57531.78</v>
      </c>
    </row>
    <row r="809" spans="2:5">
      <c r="B809" s="232" t="s">
        <v>1848</v>
      </c>
      <c r="C809" s="233" t="s">
        <v>1037</v>
      </c>
      <c r="D809" s="234">
        <v>73764.17</v>
      </c>
      <c r="E809" s="234">
        <v>63044.35</v>
      </c>
    </row>
    <row r="810" spans="2:5">
      <c r="B810" s="232" t="s">
        <v>1849</v>
      </c>
      <c r="C810" s="233" t="s">
        <v>1037</v>
      </c>
      <c r="D810" s="234">
        <v>72005.570000000007</v>
      </c>
      <c r="E810" s="234">
        <v>64425.54</v>
      </c>
    </row>
    <row r="811" spans="2:5">
      <c r="B811" s="232" t="s">
        <v>1850</v>
      </c>
      <c r="C811" s="233" t="s">
        <v>1037</v>
      </c>
      <c r="D811" s="234">
        <v>85321.38</v>
      </c>
      <c r="E811" s="234">
        <v>75172.41</v>
      </c>
    </row>
    <row r="812" spans="2:5">
      <c r="B812" s="232" t="s">
        <v>1851</v>
      </c>
      <c r="C812" s="233" t="s">
        <v>1247</v>
      </c>
      <c r="D812" s="234">
        <v>25513.27</v>
      </c>
      <c r="E812" s="234">
        <v>23928.560000000001</v>
      </c>
    </row>
    <row r="813" spans="2:5">
      <c r="B813" s="232" t="s">
        <v>1852</v>
      </c>
      <c r="C813" s="233" t="s">
        <v>1354</v>
      </c>
      <c r="D813" s="234">
        <v>471285.6</v>
      </c>
      <c r="E813" s="234">
        <v>486575.4</v>
      </c>
    </row>
    <row r="814" spans="2:5">
      <c r="B814" s="232" t="s">
        <v>1853</v>
      </c>
      <c r="C814" s="233" t="s">
        <v>1354</v>
      </c>
      <c r="D814" s="234">
        <v>488674</v>
      </c>
      <c r="E814" s="234">
        <v>424217</v>
      </c>
    </row>
    <row r="815" spans="2:5">
      <c r="B815" s="232" t="s">
        <v>1854</v>
      </c>
      <c r="C815" s="233" t="s">
        <v>1354</v>
      </c>
      <c r="D815" s="234">
        <v>471885.2</v>
      </c>
      <c r="E815" s="234">
        <v>494670</v>
      </c>
    </row>
    <row r="816" spans="2:5">
      <c r="B816" s="232" t="s">
        <v>1855</v>
      </c>
      <c r="C816" s="233" t="s">
        <v>1354</v>
      </c>
      <c r="D816" s="234">
        <v>155282.4</v>
      </c>
      <c r="E816" s="234">
        <v>155566.79999999999</v>
      </c>
    </row>
    <row r="817" spans="2:5">
      <c r="B817" s="232" t="s">
        <v>1856</v>
      </c>
      <c r="C817" s="233" t="s">
        <v>1354</v>
      </c>
      <c r="D817" s="234">
        <v>169028.4</v>
      </c>
      <c r="E817" s="234">
        <v>135090</v>
      </c>
    </row>
    <row r="818" spans="2:5">
      <c r="B818" s="232" t="s">
        <v>1857</v>
      </c>
      <c r="C818" s="233" t="s">
        <v>1354</v>
      </c>
      <c r="D818" s="234">
        <v>172725.6</v>
      </c>
      <c r="E818" s="234">
        <v>157747.20000000001</v>
      </c>
    </row>
    <row r="819" spans="2:5">
      <c r="B819" s="232" t="s">
        <v>1858</v>
      </c>
      <c r="C819" s="233" t="s">
        <v>1247</v>
      </c>
      <c r="D819" s="234">
        <v>267854.40000000002</v>
      </c>
      <c r="E819" s="234">
        <v>234553.1</v>
      </c>
    </row>
    <row r="820" spans="2:5">
      <c r="B820" s="232" t="s">
        <v>1859</v>
      </c>
      <c r="C820" s="233" t="s">
        <v>1247</v>
      </c>
      <c r="D820" s="234">
        <v>259106.8</v>
      </c>
      <c r="E820" s="234">
        <v>317326.59999999998</v>
      </c>
    </row>
    <row r="821" spans="2:5">
      <c r="B821" s="232" t="s">
        <v>1860</v>
      </c>
      <c r="C821" s="233" t="s">
        <v>1247</v>
      </c>
      <c r="D821" s="234">
        <v>352100.4</v>
      </c>
      <c r="E821" s="234">
        <v>277063.7</v>
      </c>
    </row>
    <row r="822" spans="2:5">
      <c r="B822" s="232" t="s">
        <v>1861</v>
      </c>
      <c r="C822" s="233" t="s">
        <v>1247</v>
      </c>
      <c r="D822" s="234">
        <v>167236.28</v>
      </c>
      <c r="E822" s="234">
        <v>181051.32</v>
      </c>
    </row>
    <row r="823" spans="2:5">
      <c r="B823" s="232" t="s">
        <v>1862</v>
      </c>
      <c r="C823" s="233" t="s">
        <v>1247</v>
      </c>
      <c r="D823" s="234">
        <v>195180.11</v>
      </c>
      <c r="E823" s="234">
        <v>170318.56</v>
      </c>
    </row>
    <row r="824" spans="2:5">
      <c r="B824" s="232" t="s">
        <v>1863</v>
      </c>
      <c r="C824" s="233" t="s">
        <v>1247</v>
      </c>
      <c r="D824" s="234">
        <v>175627.21</v>
      </c>
      <c r="E824" s="234">
        <v>144340.06</v>
      </c>
    </row>
    <row r="825" spans="2:5">
      <c r="B825" s="232" t="s">
        <v>1864</v>
      </c>
      <c r="C825" s="233" t="s">
        <v>1247</v>
      </c>
      <c r="D825" s="234">
        <v>50507.08</v>
      </c>
      <c r="E825" s="234">
        <v>207242.88</v>
      </c>
    </row>
    <row r="826" spans="2:5">
      <c r="B826" s="232" t="s">
        <v>1865</v>
      </c>
      <c r="C826" s="233" t="s">
        <v>1247</v>
      </c>
      <c r="D826" s="234">
        <v>82742.27</v>
      </c>
      <c r="E826" s="234">
        <v>213189.99</v>
      </c>
    </row>
    <row r="827" spans="2:5">
      <c r="B827" s="232" t="s">
        <v>1866</v>
      </c>
      <c r="C827" s="233" t="s">
        <v>1247</v>
      </c>
      <c r="D827" s="234">
        <v>102138.4</v>
      </c>
      <c r="E827" s="234">
        <v>197576.21</v>
      </c>
    </row>
    <row r="828" spans="2:5">
      <c r="B828" s="232" t="s">
        <v>1867</v>
      </c>
      <c r="C828" s="233" t="s">
        <v>1247</v>
      </c>
      <c r="D828" s="234">
        <v>153237.15</v>
      </c>
      <c r="E828" s="234">
        <v>130273.38</v>
      </c>
    </row>
    <row r="829" spans="2:5">
      <c r="B829" s="232" t="s">
        <v>1868</v>
      </c>
      <c r="C829" s="233" t="s">
        <v>1247</v>
      </c>
      <c r="D829" s="234">
        <v>176187.15</v>
      </c>
      <c r="E829" s="234">
        <v>174498.03</v>
      </c>
    </row>
    <row r="830" spans="2:5">
      <c r="B830" s="232" t="s">
        <v>1869</v>
      </c>
      <c r="C830" s="233" t="s">
        <v>1247</v>
      </c>
      <c r="D830" s="234">
        <v>228701.34</v>
      </c>
      <c r="E830" s="234">
        <v>153567.63</v>
      </c>
    </row>
    <row r="831" spans="2:5">
      <c r="B831" s="232" t="s">
        <v>1870</v>
      </c>
      <c r="C831" s="233" t="s">
        <v>1247</v>
      </c>
      <c r="D831" s="234">
        <v>138726.48000000001</v>
      </c>
      <c r="E831" s="234">
        <v>168028.95</v>
      </c>
    </row>
    <row r="832" spans="2:5">
      <c r="B832" s="232" t="s">
        <v>1871</v>
      </c>
      <c r="C832" s="233" t="s">
        <v>1247</v>
      </c>
      <c r="D832" s="234">
        <v>143925.78</v>
      </c>
      <c r="E832" s="234">
        <v>168878.06</v>
      </c>
    </row>
    <row r="833" spans="2:5">
      <c r="B833" s="232" t="s">
        <v>1872</v>
      </c>
      <c r="C833" s="233" t="s">
        <v>1247</v>
      </c>
      <c r="D833" s="234">
        <v>157287</v>
      </c>
      <c r="E833" s="234">
        <v>164534.41</v>
      </c>
    </row>
    <row r="834" spans="2:5">
      <c r="B834" s="232" t="s">
        <v>1873</v>
      </c>
      <c r="C834" s="233" t="s">
        <v>1247</v>
      </c>
      <c r="D834" s="234">
        <v>230827.57</v>
      </c>
      <c r="E834" s="234">
        <v>209096.31</v>
      </c>
    </row>
    <row r="835" spans="2:5">
      <c r="B835" s="232" t="s">
        <v>1874</v>
      </c>
      <c r="C835" s="233" t="s">
        <v>1247</v>
      </c>
      <c r="D835" s="234">
        <v>180331.65</v>
      </c>
      <c r="E835" s="234">
        <v>181136.46</v>
      </c>
    </row>
    <row r="836" spans="2:5">
      <c r="B836" s="232" t="s">
        <v>1875</v>
      </c>
      <c r="C836" s="233" t="s">
        <v>1247</v>
      </c>
      <c r="D836" s="234">
        <v>254210.15</v>
      </c>
      <c r="E836" s="234">
        <v>220844.59</v>
      </c>
    </row>
    <row r="837" spans="2:5">
      <c r="B837" s="232" t="s">
        <v>1876</v>
      </c>
      <c r="C837" s="233" t="s">
        <v>1354</v>
      </c>
      <c r="D837" s="234">
        <v>464644.67</v>
      </c>
      <c r="E837" s="234">
        <v>455906.64</v>
      </c>
    </row>
    <row r="838" spans="2:5">
      <c r="B838" s="232" t="s">
        <v>1877</v>
      </c>
      <c r="C838" s="233" t="s">
        <v>1354</v>
      </c>
      <c r="D838" s="234">
        <v>16810</v>
      </c>
      <c r="E838" s="234">
        <v>14045.49</v>
      </c>
    </row>
    <row r="839" spans="2:5">
      <c r="B839" s="232" t="s">
        <v>1878</v>
      </c>
      <c r="C839" s="233" t="s">
        <v>1354</v>
      </c>
      <c r="D839" s="234">
        <v>13556.39</v>
      </c>
      <c r="E839" s="234">
        <v>15027.08</v>
      </c>
    </row>
    <row r="840" spans="2:5">
      <c r="B840" s="232" t="s">
        <v>1879</v>
      </c>
      <c r="C840" s="233" t="s">
        <v>1354</v>
      </c>
      <c r="D840" s="234">
        <v>16130.51</v>
      </c>
      <c r="E840" s="234">
        <v>14133.4</v>
      </c>
    </row>
    <row r="841" spans="2:5">
      <c r="B841" s="232" t="s">
        <v>1880</v>
      </c>
      <c r="C841" s="233" t="s">
        <v>1037</v>
      </c>
      <c r="D841" s="234">
        <v>530341.19999999995</v>
      </c>
      <c r="E841" s="234">
        <v>575492.16</v>
      </c>
    </row>
    <row r="842" spans="2:5">
      <c r="B842" s="232" t="s">
        <v>1881</v>
      </c>
      <c r="C842" s="233" t="s">
        <v>1037</v>
      </c>
      <c r="D842" s="234">
        <v>294132.8</v>
      </c>
      <c r="E842" s="234">
        <v>288275.92</v>
      </c>
    </row>
    <row r="843" spans="2:5">
      <c r="B843" s="232" t="s">
        <v>1882</v>
      </c>
      <c r="C843" s="233" t="s">
        <v>1037</v>
      </c>
      <c r="D843" s="234">
        <v>133777.44</v>
      </c>
      <c r="E843" s="234">
        <v>120671.06</v>
      </c>
    </row>
    <row r="844" spans="2:5">
      <c r="B844" s="232" t="s">
        <v>1883</v>
      </c>
      <c r="C844" s="233" t="s">
        <v>1037</v>
      </c>
      <c r="D844" s="234">
        <v>577854.96</v>
      </c>
      <c r="E844" s="234">
        <v>557295.02</v>
      </c>
    </row>
    <row r="845" spans="2:5">
      <c r="B845" s="232" t="s">
        <v>1884</v>
      </c>
      <c r="C845" s="233" t="s">
        <v>1037</v>
      </c>
      <c r="D845" s="234">
        <v>557914.36</v>
      </c>
      <c r="E845" s="234">
        <v>623625.26</v>
      </c>
    </row>
    <row r="846" spans="2:5">
      <c r="B846" s="232" t="s">
        <v>1885</v>
      </c>
      <c r="C846" s="233" t="s">
        <v>1037</v>
      </c>
      <c r="D846" s="234">
        <v>553936.98</v>
      </c>
      <c r="E846" s="234">
        <v>694305.2</v>
      </c>
    </row>
    <row r="847" spans="2:5">
      <c r="B847" s="232" t="s">
        <v>1886</v>
      </c>
      <c r="C847" s="233" t="s">
        <v>1037</v>
      </c>
      <c r="D847" s="234">
        <v>691813.52</v>
      </c>
      <c r="E847" s="234">
        <v>523782.64</v>
      </c>
    </row>
    <row r="848" spans="2:5">
      <c r="B848" s="232" t="s">
        <v>1887</v>
      </c>
      <c r="C848" s="233" t="s">
        <v>1037</v>
      </c>
      <c r="D848" s="234">
        <v>282734.08000000002</v>
      </c>
      <c r="E848" s="234">
        <v>251677.58</v>
      </c>
    </row>
    <row r="849" spans="2:5">
      <c r="B849" s="232" t="s">
        <v>1888</v>
      </c>
      <c r="C849" s="233" t="s">
        <v>1037</v>
      </c>
      <c r="D849" s="234">
        <v>857924.24</v>
      </c>
      <c r="E849" s="234">
        <v>1107753.3600000001</v>
      </c>
    </row>
    <row r="850" spans="2:5">
      <c r="B850" s="232" t="s">
        <v>1889</v>
      </c>
      <c r="C850" s="233" t="s">
        <v>1037</v>
      </c>
      <c r="D850" s="234">
        <v>177982.8</v>
      </c>
      <c r="E850" s="234">
        <v>190626.48</v>
      </c>
    </row>
    <row r="851" spans="2:5">
      <c r="B851" s="232" t="s">
        <v>1890</v>
      </c>
      <c r="C851" s="233" t="s">
        <v>1037</v>
      </c>
      <c r="D851" s="234">
        <v>990739.68</v>
      </c>
      <c r="E851" s="234">
        <v>1079398.8</v>
      </c>
    </row>
    <row r="852" spans="2:5">
      <c r="B852" s="232" t="s">
        <v>1891</v>
      </c>
      <c r="C852" s="233" t="s">
        <v>1037</v>
      </c>
      <c r="D852" s="234">
        <v>1128803.44</v>
      </c>
      <c r="E852" s="234">
        <v>864893.6</v>
      </c>
    </row>
    <row r="853" spans="2:5">
      <c r="B853" s="232" t="s">
        <v>1892</v>
      </c>
      <c r="C853" s="233" t="s">
        <v>1037</v>
      </c>
      <c r="D853" s="234">
        <v>115803.84</v>
      </c>
      <c r="E853" s="234">
        <v>415162.56</v>
      </c>
    </row>
    <row r="854" spans="2:5">
      <c r="B854" s="232" t="s">
        <v>1893</v>
      </c>
      <c r="C854" s="233" t="s">
        <v>1037</v>
      </c>
      <c r="D854" s="234">
        <v>939892.32</v>
      </c>
      <c r="E854" s="234">
        <v>910316.56</v>
      </c>
    </row>
    <row r="855" spans="2:5">
      <c r="B855" s="232" t="s">
        <v>1894</v>
      </c>
      <c r="C855" s="233" t="s">
        <v>1037</v>
      </c>
      <c r="D855" s="234">
        <v>1021496.88</v>
      </c>
      <c r="E855" s="234">
        <v>938500.72</v>
      </c>
    </row>
    <row r="856" spans="2:5">
      <c r="B856" s="232" t="s">
        <v>1895</v>
      </c>
      <c r="C856" s="233" t="s">
        <v>1037</v>
      </c>
      <c r="D856" s="234">
        <v>519795.6</v>
      </c>
      <c r="E856" s="234">
        <v>525372.24</v>
      </c>
    </row>
    <row r="857" spans="2:5">
      <c r="B857" s="232" t="s">
        <v>1896</v>
      </c>
      <c r="C857" s="233" t="s">
        <v>1037</v>
      </c>
      <c r="D857" s="234">
        <v>354625.12</v>
      </c>
      <c r="E857" s="234">
        <v>356288</v>
      </c>
    </row>
    <row r="858" spans="2:5">
      <c r="B858" s="232" t="s">
        <v>1897</v>
      </c>
      <c r="C858" s="233" t="s">
        <v>1037</v>
      </c>
      <c r="D858" s="234">
        <v>331204.96000000002</v>
      </c>
      <c r="E858" s="234">
        <v>357762.4</v>
      </c>
    </row>
    <row r="859" spans="2:5">
      <c r="B859" s="232" t="s">
        <v>1898</v>
      </c>
      <c r="C859" s="233" t="s">
        <v>1037</v>
      </c>
      <c r="D859" s="234">
        <v>636507.07999999996</v>
      </c>
      <c r="E859" s="234">
        <v>543062.36</v>
      </c>
    </row>
    <row r="860" spans="2:5">
      <c r="B860" s="232" t="s">
        <v>1899</v>
      </c>
      <c r="C860" s="233" t="s">
        <v>1037</v>
      </c>
      <c r="D860" s="234">
        <v>603516.24</v>
      </c>
      <c r="E860" s="234">
        <v>569054.64</v>
      </c>
    </row>
    <row r="861" spans="2:5">
      <c r="B861" s="232" t="s">
        <v>1900</v>
      </c>
      <c r="C861" s="233" t="s">
        <v>1037</v>
      </c>
      <c r="D861" s="234">
        <v>645910.16</v>
      </c>
      <c r="E861" s="234">
        <v>565291.43999999994</v>
      </c>
    </row>
    <row r="862" spans="2:5">
      <c r="B862" s="232" t="s">
        <v>1901</v>
      </c>
      <c r="C862" s="233" t="s">
        <v>1037</v>
      </c>
      <c r="D862" s="234">
        <v>117875.38</v>
      </c>
      <c r="E862" s="234">
        <v>113941.17</v>
      </c>
    </row>
    <row r="863" spans="2:5">
      <c r="B863" s="232" t="s">
        <v>1902</v>
      </c>
      <c r="C863" s="233" t="s">
        <v>1037</v>
      </c>
      <c r="D863" s="234">
        <v>565712.14</v>
      </c>
      <c r="E863" s="234">
        <v>547222.9</v>
      </c>
    </row>
    <row r="864" spans="2:5">
      <c r="B864" s="232" t="s">
        <v>1903</v>
      </c>
      <c r="C864" s="233" t="s">
        <v>1037</v>
      </c>
      <c r="D864" s="234">
        <v>1074580.78</v>
      </c>
      <c r="E864" s="234">
        <v>1122718.8700000001</v>
      </c>
    </row>
    <row r="865" spans="2:5">
      <c r="B865" s="232" t="s">
        <v>1904</v>
      </c>
      <c r="C865" s="233" t="s">
        <v>1037</v>
      </c>
      <c r="D865" s="234">
        <v>1161617.82</v>
      </c>
      <c r="E865" s="234">
        <v>1260888.6399999999</v>
      </c>
    </row>
    <row r="866" spans="2:5">
      <c r="B866" s="232" t="s">
        <v>1905</v>
      </c>
      <c r="C866" s="233" t="s">
        <v>1037</v>
      </c>
      <c r="D866" s="234">
        <v>869496.62</v>
      </c>
      <c r="E866" s="234">
        <v>1069982.72</v>
      </c>
    </row>
    <row r="867" spans="2:5">
      <c r="B867" s="232" t="s">
        <v>1906</v>
      </c>
      <c r="C867" s="233" t="s">
        <v>1037</v>
      </c>
      <c r="D867" s="234">
        <v>1063642.8500000001</v>
      </c>
      <c r="E867" s="234">
        <v>1038526.49</v>
      </c>
    </row>
    <row r="868" spans="2:5">
      <c r="B868" s="232" t="s">
        <v>1907</v>
      </c>
      <c r="C868" s="233" t="s">
        <v>1037</v>
      </c>
      <c r="D868" s="234">
        <v>1094923.8899999999</v>
      </c>
      <c r="E868" s="234">
        <v>1179573.83</v>
      </c>
    </row>
    <row r="869" spans="2:5">
      <c r="B869" s="232" t="s">
        <v>1908</v>
      </c>
      <c r="C869" s="233" t="s">
        <v>1037</v>
      </c>
      <c r="D869" s="234">
        <v>1163568.8799999999</v>
      </c>
      <c r="E869" s="234">
        <v>1043476.24</v>
      </c>
    </row>
    <row r="870" spans="2:5">
      <c r="B870" s="232" t="s">
        <v>1909</v>
      </c>
      <c r="C870" s="233" t="s">
        <v>1037</v>
      </c>
      <c r="D870" s="234">
        <v>898666.08</v>
      </c>
      <c r="E870" s="234">
        <v>1046086.4</v>
      </c>
    </row>
    <row r="871" spans="2:5">
      <c r="B871" s="232" t="s">
        <v>1910</v>
      </c>
      <c r="C871" s="233" t="s">
        <v>1037</v>
      </c>
      <c r="D871" s="234">
        <v>802046.91</v>
      </c>
      <c r="E871" s="234">
        <v>732155.55</v>
      </c>
    </row>
    <row r="872" spans="2:5">
      <c r="B872" s="232" t="s">
        <v>1911</v>
      </c>
      <c r="C872" s="233" t="s">
        <v>1247</v>
      </c>
      <c r="D872" s="234">
        <v>9715.3799999999992</v>
      </c>
      <c r="E872" s="234">
        <v>8591.23</v>
      </c>
    </row>
    <row r="873" spans="2:5">
      <c r="B873" s="232" t="s">
        <v>1912</v>
      </c>
      <c r="C873" s="233" t="s">
        <v>1247</v>
      </c>
      <c r="D873" s="234">
        <v>3977.23</v>
      </c>
      <c r="E873" s="234">
        <v>3477.48</v>
      </c>
    </row>
    <row r="874" spans="2:5">
      <c r="B874" s="232" t="s">
        <v>1913</v>
      </c>
      <c r="C874" s="233" t="s">
        <v>1247</v>
      </c>
      <c r="D874" s="234">
        <v>9813.2199999999993</v>
      </c>
      <c r="E874" s="234">
        <v>6987.58</v>
      </c>
    </row>
    <row r="875" spans="2:5">
      <c r="B875" s="232" t="s">
        <v>1914</v>
      </c>
      <c r="C875" s="233" t="s">
        <v>1247</v>
      </c>
      <c r="D875" s="234">
        <v>8458.07</v>
      </c>
      <c r="E875" s="234">
        <v>10889.73</v>
      </c>
    </row>
    <row r="876" spans="2:5">
      <c r="B876" s="232" t="s">
        <v>1915</v>
      </c>
      <c r="C876" s="233" t="s">
        <v>1037</v>
      </c>
      <c r="D876" s="234">
        <v>207046.28</v>
      </c>
      <c r="E876" s="234">
        <v>202904.64</v>
      </c>
    </row>
    <row r="877" spans="2:5">
      <c r="B877" s="232" t="s">
        <v>1916</v>
      </c>
      <c r="C877" s="233" t="s">
        <v>1037</v>
      </c>
      <c r="D877" s="234">
        <v>184140.36</v>
      </c>
      <c r="E877" s="234">
        <v>235840.36</v>
      </c>
    </row>
    <row r="878" spans="2:5">
      <c r="B878" s="232" t="s">
        <v>1917</v>
      </c>
      <c r="C878" s="233" t="s">
        <v>1037</v>
      </c>
      <c r="D878" s="234">
        <v>181091.86</v>
      </c>
      <c r="E878" s="234">
        <v>196885.8</v>
      </c>
    </row>
    <row r="879" spans="2:5">
      <c r="B879" s="232" t="s">
        <v>1918</v>
      </c>
      <c r="C879" s="233" t="s">
        <v>1037</v>
      </c>
      <c r="D879" s="234">
        <v>172241.7</v>
      </c>
      <c r="E879" s="234">
        <v>146915.85999999999</v>
      </c>
    </row>
    <row r="880" spans="2:5">
      <c r="B880" s="232" t="s">
        <v>1919</v>
      </c>
      <c r="C880" s="233" t="s">
        <v>1037</v>
      </c>
      <c r="D880" s="234">
        <v>260033.76</v>
      </c>
      <c r="E880" s="234">
        <v>167949.6</v>
      </c>
    </row>
    <row r="881" spans="2:5">
      <c r="B881" s="232" t="s">
        <v>1920</v>
      </c>
      <c r="C881" s="233" t="s">
        <v>1037</v>
      </c>
      <c r="D881" s="234">
        <v>191256.24</v>
      </c>
      <c r="E881" s="234">
        <v>197164.79999999999</v>
      </c>
    </row>
    <row r="882" spans="2:5">
      <c r="B882" s="232" t="s">
        <v>1921</v>
      </c>
      <c r="C882" s="233" t="s">
        <v>1037</v>
      </c>
      <c r="D882" s="234">
        <v>178102.34</v>
      </c>
      <c r="E882" s="234">
        <v>151016.4</v>
      </c>
    </row>
    <row r="883" spans="2:5">
      <c r="B883" s="232" t="s">
        <v>1922</v>
      </c>
      <c r="C883" s="233" t="s">
        <v>1037</v>
      </c>
      <c r="D883" s="234">
        <v>152850.78</v>
      </c>
      <c r="E883" s="234">
        <v>137268.82</v>
      </c>
    </row>
    <row r="884" spans="2:5">
      <c r="B884" s="232" t="s">
        <v>1923</v>
      </c>
      <c r="C884" s="233" t="s">
        <v>1037</v>
      </c>
      <c r="D884" s="234">
        <v>44534.1</v>
      </c>
      <c r="E884" s="234">
        <v>64183.9</v>
      </c>
    </row>
    <row r="885" spans="2:5">
      <c r="B885" s="232" t="s">
        <v>1924</v>
      </c>
      <c r="C885" s="233" t="s">
        <v>1037</v>
      </c>
      <c r="D885" s="234">
        <v>74601.600000000006</v>
      </c>
      <c r="E885" s="234">
        <v>48005.4</v>
      </c>
    </row>
    <row r="886" spans="2:5">
      <c r="B886" s="232" t="s">
        <v>1925</v>
      </c>
      <c r="C886" s="233" t="s">
        <v>1037</v>
      </c>
      <c r="D886" s="234">
        <v>71878.899999999994</v>
      </c>
      <c r="E886" s="234">
        <v>78458.600000000006</v>
      </c>
    </row>
    <row r="887" spans="2:5">
      <c r="B887" s="232" t="s">
        <v>1926</v>
      </c>
      <c r="C887" s="233" t="s">
        <v>1037</v>
      </c>
      <c r="D887" s="234">
        <v>81487.199999999997</v>
      </c>
      <c r="E887" s="234">
        <v>85028.800000000003</v>
      </c>
    </row>
    <row r="888" spans="2:5">
      <c r="B888" s="232" t="s">
        <v>1927</v>
      </c>
      <c r="C888" s="233" t="s">
        <v>1354</v>
      </c>
      <c r="D888" s="234">
        <v>331202</v>
      </c>
      <c r="E888" s="234">
        <v>291428</v>
      </c>
    </row>
    <row r="889" spans="2:5">
      <c r="B889" s="232" t="s">
        <v>1928</v>
      </c>
      <c r="C889" s="233" t="s">
        <v>1354</v>
      </c>
      <c r="D889" s="234">
        <v>297346.14</v>
      </c>
      <c r="E889" s="234">
        <v>265611.15000000002</v>
      </c>
    </row>
    <row r="890" spans="2:5">
      <c r="B890" s="232" t="s">
        <v>1929</v>
      </c>
      <c r="C890" s="233" t="s">
        <v>1354</v>
      </c>
      <c r="D890" s="234">
        <v>71154</v>
      </c>
      <c r="E890" s="234">
        <v>86349.6</v>
      </c>
    </row>
    <row r="891" spans="2:5">
      <c r="B891" s="232" t="s">
        <v>1930</v>
      </c>
      <c r="C891" s="233" t="s">
        <v>1354</v>
      </c>
      <c r="D891" s="234">
        <v>72289.279999999999</v>
      </c>
      <c r="E891" s="234">
        <v>97454.080000000002</v>
      </c>
    </row>
    <row r="892" spans="2:5">
      <c r="B892" s="232" t="s">
        <v>1931</v>
      </c>
      <c r="C892" s="233" t="s">
        <v>1354</v>
      </c>
      <c r="D892" s="234">
        <v>193466.46</v>
      </c>
      <c r="E892" s="234">
        <v>159343.38</v>
      </c>
    </row>
    <row r="893" spans="2:5">
      <c r="B893" s="232" t="s">
        <v>1932</v>
      </c>
      <c r="C893" s="233" t="s">
        <v>1354</v>
      </c>
      <c r="D893" s="234">
        <v>499711.52</v>
      </c>
      <c r="E893" s="234">
        <v>567141.96</v>
      </c>
    </row>
    <row r="894" spans="2:5">
      <c r="B894" s="232" t="s">
        <v>1933</v>
      </c>
      <c r="C894" s="233" t="s">
        <v>1354</v>
      </c>
      <c r="D894" s="234">
        <v>445995</v>
      </c>
      <c r="E894" s="234">
        <v>467094</v>
      </c>
    </row>
    <row r="895" spans="2:5">
      <c r="B895" s="232" t="s">
        <v>1934</v>
      </c>
      <c r="C895" s="233" t="s">
        <v>1354</v>
      </c>
      <c r="D895" s="234">
        <v>465386.55</v>
      </c>
      <c r="E895" s="234">
        <v>425989.77</v>
      </c>
    </row>
    <row r="896" spans="2:5">
      <c r="B896" s="232" t="s">
        <v>1935</v>
      </c>
      <c r="C896" s="233" t="s">
        <v>1354</v>
      </c>
      <c r="D896" s="234">
        <v>248950.8</v>
      </c>
      <c r="E896" s="234">
        <v>216982.8</v>
      </c>
    </row>
    <row r="897" spans="2:5">
      <c r="B897" s="232" t="s">
        <v>1936</v>
      </c>
      <c r="C897" s="233" t="s">
        <v>1354</v>
      </c>
      <c r="D897" s="234">
        <v>226173.6</v>
      </c>
      <c r="E897" s="234">
        <v>203796</v>
      </c>
    </row>
    <row r="898" spans="2:5">
      <c r="B898" s="232" t="s">
        <v>1937</v>
      </c>
      <c r="C898" s="233" t="s">
        <v>1354</v>
      </c>
      <c r="D898" s="234">
        <v>190609.2</v>
      </c>
      <c r="E898" s="234">
        <v>207392.4</v>
      </c>
    </row>
    <row r="899" spans="2:5">
      <c r="B899" s="232" t="s">
        <v>1938</v>
      </c>
      <c r="C899" s="233" t="s">
        <v>1354</v>
      </c>
      <c r="D899" s="234">
        <v>245354.4</v>
      </c>
      <c r="E899" s="234">
        <v>210389.4</v>
      </c>
    </row>
    <row r="900" spans="2:5">
      <c r="B900" s="232" t="s">
        <v>1939</v>
      </c>
      <c r="C900" s="233" t="s">
        <v>1037</v>
      </c>
      <c r="D900" s="234">
        <v>103501.9</v>
      </c>
      <c r="E900" s="234">
        <v>93527.97</v>
      </c>
    </row>
    <row r="901" spans="2:5">
      <c r="B901" s="232" t="s">
        <v>1940</v>
      </c>
      <c r="C901" s="233" t="s">
        <v>1037</v>
      </c>
      <c r="D901" s="234">
        <v>92770.27</v>
      </c>
      <c r="E901" s="234">
        <v>107580.57</v>
      </c>
    </row>
    <row r="902" spans="2:5">
      <c r="B902" s="232" t="s">
        <v>1941</v>
      </c>
      <c r="C902" s="233" t="s">
        <v>1037</v>
      </c>
      <c r="D902" s="234">
        <v>104659.12</v>
      </c>
      <c r="E902" s="234">
        <v>84291.91</v>
      </c>
    </row>
    <row r="903" spans="2:5">
      <c r="B903" s="232" t="s">
        <v>1942</v>
      </c>
      <c r="C903" s="233" t="s">
        <v>1037</v>
      </c>
      <c r="D903" s="234">
        <v>1141621.1000000001</v>
      </c>
      <c r="E903" s="234">
        <v>712986.6</v>
      </c>
    </row>
    <row r="904" spans="2:5">
      <c r="B904" s="232" t="s">
        <v>1943</v>
      </c>
      <c r="C904" s="233" t="s">
        <v>1037</v>
      </c>
      <c r="D904" s="234">
        <v>908790</v>
      </c>
      <c r="E904" s="234">
        <v>577720</v>
      </c>
    </row>
    <row r="905" spans="2:5">
      <c r="B905" s="232" t="s">
        <v>1944</v>
      </c>
      <c r="C905" s="233" t="s">
        <v>1037</v>
      </c>
      <c r="D905" s="234">
        <v>653855.49</v>
      </c>
      <c r="E905" s="234">
        <v>750538.71</v>
      </c>
    </row>
    <row r="906" spans="2:5">
      <c r="B906" s="232" t="s">
        <v>1945</v>
      </c>
      <c r="C906" s="233" t="s">
        <v>1037</v>
      </c>
      <c r="D906" s="234">
        <v>611621.4</v>
      </c>
      <c r="E906" s="234">
        <v>596248.12</v>
      </c>
    </row>
    <row r="907" spans="2:5">
      <c r="B907" s="232" t="s">
        <v>1946</v>
      </c>
      <c r="C907" s="233" t="s">
        <v>1247</v>
      </c>
      <c r="D907" s="234">
        <v>28329.439999999999</v>
      </c>
      <c r="E907" s="234">
        <v>23943.040000000001</v>
      </c>
    </row>
    <row r="908" spans="2:5">
      <c r="B908" s="232" t="s">
        <v>1947</v>
      </c>
      <c r="C908" s="233" t="s">
        <v>1247</v>
      </c>
      <c r="D908" s="234">
        <v>15674.41</v>
      </c>
      <c r="E908" s="234">
        <v>21095.26</v>
      </c>
    </row>
    <row r="909" spans="2:5">
      <c r="B909" s="232" t="s">
        <v>1948</v>
      </c>
      <c r="C909" s="233" t="s">
        <v>1247</v>
      </c>
      <c r="D909" s="234">
        <v>8923.2000000000007</v>
      </c>
      <c r="E909" s="234">
        <v>7113.6</v>
      </c>
    </row>
    <row r="910" spans="2:5">
      <c r="B910" s="232" t="s">
        <v>1949</v>
      </c>
      <c r="C910" s="233" t="s">
        <v>1247</v>
      </c>
      <c r="D910" s="234">
        <v>23605.919999999998</v>
      </c>
      <c r="E910" s="234">
        <v>24433.5</v>
      </c>
    </row>
    <row r="911" spans="2:5">
      <c r="B911" s="232" t="s">
        <v>1950</v>
      </c>
      <c r="C911" s="233" t="s">
        <v>1247</v>
      </c>
      <c r="D911" s="234">
        <v>45668.86</v>
      </c>
      <c r="E911" s="234">
        <v>50265.09</v>
      </c>
    </row>
    <row r="912" spans="2:5">
      <c r="B912" s="232" t="s">
        <v>1951</v>
      </c>
      <c r="C912" s="233" t="s">
        <v>1247</v>
      </c>
      <c r="D912" s="234">
        <v>58248.99</v>
      </c>
      <c r="E912" s="234">
        <v>58508.56</v>
      </c>
    </row>
    <row r="913" spans="2:5">
      <c r="B913" s="232" t="s">
        <v>1952</v>
      </c>
      <c r="C913" s="233" t="s">
        <v>1247</v>
      </c>
      <c r="D913" s="234">
        <v>49658.44</v>
      </c>
      <c r="E913" s="234">
        <v>50245.38</v>
      </c>
    </row>
    <row r="914" spans="2:5">
      <c r="B914" s="232" t="s">
        <v>1953</v>
      </c>
      <c r="C914" s="233" t="s">
        <v>1037</v>
      </c>
      <c r="D914" s="234">
        <v>50124.75</v>
      </c>
      <c r="E914" s="234">
        <v>51338.5</v>
      </c>
    </row>
    <row r="915" spans="2:5">
      <c r="B915" s="232" t="s">
        <v>1954</v>
      </c>
      <c r="C915" s="233" t="s">
        <v>1037</v>
      </c>
      <c r="D915" s="234">
        <v>47005.75</v>
      </c>
      <c r="E915" s="234">
        <v>42032</v>
      </c>
    </row>
    <row r="916" spans="2:5">
      <c r="B916" s="232" t="s">
        <v>1955</v>
      </c>
      <c r="C916" s="233" t="s">
        <v>1037</v>
      </c>
      <c r="D916" s="234">
        <v>45758.25</v>
      </c>
      <c r="E916" s="234">
        <v>48752.75</v>
      </c>
    </row>
    <row r="917" spans="2:5">
      <c r="B917" s="232" t="s">
        <v>1956</v>
      </c>
      <c r="C917" s="233" t="s">
        <v>1037</v>
      </c>
      <c r="D917" s="234">
        <v>43416.5</v>
      </c>
      <c r="E917" s="234">
        <v>40930.5</v>
      </c>
    </row>
    <row r="918" spans="2:5">
      <c r="B918" s="232" t="s">
        <v>1957</v>
      </c>
      <c r="C918" s="233" t="s">
        <v>1247</v>
      </c>
      <c r="D918" s="234">
        <v>27207.46</v>
      </c>
      <c r="E918" s="234">
        <v>24433.01</v>
      </c>
    </row>
    <row r="919" spans="2:5">
      <c r="B919" s="232" t="s">
        <v>1958</v>
      </c>
      <c r="C919" s="233" t="s">
        <v>1247</v>
      </c>
      <c r="D919" s="234">
        <v>26954.29</v>
      </c>
      <c r="E919" s="234">
        <v>23699.86</v>
      </c>
    </row>
    <row r="920" spans="2:5">
      <c r="B920" s="232" t="s">
        <v>1959</v>
      </c>
      <c r="C920" s="233" t="s">
        <v>1247</v>
      </c>
      <c r="D920" s="234">
        <v>28283.66</v>
      </c>
      <c r="E920" s="234">
        <v>25853.93</v>
      </c>
    </row>
    <row r="921" spans="2:5">
      <c r="B921" s="232" t="s">
        <v>1960</v>
      </c>
      <c r="C921" s="233" t="s">
        <v>1247</v>
      </c>
      <c r="D921" s="234">
        <v>26384.84</v>
      </c>
      <c r="E921" s="234">
        <v>22832.560000000001</v>
      </c>
    </row>
    <row r="922" spans="2:5">
      <c r="B922" s="232" t="s">
        <v>1961</v>
      </c>
      <c r="C922" s="233" t="s">
        <v>1247</v>
      </c>
      <c r="D922" s="234">
        <v>10974</v>
      </c>
      <c r="E922" s="234">
        <v>8835</v>
      </c>
    </row>
    <row r="923" spans="2:5">
      <c r="B923" s="232" t="s">
        <v>1962</v>
      </c>
      <c r="C923" s="233" t="s">
        <v>1247</v>
      </c>
      <c r="D923" s="234">
        <v>9455</v>
      </c>
      <c r="E923" s="234">
        <v>9951</v>
      </c>
    </row>
    <row r="924" spans="2:5">
      <c r="B924" s="232" t="s">
        <v>1963</v>
      </c>
      <c r="C924" s="233" t="s">
        <v>1247</v>
      </c>
      <c r="D924" s="234">
        <v>19495.07</v>
      </c>
      <c r="E924" s="234">
        <v>25668.91</v>
      </c>
    </row>
    <row r="925" spans="2:5">
      <c r="B925" s="232" t="s">
        <v>1964</v>
      </c>
      <c r="C925" s="233" t="s">
        <v>1247</v>
      </c>
      <c r="D925" s="234">
        <v>23847.01</v>
      </c>
      <c r="E925" s="234">
        <v>24887.37</v>
      </c>
    </row>
    <row r="926" spans="2:5">
      <c r="B926" s="232" t="s">
        <v>1965</v>
      </c>
      <c r="C926" s="233" t="s">
        <v>1247</v>
      </c>
      <c r="D926" s="234">
        <v>28895.21</v>
      </c>
      <c r="E926" s="234">
        <v>23313.03</v>
      </c>
    </row>
    <row r="927" spans="2:5">
      <c r="B927" s="232" t="s">
        <v>1966</v>
      </c>
      <c r="C927" s="233" t="s">
        <v>1247</v>
      </c>
      <c r="D927" s="234">
        <v>11130</v>
      </c>
      <c r="E927" s="234">
        <v>7579.53</v>
      </c>
    </row>
    <row r="928" spans="2:5">
      <c r="B928" s="232" t="s">
        <v>1967</v>
      </c>
      <c r="C928" s="233" t="s">
        <v>1247</v>
      </c>
      <c r="D928" s="234">
        <v>28896.81</v>
      </c>
      <c r="E928" s="234">
        <v>26526.58</v>
      </c>
    </row>
    <row r="929" spans="2:5">
      <c r="B929" s="232" t="s">
        <v>1968</v>
      </c>
      <c r="C929" s="233" t="s">
        <v>1247</v>
      </c>
      <c r="D929" s="234">
        <v>27374.84</v>
      </c>
      <c r="E929" s="234">
        <v>29034.66</v>
      </c>
    </row>
    <row r="930" spans="2:5">
      <c r="B930" s="232" t="s">
        <v>1969</v>
      </c>
      <c r="C930" s="233" t="s">
        <v>1247</v>
      </c>
      <c r="D930" s="234">
        <v>10958.52</v>
      </c>
      <c r="E930" s="234">
        <v>8453.24</v>
      </c>
    </row>
    <row r="931" spans="2:5">
      <c r="B931" s="232" t="s">
        <v>1970</v>
      </c>
      <c r="C931" s="233" t="s">
        <v>1212</v>
      </c>
      <c r="D931" s="234">
        <v>956312.73</v>
      </c>
      <c r="E931" s="234">
        <v>838290.87</v>
      </c>
    </row>
    <row r="932" spans="2:5">
      <c r="B932" s="232" t="s">
        <v>1971</v>
      </c>
      <c r="C932" s="233" t="s">
        <v>1212</v>
      </c>
      <c r="D932" s="234">
        <v>829219.95</v>
      </c>
      <c r="E932" s="234">
        <v>699160.14</v>
      </c>
    </row>
    <row r="933" spans="2:5">
      <c r="B933" s="232" t="s">
        <v>1972</v>
      </c>
      <c r="C933" s="233" t="s">
        <v>1212</v>
      </c>
      <c r="D933" s="234">
        <v>934454.61</v>
      </c>
      <c r="E933" s="234">
        <v>970029</v>
      </c>
    </row>
    <row r="934" spans="2:5">
      <c r="B934" s="232" t="s">
        <v>1973</v>
      </c>
      <c r="C934" s="233" t="s">
        <v>1212</v>
      </c>
      <c r="D934" s="234">
        <v>779669.55</v>
      </c>
      <c r="E934" s="234">
        <v>863036.1</v>
      </c>
    </row>
    <row r="935" spans="2:5">
      <c r="B935" s="232" t="s">
        <v>1974</v>
      </c>
      <c r="C935" s="233" t="s">
        <v>1212</v>
      </c>
      <c r="D935" s="234">
        <v>790578.63</v>
      </c>
      <c r="E935" s="234">
        <v>825483.69</v>
      </c>
    </row>
    <row r="936" spans="2:5">
      <c r="B936" s="232" t="s">
        <v>1975</v>
      </c>
      <c r="C936" s="233" t="s">
        <v>1212</v>
      </c>
      <c r="D936" s="234">
        <v>850079.07</v>
      </c>
      <c r="E936" s="234">
        <v>767741.49</v>
      </c>
    </row>
    <row r="937" spans="2:5">
      <c r="B937" s="232" t="s">
        <v>1976</v>
      </c>
      <c r="C937" s="233" t="s">
        <v>1212</v>
      </c>
      <c r="D937" s="234">
        <v>1867552.05</v>
      </c>
      <c r="E937" s="234">
        <v>1953754.14</v>
      </c>
    </row>
    <row r="938" spans="2:5">
      <c r="B938" s="232" t="s">
        <v>1977</v>
      </c>
      <c r="C938" s="233" t="s">
        <v>1212</v>
      </c>
      <c r="D938" s="234">
        <v>1569978.15</v>
      </c>
      <c r="E938" s="234">
        <v>1641117.66</v>
      </c>
    </row>
    <row r="939" spans="2:5">
      <c r="B939" s="232" t="s">
        <v>1978</v>
      </c>
      <c r="C939" s="233" t="s">
        <v>1212</v>
      </c>
      <c r="D939" s="234">
        <v>1852873.23</v>
      </c>
      <c r="E939" s="234">
        <v>1801945.08</v>
      </c>
    </row>
    <row r="940" spans="2:5">
      <c r="B940" s="232" t="s">
        <v>1979</v>
      </c>
      <c r="C940" s="233" t="s">
        <v>1212</v>
      </c>
      <c r="D940" s="234">
        <v>2102828.91</v>
      </c>
      <c r="E940" s="234">
        <v>1818958.44</v>
      </c>
    </row>
    <row r="941" spans="2:5">
      <c r="B941" s="232" t="s">
        <v>1980</v>
      </c>
      <c r="C941" s="233" t="s">
        <v>1212</v>
      </c>
      <c r="D941" s="234">
        <v>1689663.3</v>
      </c>
      <c r="E941" s="234">
        <v>1999277.67</v>
      </c>
    </row>
    <row r="942" spans="2:5">
      <c r="B942" s="232" t="s">
        <v>1981</v>
      </c>
      <c r="C942" s="233" t="s">
        <v>1212</v>
      </c>
      <c r="D942" s="234">
        <v>1673673.3</v>
      </c>
      <c r="E942" s="234">
        <v>1570138.05</v>
      </c>
    </row>
    <row r="943" spans="2:5">
      <c r="B943" s="232" t="s">
        <v>1982</v>
      </c>
      <c r="C943" s="233" t="s">
        <v>1212</v>
      </c>
      <c r="D943" s="234">
        <v>780285.6</v>
      </c>
      <c r="E943" s="234">
        <v>1718391.78</v>
      </c>
    </row>
    <row r="944" spans="2:5">
      <c r="B944" s="232" t="s">
        <v>1983</v>
      </c>
      <c r="C944" s="233" t="s">
        <v>1212</v>
      </c>
      <c r="D944" s="234">
        <v>970030.26</v>
      </c>
      <c r="E944" s="234">
        <v>1696848.48</v>
      </c>
    </row>
    <row r="945" spans="2:5">
      <c r="B945" s="232" t="s">
        <v>1984</v>
      </c>
      <c r="C945" s="233" t="s">
        <v>1212</v>
      </c>
      <c r="D945" s="234">
        <v>806373.9</v>
      </c>
      <c r="E945" s="234">
        <v>1748406.96</v>
      </c>
    </row>
    <row r="946" spans="2:5">
      <c r="B946" s="232" t="s">
        <v>1985</v>
      </c>
      <c r="C946" s="233" t="s">
        <v>1212</v>
      </c>
      <c r="D946" s="234">
        <v>701838.9</v>
      </c>
      <c r="E946" s="234">
        <v>1692830.7</v>
      </c>
    </row>
    <row r="947" spans="2:5">
      <c r="B947" s="232" t="s">
        <v>1986</v>
      </c>
      <c r="C947" s="233" t="s">
        <v>1212</v>
      </c>
      <c r="D947" s="234">
        <v>733363.02</v>
      </c>
      <c r="E947" s="234">
        <v>1909627.2</v>
      </c>
    </row>
    <row r="948" spans="2:5">
      <c r="B948" s="232" t="s">
        <v>1987</v>
      </c>
      <c r="C948" s="233" t="s">
        <v>1212</v>
      </c>
      <c r="D948" s="234">
        <v>691058.16</v>
      </c>
      <c r="E948" s="234">
        <v>1755206.28</v>
      </c>
    </row>
    <row r="949" spans="2:5">
      <c r="B949" s="232" t="s">
        <v>1988</v>
      </c>
      <c r="C949" s="233" t="s">
        <v>1212</v>
      </c>
      <c r="D949" s="234">
        <v>222768</v>
      </c>
      <c r="E949" s="234">
        <v>218790</v>
      </c>
    </row>
    <row r="950" spans="2:5">
      <c r="B950" s="232" t="s">
        <v>1989</v>
      </c>
      <c r="C950" s="233" t="s">
        <v>1212</v>
      </c>
      <c r="D950" s="234">
        <v>182988</v>
      </c>
      <c r="E950" s="234">
        <v>226746</v>
      </c>
    </row>
    <row r="951" spans="2:5">
      <c r="B951" s="232" t="s">
        <v>1990</v>
      </c>
      <c r="C951" s="233" t="s">
        <v>1212</v>
      </c>
      <c r="D951" s="234">
        <v>186966</v>
      </c>
      <c r="E951" s="234">
        <v>326196</v>
      </c>
    </row>
    <row r="952" spans="2:5">
      <c r="B952" s="232" t="s">
        <v>1991</v>
      </c>
      <c r="C952" s="233" t="s">
        <v>1212</v>
      </c>
      <c r="D952" s="234">
        <v>222768</v>
      </c>
      <c r="E952" s="234">
        <v>298350</v>
      </c>
    </row>
    <row r="953" spans="2:5">
      <c r="B953" s="232" t="s">
        <v>1992</v>
      </c>
      <c r="C953" s="233" t="s">
        <v>1212</v>
      </c>
      <c r="D953" s="234">
        <v>270504</v>
      </c>
      <c r="E953" s="234">
        <v>254592</v>
      </c>
    </row>
    <row r="954" spans="2:5">
      <c r="B954" s="232" t="s">
        <v>1993</v>
      </c>
      <c r="C954" s="233" t="s">
        <v>1212</v>
      </c>
      <c r="D954" s="234">
        <v>194922</v>
      </c>
      <c r="E954" s="234">
        <v>252603</v>
      </c>
    </row>
    <row r="955" spans="2:5">
      <c r="B955" s="232" t="s">
        <v>1994</v>
      </c>
      <c r="C955" s="233" t="s">
        <v>1212</v>
      </c>
      <c r="D955" s="234"/>
      <c r="E955" s="234">
        <v>185640</v>
      </c>
    </row>
    <row r="956" spans="2:5">
      <c r="B956" s="232" t="s">
        <v>1995</v>
      </c>
      <c r="C956" s="233" t="s">
        <v>1212</v>
      </c>
      <c r="D956" s="234"/>
      <c r="E956" s="234">
        <v>206856</v>
      </c>
    </row>
    <row r="957" spans="2:5">
      <c r="B957" s="232" t="s">
        <v>1996</v>
      </c>
      <c r="C957" s="233" t="s">
        <v>1212</v>
      </c>
      <c r="D957" s="234"/>
      <c r="E957" s="234">
        <v>137904</v>
      </c>
    </row>
    <row r="958" spans="2:5">
      <c r="B958" s="232" t="s">
        <v>1997</v>
      </c>
      <c r="C958" s="233" t="s">
        <v>1212</v>
      </c>
      <c r="D958" s="234"/>
      <c r="E958" s="234">
        <v>212160</v>
      </c>
    </row>
    <row r="959" spans="2:5">
      <c r="B959" s="232" t="s">
        <v>1998</v>
      </c>
      <c r="C959" s="233" t="s">
        <v>1212</v>
      </c>
      <c r="D959" s="234"/>
      <c r="E959" s="234">
        <v>161772</v>
      </c>
    </row>
    <row r="960" spans="2:5">
      <c r="B960" s="232" t="s">
        <v>1999</v>
      </c>
      <c r="C960" s="233" t="s">
        <v>1212</v>
      </c>
      <c r="D960" s="234"/>
      <c r="E960" s="234">
        <v>145860</v>
      </c>
    </row>
    <row r="961" spans="2:5">
      <c r="B961" s="232" t="s">
        <v>2000</v>
      </c>
      <c r="C961" s="233" t="s">
        <v>1212</v>
      </c>
      <c r="D961" s="234">
        <v>404535.06</v>
      </c>
      <c r="E961" s="234">
        <v>455901.1</v>
      </c>
    </row>
    <row r="962" spans="2:5">
      <c r="B962" s="232" t="s">
        <v>2001</v>
      </c>
      <c r="C962" s="233" t="s">
        <v>1212</v>
      </c>
      <c r="D962" s="234">
        <v>418089.83</v>
      </c>
      <c r="E962" s="234">
        <v>405304.94</v>
      </c>
    </row>
    <row r="963" spans="2:5">
      <c r="B963" s="232" t="s">
        <v>2002</v>
      </c>
      <c r="C963" s="233" t="s">
        <v>1212</v>
      </c>
      <c r="D963" s="234">
        <v>373290</v>
      </c>
      <c r="E963" s="234">
        <v>341509.34</v>
      </c>
    </row>
    <row r="964" spans="2:5">
      <c r="B964" s="232" t="s">
        <v>2003</v>
      </c>
      <c r="C964" s="233" t="s">
        <v>1212</v>
      </c>
      <c r="D964" s="234">
        <v>428822.46</v>
      </c>
      <c r="E964" s="234">
        <v>375589.49</v>
      </c>
    </row>
    <row r="965" spans="2:5">
      <c r="B965" s="232" t="s">
        <v>2004</v>
      </c>
      <c r="C965" s="233" t="s">
        <v>1212</v>
      </c>
      <c r="D965" s="234">
        <v>390678.98</v>
      </c>
      <c r="E965" s="234">
        <v>407982.96</v>
      </c>
    </row>
    <row r="966" spans="2:5">
      <c r="B966" s="232" t="s">
        <v>2005</v>
      </c>
      <c r="C966" s="233" t="s">
        <v>1212</v>
      </c>
      <c r="D966" s="234">
        <v>400801.27</v>
      </c>
      <c r="E966" s="234">
        <v>409592.34</v>
      </c>
    </row>
    <row r="967" spans="2:5">
      <c r="B967" s="232" t="s">
        <v>2006</v>
      </c>
      <c r="C967" s="233" t="s">
        <v>1212</v>
      </c>
      <c r="D967" s="234">
        <v>1041288.24</v>
      </c>
      <c r="E967" s="234">
        <v>762711.2</v>
      </c>
    </row>
    <row r="968" spans="2:5">
      <c r="B968" s="232" t="s">
        <v>2007</v>
      </c>
      <c r="C968" s="233" t="s">
        <v>1212</v>
      </c>
      <c r="D968" s="234">
        <v>901791.44</v>
      </c>
      <c r="E968" s="234">
        <v>758261.12</v>
      </c>
    </row>
    <row r="969" spans="2:5">
      <c r="B969" s="232" t="s">
        <v>2008</v>
      </c>
      <c r="C969" s="233" t="s">
        <v>1212</v>
      </c>
      <c r="D969" s="234">
        <v>872210.6</v>
      </c>
      <c r="E969" s="234">
        <v>832799.96</v>
      </c>
    </row>
    <row r="970" spans="2:5">
      <c r="B970" s="232" t="s">
        <v>2009</v>
      </c>
      <c r="C970" s="233" t="s">
        <v>1212</v>
      </c>
      <c r="D970" s="234">
        <v>761624.08</v>
      </c>
      <c r="E970" s="234">
        <v>865408.48</v>
      </c>
    </row>
    <row r="971" spans="2:5">
      <c r="B971" s="232" t="s">
        <v>2010</v>
      </c>
      <c r="C971" s="233" t="s">
        <v>1212</v>
      </c>
      <c r="D971" s="234">
        <v>970051.4</v>
      </c>
      <c r="E971" s="234">
        <v>942477.16</v>
      </c>
    </row>
    <row r="972" spans="2:5">
      <c r="B972" s="232" t="s">
        <v>2011</v>
      </c>
      <c r="C972" s="233" t="s">
        <v>1212</v>
      </c>
      <c r="D972" s="234">
        <v>896137.4</v>
      </c>
      <c r="E972" s="234">
        <v>745627.16</v>
      </c>
    </row>
    <row r="973" spans="2:5">
      <c r="B973" s="232" t="s">
        <v>2012</v>
      </c>
      <c r="C973" s="233" t="s">
        <v>1212</v>
      </c>
      <c r="D973" s="234">
        <v>1179903.06</v>
      </c>
      <c r="E973" s="234">
        <v>1572080.86</v>
      </c>
    </row>
    <row r="974" spans="2:5">
      <c r="B974" s="232" t="s">
        <v>2013</v>
      </c>
      <c r="C974" s="233" t="s">
        <v>1212</v>
      </c>
      <c r="D974" s="234">
        <v>1223368.51</v>
      </c>
      <c r="E974" s="234">
        <v>1548983.66</v>
      </c>
    </row>
    <row r="975" spans="2:5">
      <c r="B975" s="232" t="s">
        <v>2014</v>
      </c>
      <c r="C975" s="233" t="s">
        <v>1212</v>
      </c>
      <c r="D975" s="234">
        <v>1218219.1000000001</v>
      </c>
      <c r="E975" s="234">
        <v>1186523.73</v>
      </c>
    </row>
    <row r="976" spans="2:5">
      <c r="B976" s="232" t="s">
        <v>2015</v>
      </c>
      <c r="C976" s="233" t="s">
        <v>1212</v>
      </c>
      <c r="D976" s="234">
        <v>1414426.65</v>
      </c>
      <c r="E976" s="234">
        <v>1357767.32</v>
      </c>
    </row>
    <row r="977" spans="2:5">
      <c r="B977" s="232" t="s">
        <v>2016</v>
      </c>
      <c r="C977" s="233" t="s">
        <v>1212</v>
      </c>
      <c r="D977" s="234">
        <v>1278137.3500000001</v>
      </c>
      <c r="E977" s="234">
        <v>1291877.02</v>
      </c>
    </row>
    <row r="978" spans="2:5">
      <c r="B978" s="232" t="s">
        <v>2017</v>
      </c>
      <c r="C978" s="233" t="s">
        <v>1212</v>
      </c>
      <c r="D978" s="234">
        <v>1171961.42</v>
      </c>
      <c r="E978" s="234">
        <v>1397396.42</v>
      </c>
    </row>
    <row r="979" spans="2:5">
      <c r="B979" s="232" t="s">
        <v>2018</v>
      </c>
      <c r="C979" s="233" t="s">
        <v>1212</v>
      </c>
      <c r="D979" s="234">
        <v>548639.28</v>
      </c>
      <c r="E979" s="234">
        <v>638214.47</v>
      </c>
    </row>
    <row r="980" spans="2:5">
      <c r="B980" s="232" t="s">
        <v>2019</v>
      </c>
      <c r="C980" s="233" t="s">
        <v>1212</v>
      </c>
      <c r="D980" s="234">
        <v>730659.08</v>
      </c>
      <c r="E980" s="234">
        <v>756834.95</v>
      </c>
    </row>
    <row r="981" spans="2:5">
      <c r="B981" s="232" t="s">
        <v>2020</v>
      </c>
      <c r="C981" s="233" t="s">
        <v>1212</v>
      </c>
      <c r="D981" s="234">
        <v>706413.75</v>
      </c>
      <c r="E981" s="234">
        <v>614767.69999999995</v>
      </c>
    </row>
    <row r="982" spans="2:5">
      <c r="B982" s="232" t="s">
        <v>2021</v>
      </c>
      <c r="C982" s="233" t="s">
        <v>1212</v>
      </c>
      <c r="D982" s="234">
        <v>683730.38</v>
      </c>
      <c r="E982" s="234">
        <v>739241.03</v>
      </c>
    </row>
    <row r="983" spans="2:5">
      <c r="B983" s="232" t="s">
        <v>2022</v>
      </c>
      <c r="C983" s="233" t="s">
        <v>1212</v>
      </c>
      <c r="D983" s="234">
        <v>704105.9</v>
      </c>
      <c r="E983" s="234">
        <v>598051.25</v>
      </c>
    </row>
    <row r="984" spans="2:5">
      <c r="B984" s="232" t="s">
        <v>2023</v>
      </c>
      <c r="C984" s="233" t="s">
        <v>1212</v>
      </c>
      <c r="D984" s="234">
        <v>678035.42</v>
      </c>
      <c r="E984" s="234">
        <v>584774.73</v>
      </c>
    </row>
    <row r="985" spans="2:5">
      <c r="B985" s="232" t="s">
        <v>2024</v>
      </c>
      <c r="C985" s="233" t="s">
        <v>1212</v>
      </c>
      <c r="D985" s="234">
        <v>601754.34</v>
      </c>
      <c r="E985" s="234">
        <v>618505.81999999995</v>
      </c>
    </row>
    <row r="986" spans="2:5">
      <c r="B986" s="232" t="s">
        <v>2025</v>
      </c>
      <c r="C986" s="233" t="s">
        <v>1212</v>
      </c>
      <c r="D986" s="234">
        <v>1104583.25</v>
      </c>
      <c r="E986" s="234">
        <v>1121132.75</v>
      </c>
    </row>
    <row r="987" spans="2:5">
      <c r="B987" s="232" t="s">
        <v>2026</v>
      </c>
      <c r="C987" s="233" t="s">
        <v>1212</v>
      </c>
      <c r="D987" s="234">
        <v>1104022.75</v>
      </c>
      <c r="E987" s="234">
        <v>1187670</v>
      </c>
    </row>
    <row r="988" spans="2:5">
      <c r="B988" s="232" t="s">
        <v>2027</v>
      </c>
      <c r="C988" s="233" t="s">
        <v>1212</v>
      </c>
      <c r="D988" s="234">
        <v>1060480.75</v>
      </c>
      <c r="E988" s="234">
        <v>1224161.5</v>
      </c>
    </row>
    <row r="989" spans="2:5">
      <c r="B989" s="232" t="s">
        <v>2028</v>
      </c>
      <c r="C989" s="233" t="s">
        <v>1212</v>
      </c>
      <c r="D989" s="234">
        <v>1137505.25</v>
      </c>
      <c r="E989" s="234">
        <v>1231271</v>
      </c>
    </row>
    <row r="990" spans="2:5">
      <c r="B990" s="232" t="s">
        <v>2029</v>
      </c>
      <c r="C990" s="233" t="s">
        <v>1212</v>
      </c>
      <c r="D990" s="234">
        <v>1108787</v>
      </c>
      <c r="E990" s="234">
        <v>1099494.5</v>
      </c>
    </row>
    <row r="991" spans="2:5">
      <c r="B991" s="232" t="s">
        <v>2030</v>
      </c>
      <c r="C991" s="233" t="s">
        <v>1212</v>
      </c>
      <c r="D991" s="234">
        <v>1045244</v>
      </c>
      <c r="E991" s="234">
        <v>889616.75</v>
      </c>
    </row>
    <row r="992" spans="2:5">
      <c r="B992" s="232" t="s">
        <v>2031</v>
      </c>
      <c r="C992" s="233" t="s">
        <v>1354</v>
      </c>
      <c r="D992" s="234">
        <v>43585.84</v>
      </c>
      <c r="E992" s="234">
        <v>32727.919999999998</v>
      </c>
    </row>
    <row r="993" spans="2:5">
      <c r="B993" s="232" t="s">
        <v>2032</v>
      </c>
      <c r="C993" s="233" t="s">
        <v>1354</v>
      </c>
      <c r="D993" s="234">
        <v>42840.08</v>
      </c>
      <c r="E993" s="234">
        <v>37481.31</v>
      </c>
    </row>
    <row r="994" spans="2:5">
      <c r="B994" s="232" t="s">
        <v>2033</v>
      </c>
      <c r="C994" s="233" t="s">
        <v>1247</v>
      </c>
      <c r="D994" s="234">
        <v>24084.5</v>
      </c>
      <c r="E994" s="234">
        <v>19206.5</v>
      </c>
    </row>
    <row r="995" spans="2:5">
      <c r="B995" s="232" t="s">
        <v>2034</v>
      </c>
      <c r="C995" s="233" t="s">
        <v>1247</v>
      </c>
      <c r="D995" s="234">
        <v>26790.84</v>
      </c>
      <c r="E995" s="234">
        <v>21279.43</v>
      </c>
    </row>
    <row r="996" spans="2:5">
      <c r="B996" s="232" t="s">
        <v>2035</v>
      </c>
      <c r="C996" s="233" t="s">
        <v>1247</v>
      </c>
      <c r="D996" s="234">
        <v>21447.56</v>
      </c>
      <c r="E996" s="234">
        <v>19482.53</v>
      </c>
    </row>
    <row r="997" spans="2:5">
      <c r="B997" s="232" t="s">
        <v>2036</v>
      </c>
      <c r="C997" s="233" t="s">
        <v>1247</v>
      </c>
      <c r="D997" s="234">
        <v>24764.69</v>
      </c>
      <c r="E997" s="234">
        <v>20968.810000000001</v>
      </c>
    </row>
    <row r="998" spans="2:5">
      <c r="B998" s="232" t="s">
        <v>2037</v>
      </c>
      <c r="C998" s="233" t="s">
        <v>1247</v>
      </c>
      <c r="D998" s="234">
        <v>23837.15</v>
      </c>
      <c r="E998" s="234">
        <v>24080.05</v>
      </c>
    </row>
    <row r="999" spans="2:5">
      <c r="B999" s="232" t="s">
        <v>2038</v>
      </c>
      <c r="C999" s="233" t="s">
        <v>1247</v>
      </c>
      <c r="D999" s="234"/>
      <c r="E999" s="234">
        <v>17284.71</v>
      </c>
    </row>
    <row r="1000" spans="2:5">
      <c r="B1000" s="232" t="s">
        <v>2039</v>
      </c>
      <c r="C1000" s="233" t="s">
        <v>1247</v>
      </c>
      <c r="D1000" s="234">
        <v>116597.59</v>
      </c>
      <c r="E1000" s="234">
        <v>117083.3</v>
      </c>
    </row>
    <row r="1001" spans="2:5">
      <c r="B1001" s="232" t="s">
        <v>2040</v>
      </c>
      <c r="C1001" s="233" t="s">
        <v>1247</v>
      </c>
      <c r="D1001" s="234">
        <v>27191.75</v>
      </c>
      <c r="E1001" s="234">
        <v>19700.75</v>
      </c>
    </row>
    <row r="1002" spans="2:5">
      <c r="B1002" s="232" t="s">
        <v>2041</v>
      </c>
      <c r="C1002" s="233" t="s">
        <v>1247</v>
      </c>
      <c r="D1002" s="234">
        <v>9227.26</v>
      </c>
      <c r="E1002" s="234">
        <v>6265.81</v>
      </c>
    </row>
    <row r="1003" spans="2:5">
      <c r="B1003" s="232" t="s">
        <v>2042</v>
      </c>
      <c r="C1003" s="233" t="s">
        <v>1247</v>
      </c>
      <c r="D1003" s="234">
        <v>6719.26</v>
      </c>
      <c r="E1003" s="234">
        <v>9007.15</v>
      </c>
    </row>
    <row r="1004" spans="2:5">
      <c r="B1004" s="232" t="s">
        <v>2043</v>
      </c>
      <c r="C1004" s="233" t="s">
        <v>1247</v>
      </c>
      <c r="D1004" s="234">
        <v>9268.2800000000007</v>
      </c>
      <c r="E1004" s="234">
        <v>8648.6299999999992</v>
      </c>
    </row>
    <row r="1005" spans="2:5">
      <c r="B1005" s="232" t="s">
        <v>2044</v>
      </c>
      <c r="C1005" s="233" t="s">
        <v>1247</v>
      </c>
      <c r="D1005" s="234">
        <v>8955.6299999999992</v>
      </c>
      <c r="E1005" s="234">
        <v>9619.01</v>
      </c>
    </row>
    <row r="1006" spans="2:5">
      <c r="B1006" s="232" t="s">
        <v>2045</v>
      </c>
      <c r="C1006" s="233" t="s">
        <v>1247</v>
      </c>
      <c r="D1006" s="234">
        <v>11078.48</v>
      </c>
      <c r="E1006" s="234">
        <v>10460</v>
      </c>
    </row>
    <row r="1007" spans="2:5">
      <c r="B1007" s="232" t="s">
        <v>2046</v>
      </c>
      <c r="C1007" s="233" t="s">
        <v>1037</v>
      </c>
      <c r="D1007" s="234">
        <v>293686.68</v>
      </c>
      <c r="E1007" s="234">
        <v>584495.31999999995</v>
      </c>
    </row>
    <row r="1008" spans="2:5">
      <c r="B1008" s="232" t="s">
        <v>2047</v>
      </c>
      <c r="C1008" s="233" t="s">
        <v>1037</v>
      </c>
      <c r="D1008" s="234">
        <v>267328.56</v>
      </c>
      <c r="E1008" s="234">
        <v>587023.1</v>
      </c>
    </row>
    <row r="1009" spans="2:5">
      <c r="B1009" s="232" t="s">
        <v>2048</v>
      </c>
      <c r="C1009" s="233" t="s">
        <v>1037</v>
      </c>
      <c r="D1009" s="234">
        <v>335485.78000000003</v>
      </c>
      <c r="E1009" s="234">
        <v>558981.19999999995</v>
      </c>
    </row>
    <row r="1010" spans="2:5">
      <c r="B1010" s="232" t="s">
        <v>2049</v>
      </c>
      <c r="C1010" s="233" t="s">
        <v>1037</v>
      </c>
      <c r="D1010" s="234">
        <v>288420.47999999998</v>
      </c>
      <c r="E1010" s="234">
        <v>568810.07999999996</v>
      </c>
    </row>
    <row r="1011" spans="2:5">
      <c r="B1011" s="232" t="s">
        <v>2050</v>
      </c>
      <c r="C1011" s="233" t="s">
        <v>1037</v>
      </c>
      <c r="D1011" s="234">
        <v>322976.15999999997</v>
      </c>
      <c r="E1011" s="234">
        <v>607080.95999999996</v>
      </c>
    </row>
    <row r="1012" spans="2:5">
      <c r="B1012" s="232" t="s">
        <v>2051</v>
      </c>
      <c r="C1012" s="233" t="s">
        <v>1037</v>
      </c>
      <c r="D1012" s="234">
        <v>315692.64</v>
      </c>
      <c r="E1012" s="234">
        <v>612113.76</v>
      </c>
    </row>
    <row r="1013" spans="2:5">
      <c r="B1013" s="232" t="s">
        <v>2052</v>
      </c>
      <c r="C1013" s="233" t="s">
        <v>1037</v>
      </c>
      <c r="D1013" s="234">
        <v>341878.02</v>
      </c>
      <c r="E1013" s="234">
        <v>546786.18000000005</v>
      </c>
    </row>
    <row r="1014" spans="2:5">
      <c r="B1014" s="232" t="s">
        <v>2053</v>
      </c>
      <c r="C1014" s="233" t="s">
        <v>1037</v>
      </c>
      <c r="D1014" s="234">
        <v>376504.77</v>
      </c>
      <c r="E1014" s="234">
        <v>575145.18000000005</v>
      </c>
    </row>
    <row r="1015" spans="2:5">
      <c r="B1015" s="232" t="s">
        <v>2054</v>
      </c>
      <c r="C1015" s="233" t="s">
        <v>1037</v>
      </c>
      <c r="D1015" s="234">
        <v>286746.48</v>
      </c>
      <c r="E1015" s="234">
        <v>618230.31000000006</v>
      </c>
    </row>
    <row r="1016" spans="2:5">
      <c r="B1016" s="232" t="s">
        <v>2055</v>
      </c>
      <c r="C1016" s="233" t="s">
        <v>1037</v>
      </c>
      <c r="D1016" s="234">
        <v>325474.40000000002</v>
      </c>
      <c r="E1016" s="234">
        <v>545623.9</v>
      </c>
    </row>
    <row r="1017" spans="2:5">
      <c r="B1017" s="232" t="s">
        <v>2056</v>
      </c>
      <c r="C1017" s="233" t="s">
        <v>1037</v>
      </c>
      <c r="D1017" s="234">
        <v>363633.1</v>
      </c>
      <c r="E1017" s="234">
        <v>684388.4</v>
      </c>
    </row>
    <row r="1018" spans="2:5">
      <c r="B1018" s="232" t="s">
        <v>2057</v>
      </c>
      <c r="C1018" s="233" t="s">
        <v>1037</v>
      </c>
      <c r="D1018" s="234">
        <v>345039.6</v>
      </c>
      <c r="E1018" s="234">
        <v>514267.1</v>
      </c>
    </row>
    <row r="1019" spans="2:5">
      <c r="B1019" s="232" t="s">
        <v>2058</v>
      </c>
      <c r="C1019" s="233" t="s">
        <v>1037</v>
      </c>
      <c r="D1019" s="234">
        <v>730369.6</v>
      </c>
      <c r="E1019" s="234">
        <v>837463.3</v>
      </c>
    </row>
    <row r="1020" spans="2:5">
      <c r="B1020" s="232" t="s">
        <v>2059</v>
      </c>
      <c r="C1020" s="233" t="s">
        <v>1037</v>
      </c>
      <c r="D1020" s="234">
        <v>549343.6</v>
      </c>
      <c r="E1020" s="234">
        <v>699477.7</v>
      </c>
    </row>
    <row r="1021" spans="2:5">
      <c r="B1021" s="232" t="s">
        <v>2060</v>
      </c>
      <c r="C1021" s="233" t="s">
        <v>1037</v>
      </c>
      <c r="D1021" s="234">
        <v>643274.19999999995</v>
      </c>
      <c r="E1021" s="234">
        <v>866183.6</v>
      </c>
    </row>
    <row r="1022" spans="2:5">
      <c r="B1022" s="232" t="s">
        <v>2061</v>
      </c>
      <c r="C1022" s="233" t="s">
        <v>1037</v>
      </c>
      <c r="D1022" s="234">
        <v>691433.6</v>
      </c>
      <c r="E1022" s="234">
        <v>697153.6</v>
      </c>
    </row>
    <row r="1023" spans="2:5">
      <c r="B1023" s="232" t="s">
        <v>2062</v>
      </c>
      <c r="C1023" s="233" t="s">
        <v>1037</v>
      </c>
      <c r="D1023" s="234">
        <v>702838.4</v>
      </c>
      <c r="E1023" s="234">
        <v>656471.19999999995</v>
      </c>
    </row>
    <row r="1024" spans="2:5">
      <c r="B1024" s="232" t="s">
        <v>2063</v>
      </c>
      <c r="C1024" s="233" t="s">
        <v>1037</v>
      </c>
      <c r="D1024" s="234">
        <v>714665.6</v>
      </c>
      <c r="E1024" s="234">
        <v>489975.2</v>
      </c>
    </row>
    <row r="1025" spans="2:5">
      <c r="B1025" s="232" t="s">
        <v>2064</v>
      </c>
      <c r="C1025" s="233" t="s">
        <v>1037</v>
      </c>
      <c r="D1025" s="234">
        <v>746574.6</v>
      </c>
      <c r="E1025" s="234">
        <v>825634.4</v>
      </c>
    </row>
    <row r="1026" spans="2:5">
      <c r="B1026" s="232" t="s">
        <v>2065</v>
      </c>
      <c r="C1026" s="233" t="s">
        <v>1037</v>
      </c>
      <c r="D1026" s="234">
        <v>609791.6</v>
      </c>
      <c r="E1026" s="234">
        <v>550400</v>
      </c>
    </row>
    <row r="1027" spans="2:5">
      <c r="B1027" s="232" t="s">
        <v>2066</v>
      </c>
      <c r="C1027" s="233" t="s">
        <v>1037</v>
      </c>
      <c r="D1027" s="234">
        <v>667394.4</v>
      </c>
      <c r="E1027" s="234">
        <v>574480</v>
      </c>
    </row>
    <row r="1028" spans="2:5">
      <c r="B1028" s="232" t="s">
        <v>2067</v>
      </c>
      <c r="C1028" s="233" t="s">
        <v>1037</v>
      </c>
      <c r="D1028" s="234">
        <v>713371</v>
      </c>
      <c r="E1028" s="234">
        <v>580516</v>
      </c>
    </row>
    <row r="1029" spans="2:5">
      <c r="B1029" s="232" t="s">
        <v>2068</v>
      </c>
      <c r="C1029" s="233" t="s">
        <v>1037</v>
      </c>
      <c r="D1029" s="234">
        <v>648091</v>
      </c>
      <c r="E1029" s="234">
        <v>524076</v>
      </c>
    </row>
    <row r="1030" spans="2:5">
      <c r="B1030" s="232" t="s">
        <v>2069</v>
      </c>
      <c r="C1030" s="233" t="s">
        <v>1037</v>
      </c>
      <c r="D1030" s="234">
        <v>760401.5</v>
      </c>
      <c r="E1030" s="234">
        <v>643951.5</v>
      </c>
    </row>
    <row r="1031" spans="2:5">
      <c r="B1031" s="232" t="s">
        <v>2070</v>
      </c>
      <c r="C1031" s="233" t="s">
        <v>1212</v>
      </c>
      <c r="D1031" s="234">
        <v>648663.15</v>
      </c>
      <c r="E1031" s="234">
        <v>728571.8</v>
      </c>
    </row>
    <row r="1032" spans="2:5">
      <c r="B1032" s="232" t="s">
        <v>2071</v>
      </c>
      <c r="C1032" s="233" t="s">
        <v>1212</v>
      </c>
      <c r="D1032" s="234">
        <v>723503.25</v>
      </c>
      <c r="E1032" s="234">
        <v>818929.05</v>
      </c>
    </row>
    <row r="1033" spans="2:5">
      <c r="B1033" s="232" t="s">
        <v>2072</v>
      </c>
      <c r="C1033" s="233" t="s">
        <v>1212</v>
      </c>
      <c r="D1033" s="234">
        <v>616080.25</v>
      </c>
      <c r="E1033" s="234">
        <v>697395.1</v>
      </c>
    </row>
    <row r="1034" spans="2:5">
      <c r="B1034" s="232" t="s">
        <v>2073</v>
      </c>
      <c r="C1034" s="233" t="s">
        <v>1212</v>
      </c>
      <c r="D1034" s="234">
        <v>757403.35</v>
      </c>
      <c r="E1034" s="234">
        <v>721309.4</v>
      </c>
    </row>
    <row r="1035" spans="2:5">
      <c r="B1035" s="232" t="s">
        <v>2074</v>
      </c>
      <c r="C1035" s="233" t="s">
        <v>1212</v>
      </c>
      <c r="D1035" s="234">
        <v>605965.4</v>
      </c>
      <c r="E1035" s="234">
        <v>693336.7</v>
      </c>
    </row>
    <row r="1036" spans="2:5">
      <c r="B1036" s="232" t="s">
        <v>2075</v>
      </c>
      <c r="C1036" s="233" t="s">
        <v>1212</v>
      </c>
      <c r="D1036" s="234">
        <v>205812.24</v>
      </c>
      <c r="E1036" s="234">
        <v>166201.82999999999</v>
      </c>
    </row>
    <row r="1037" spans="2:5">
      <c r="B1037" s="232" t="s">
        <v>2076</v>
      </c>
      <c r="C1037" s="233" t="s">
        <v>1212</v>
      </c>
      <c r="D1037" s="234">
        <v>251083.65</v>
      </c>
      <c r="E1037" s="234">
        <v>204626.26</v>
      </c>
    </row>
    <row r="1038" spans="2:5">
      <c r="B1038" s="232" t="s">
        <v>2077</v>
      </c>
      <c r="C1038" s="233" t="s">
        <v>1212</v>
      </c>
      <c r="D1038" s="234">
        <v>190256.72</v>
      </c>
      <c r="E1038" s="234">
        <v>235146.23</v>
      </c>
    </row>
    <row r="1039" spans="2:5">
      <c r="B1039" s="232" t="s">
        <v>2078</v>
      </c>
      <c r="C1039" s="233" t="s">
        <v>1212</v>
      </c>
      <c r="D1039" s="234">
        <v>185855.71</v>
      </c>
      <c r="E1039" s="234">
        <v>215965.22</v>
      </c>
    </row>
    <row r="1040" spans="2:5">
      <c r="B1040" s="232" t="s">
        <v>2079</v>
      </c>
      <c r="C1040" s="233" t="s">
        <v>1212</v>
      </c>
      <c r="D1040" s="234">
        <v>250775.94</v>
      </c>
      <c r="E1040" s="234">
        <v>210721.76</v>
      </c>
    </row>
    <row r="1041" spans="2:5">
      <c r="B1041" s="232" t="s">
        <v>2080</v>
      </c>
      <c r="C1041" s="233" t="s">
        <v>1212</v>
      </c>
      <c r="D1041" s="234">
        <v>204186.62</v>
      </c>
      <c r="E1041" s="234">
        <v>202423.95</v>
      </c>
    </row>
    <row r="1042" spans="2:5">
      <c r="B1042" s="232" t="s">
        <v>2081</v>
      </c>
      <c r="C1042" s="233" t="s">
        <v>1212</v>
      </c>
      <c r="D1042" s="234">
        <v>211875.02</v>
      </c>
      <c r="E1042" s="234">
        <v>198044.84</v>
      </c>
    </row>
    <row r="1043" spans="2:5">
      <c r="B1043" s="232" t="s">
        <v>2082</v>
      </c>
      <c r="C1043" s="233" t="s">
        <v>1212</v>
      </c>
      <c r="D1043" s="234">
        <v>236465.98</v>
      </c>
      <c r="E1043" s="234">
        <v>248296.58</v>
      </c>
    </row>
    <row r="1044" spans="2:5">
      <c r="B1044" s="232" t="s">
        <v>2083</v>
      </c>
      <c r="C1044" s="233" t="s">
        <v>1212</v>
      </c>
      <c r="D1044" s="234">
        <v>668033.98</v>
      </c>
      <c r="E1044" s="234">
        <v>589414.06000000006</v>
      </c>
    </row>
    <row r="1045" spans="2:5">
      <c r="B1045" s="232" t="s">
        <v>2084</v>
      </c>
      <c r="C1045" s="233" t="s">
        <v>1212</v>
      </c>
      <c r="D1045" s="234">
        <v>592457.68000000005</v>
      </c>
      <c r="E1045" s="234">
        <v>515799.77</v>
      </c>
    </row>
    <row r="1046" spans="2:5">
      <c r="B1046" s="232" t="s">
        <v>2085</v>
      </c>
      <c r="C1046" s="233" t="s">
        <v>1212</v>
      </c>
      <c r="D1046" s="234">
        <v>602245.14</v>
      </c>
      <c r="E1046" s="234">
        <v>517746.86</v>
      </c>
    </row>
    <row r="1047" spans="2:5">
      <c r="B1047" s="232" t="s">
        <v>2086</v>
      </c>
      <c r="C1047" s="233" t="s">
        <v>1212</v>
      </c>
      <c r="D1047" s="234">
        <v>552107.17000000004</v>
      </c>
      <c r="E1047" s="234">
        <v>513867.65</v>
      </c>
    </row>
    <row r="1048" spans="2:5">
      <c r="B1048" s="232" t="s">
        <v>2087</v>
      </c>
      <c r="C1048" s="233" t="s">
        <v>1212</v>
      </c>
      <c r="D1048" s="234">
        <v>242025.66</v>
      </c>
      <c r="E1048" s="234">
        <v>245838.23</v>
      </c>
    </row>
    <row r="1049" spans="2:5">
      <c r="B1049" s="232" t="s">
        <v>2088</v>
      </c>
      <c r="C1049" s="233" t="s">
        <v>1212</v>
      </c>
      <c r="D1049" s="234">
        <v>228922.09</v>
      </c>
      <c r="E1049" s="234">
        <v>230953.07</v>
      </c>
    </row>
    <row r="1050" spans="2:5">
      <c r="B1050" s="232" t="s">
        <v>2089</v>
      </c>
      <c r="C1050" s="233" t="s">
        <v>1212</v>
      </c>
      <c r="D1050" s="234">
        <v>317766.87</v>
      </c>
      <c r="E1050" s="234">
        <v>236990.59</v>
      </c>
    </row>
    <row r="1051" spans="2:5">
      <c r="B1051" s="232" t="s">
        <v>2090</v>
      </c>
      <c r="C1051" s="233" t="s">
        <v>1212</v>
      </c>
      <c r="D1051" s="234">
        <v>272984.25</v>
      </c>
      <c r="E1051" s="234">
        <v>195122.41</v>
      </c>
    </row>
    <row r="1052" spans="2:5">
      <c r="B1052" s="232" t="s">
        <v>2091</v>
      </c>
      <c r="C1052" s="233" t="s">
        <v>1212</v>
      </c>
      <c r="D1052" s="234">
        <v>271059.21999999997</v>
      </c>
      <c r="E1052" s="234">
        <v>242059.89</v>
      </c>
    </row>
    <row r="1053" spans="2:5">
      <c r="B1053" s="232" t="s">
        <v>2092</v>
      </c>
      <c r="C1053" s="233" t="s">
        <v>1212</v>
      </c>
      <c r="D1053" s="234">
        <v>378658.5</v>
      </c>
      <c r="E1053" s="234">
        <v>418258.5</v>
      </c>
    </row>
    <row r="1054" spans="2:5">
      <c r="B1054" s="232" t="s">
        <v>2093</v>
      </c>
      <c r="C1054" s="233" t="s">
        <v>1212</v>
      </c>
      <c r="D1054" s="234">
        <v>478714.5</v>
      </c>
      <c r="E1054" s="234">
        <v>518611.5</v>
      </c>
    </row>
    <row r="1055" spans="2:5">
      <c r="B1055" s="232" t="s">
        <v>2094</v>
      </c>
      <c r="C1055" s="233" t="s">
        <v>1212</v>
      </c>
      <c r="D1055" s="234">
        <v>328102.5</v>
      </c>
      <c r="E1055" s="234">
        <v>380572.5</v>
      </c>
    </row>
    <row r="1056" spans="2:5">
      <c r="B1056" s="232" t="s">
        <v>2095</v>
      </c>
      <c r="C1056" s="233" t="s">
        <v>1212</v>
      </c>
      <c r="D1056" s="234">
        <v>329076</v>
      </c>
      <c r="E1056" s="234">
        <v>516136.5</v>
      </c>
    </row>
    <row r="1057" spans="2:5">
      <c r="B1057" s="232" t="s">
        <v>2096</v>
      </c>
      <c r="C1057" s="233" t="s">
        <v>1037</v>
      </c>
      <c r="D1057" s="234">
        <v>476790</v>
      </c>
      <c r="E1057" s="234">
        <v>503544</v>
      </c>
    </row>
    <row r="1058" spans="2:5">
      <c r="B1058" s="232" t="s">
        <v>2097</v>
      </c>
      <c r="C1058" s="233" t="s">
        <v>1037</v>
      </c>
      <c r="D1058" s="234">
        <v>436080</v>
      </c>
      <c r="E1058" s="234">
        <v>299460</v>
      </c>
    </row>
    <row r="1059" spans="2:5">
      <c r="B1059" s="232" t="s">
        <v>2098</v>
      </c>
      <c r="C1059" s="233" t="s">
        <v>1037</v>
      </c>
      <c r="D1059" s="234">
        <v>459408</v>
      </c>
      <c r="E1059" s="234">
        <v>405804</v>
      </c>
    </row>
    <row r="1060" spans="2:5">
      <c r="B1060" s="232" t="s">
        <v>2099</v>
      </c>
      <c r="C1060" s="233" t="s">
        <v>1037</v>
      </c>
      <c r="D1060" s="234">
        <v>409636.84</v>
      </c>
      <c r="E1060" s="234">
        <v>440585.72</v>
      </c>
    </row>
    <row r="1061" spans="2:5">
      <c r="B1061" s="232" t="s">
        <v>2100</v>
      </c>
      <c r="C1061" s="233" t="s">
        <v>1037</v>
      </c>
      <c r="D1061" s="234">
        <v>393941.66</v>
      </c>
      <c r="E1061" s="234">
        <v>425943.3</v>
      </c>
    </row>
    <row r="1062" spans="2:5">
      <c r="B1062" s="232" t="s">
        <v>2101</v>
      </c>
      <c r="C1062" s="233" t="s">
        <v>1037</v>
      </c>
      <c r="D1062" s="234">
        <v>404010.8</v>
      </c>
      <c r="E1062" s="234">
        <v>354825.4</v>
      </c>
    </row>
    <row r="1063" spans="2:5">
      <c r="B1063" s="232" t="s">
        <v>2102</v>
      </c>
      <c r="C1063" s="233" t="s">
        <v>1037</v>
      </c>
      <c r="D1063" s="234">
        <v>572086.41</v>
      </c>
      <c r="E1063" s="234">
        <v>440137.56</v>
      </c>
    </row>
    <row r="1064" spans="2:5">
      <c r="B1064" s="232" t="s">
        <v>2103</v>
      </c>
      <c r="C1064" s="233" t="s">
        <v>1037</v>
      </c>
      <c r="D1064" s="234">
        <v>426274.86</v>
      </c>
      <c r="E1064" s="234">
        <v>530048.88</v>
      </c>
    </row>
    <row r="1065" spans="2:5">
      <c r="B1065" s="232" t="s">
        <v>2104</v>
      </c>
      <c r="C1065" s="233" t="s">
        <v>1037</v>
      </c>
      <c r="D1065" s="234">
        <v>576359.16</v>
      </c>
      <c r="E1065" s="234">
        <v>520053.81</v>
      </c>
    </row>
    <row r="1066" spans="2:5">
      <c r="B1066" s="232" t="s">
        <v>2105</v>
      </c>
      <c r="C1066" s="233" t="s">
        <v>1037</v>
      </c>
      <c r="D1066" s="234">
        <v>453718.5</v>
      </c>
      <c r="E1066" s="234">
        <v>451236.05</v>
      </c>
    </row>
    <row r="1067" spans="2:5">
      <c r="B1067" s="232" t="s">
        <v>2106</v>
      </c>
      <c r="C1067" s="233" t="s">
        <v>1037</v>
      </c>
      <c r="D1067" s="234">
        <v>503157.9</v>
      </c>
      <c r="E1067" s="234">
        <v>464401.55</v>
      </c>
    </row>
    <row r="1068" spans="2:5">
      <c r="B1068" s="232" t="s">
        <v>2107</v>
      </c>
      <c r="C1068" s="233" t="s">
        <v>1037</v>
      </c>
      <c r="D1068" s="234">
        <v>509478.65</v>
      </c>
      <c r="E1068" s="234">
        <v>532986.6</v>
      </c>
    </row>
    <row r="1069" spans="2:5">
      <c r="B1069" s="232" t="s">
        <v>2108</v>
      </c>
      <c r="C1069" s="233" t="s">
        <v>1037</v>
      </c>
      <c r="D1069" s="234">
        <v>989600</v>
      </c>
      <c r="E1069" s="234">
        <v>1084240</v>
      </c>
    </row>
    <row r="1070" spans="2:5">
      <c r="B1070" s="232" t="s">
        <v>2109</v>
      </c>
      <c r="C1070" s="233" t="s">
        <v>1037</v>
      </c>
      <c r="D1070" s="234">
        <v>1059184</v>
      </c>
      <c r="E1070" s="234">
        <v>998016</v>
      </c>
    </row>
    <row r="1071" spans="2:5">
      <c r="B1071" s="232" t="s">
        <v>2110</v>
      </c>
      <c r="C1071" s="233" t="s">
        <v>1037</v>
      </c>
      <c r="D1071" s="234">
        <v>1319712</v>
      </c>
      <c r="E1071" s="234">
        <v>1121728</v>
      </c>
    </row>
    <row r="1072" spans="2:5">
      <c r="B1072" s="232" t="s">
        <v>2111</v>
      </c>
      <c r="C1072" s="233" t="s">
        <v>1037</v>
      </c>
      <c r="D1072" s="234">
        <v>1134408.3999999999</v>
      </c>
      <c r="E1072" s="234">
        <v>1038707.8</v>
      </c>
    </row>
    <row r="1073" spans="2:5">
      <c r="B1073" s="232" t="s">
        <v>2112</v>
      </c>
      <c r="C1073" s="233" t="s">
        <v>1037</v>
      </c>
      <c r="D1073" s="234">
        <v>1256463.3999999999</v>
      </c>
      <c r="E1073" s="234">
        <v>1189771.6000000001</v>
      </c>
    </row>
    <row r="1074" spans="2:5">
      <c r="B1074" s="232" t="s">
        <v>2113</v>
      </c>
      <c r="C1074" s="233" t="s">
        <v>1037</v>
      </c>
      <c r="D1074" s="234">
        <v>1008387.6</v>
      </c>
      <c r="E1074" s="234">
        <v>1162327</v>
      </c>
    </row>
    <row r="1075" spans="2:5">
      <c r="B1075" s="232" t="s">
        <v>2114</v>
      </c>
      <c r="C1075" s="233" t="s">
        <v>1037</v>
      </c>
      <c r="D1075" s="234">
        <v>1019631.6</v>
      </c>
      <c r="E1075" s="234">
        <v>1128051.6000000001</v>
      </c>
    </row>
    <row r="1076" spans="2:5">
      <c r="B1076" s="232" t="s">
        <v>2115</v>
      </c>
      <c r="C1076" s="233" t="s">
        <v>1037</v>
      </c>
      <c r="D1076" s="234">
        <v>1128098.3999999999</v>
      </c>
      <c r="E1076" s="234">
        <v>939073.2</v>
      </c>
    </row>
    <row r="1077" spans="2:5">
      <c r="B1077" s="232" t="s">
        <v>2116</v>
      </c>
      <c r="C1077" s="233" t="s">
        <v>1037</v>
      </c>
      <c r="D1077" s="234">
        <v>1134681.6000000001</v>
      </c>
      <c r="E1077" s="234">
        <v>864021.6</v>
      </c>
    </row>
    <row r="1078" spans="2:5">
      <c r="B1078" s="232" t="s">
        <v>2117</v>
      </c>
      <c r="C1078" s="233" t="s">
        <v>1037</v>
      </c>
      <c r="D1078" s="234">
        <v>866111.2</v>
      </c>
      <c r="E1078" s="234">
        <v>1029009.6</v>
      </c>
    </row>
    <row r="1079" spans="2:5">
      <c r="B1079" s="232" t="s">
        <v>2118</v>
      </c>
      <c r="C1079" s="233" t="s">
        <v>1037</v>
      </c>
      <c r="D1079" s="234">
        <v>1350322.4</v>
      </c>
      <c r="E1079" s="234">
        <v>978500</v>
      </c>
    </row>
    <row r="1080" spans="2:5">
      <c r="B1080" s="232" t="s">
        <v>2119</v>
      </c>
      <c r="C1080" s="233" t="s">
        <v>1037</v>
      </c>
      <c r="D1080" s="234">
        <v>1110056</v>
      </c>
      <c r="E1080" s="234">
        <v>1250367.2</v>
      </c>
    </row>
    <row r="1081" spans="2:5">
      <c r="B1081" s="232" t="s">
        <v>2120</v>
      </c>
      <c r="C1081" s="233" t="s">
        <v>1247</v>
      </c>
      <c r="D1081" s="234">
        <v>704153.16</v>
      </c>
      <c r="E1081" s="234">
        <v>695390.12</v>
      </c>
    </row>
    <row r="1082" spans="2:5">
      <c r="B1082" s="232" t="s">
        <v>2121</v>
      </c>
      <c r="C1082" s="233" t="s">
        <v>1247</v>
      </c>
      <c r="D1082" s="234">
        <v>123106.41</v>
      </c>
      <c r="E1082" s="234">
        <v>181041.55</v>
      </c>
    </row>
    <row r="1083" spans="2:5">
      <c r="B1083" s="232" t="s">
        <v>2122</v>
      </c>
      <c r="C1083" s="233" t="s">
        <v>1247</v>
      </c>
      <c r="D1083" s="234">
        <v>525155.1</v>
      </c>
      <c r="E1083" s="234">
        <v>537130.62</v>
      </c>
    </row>
    <row r="1084" spans="2:5">
      <c r="B1084" s="232" t="s">
        <v>2123</v>
      </c>
      <c r="C1084" s="233" t="s">
        <v>1247</v>
      </c>
      <c r="D1084" s="234">
        <v>536168.1</v>
      </c>
      <c r="E1084" s="234">
        <v>568171.28</v>
      </c>
    </row>
    <row r="1085" spans="2:5">
      <c r="B1085" s="232" t="s">
        <v>2124</v>
      </c>
      <c r="C1085" s="233" t="s">
        <v>1247</v>
      </c>
      <c r="D1085" s="234">
        <v>608182.56000000006</v>
      </c>
      <c r="E1085" s="234">
        <v>530166.56000000006</v>
      </c>
    </row>
    <row r="1086" spans="2:5">
      <c r="B1086" s="232" t="s">
        <v>2125</v>
      </c>
      <c r="C1086" s="233" t="s">
        <v>1247</v>
      </c>
      <c r="D1086" s="234">
        <v>350613.27</v>
      </c>
      <c r="E1086" s="234">
        <v>369258.54</v>
      </c>
    </row>
    <row r="1087" spans="2:5">
      <c r="B1087" s="232" t="s">
        <v>2126</v>
      </c>
      <c r="C1087" s="233" t="s">
        <v>1247</v>
      </c>
      <c r="D1087" s="234">
        <v>727080.6</v>
      </c>
      <c r="E1087" s="234">
        <v>563657.80000000005</v>
      </c>
    </row>
    <row r="1088" spans="2:5">
      <c r="B1088" s="232" t="s">
        <v>2127</v>
      </c>
      <c r="C1088" s="233" t="s">
        <v>1247</v>
      </c>
      <c r="D1088" s="234">
        <v>555760.41</v>
      </c>
      <c r="E1088" s="234">
        <v>662101.34</v>
      </c>
    </row>
    <row r="1089" spans="2:5">
      <c r="B1089" s="232" t="s">
        <v>2128</v>
      </c>
      <c r="C1089" s="233" t="s">
        <v>1247</v>
      </c>
      <c r="D1089" s="234">
        <v>911186.1</v>
      </c>
      <c r="E1089" s="234">
        <v>734761.5</v>
      </c>
    </row>
    <row r="1090" spans="2:5">
      <c r="B1090" s="232" t="s">
        <v>2129</v>
      </c>
      <c r="C1090" s="233" t="s">
        <v>1247</v>
      </c>
      <c r="D1090" s="234">
        <v>1109755.08</v>
      </c>
      <c r="E1090" s="234">
        <v>1066244.58</v>
      </c>
    </row>
    <row r="1091" spans="2:5">
      <c r="B1091" s="232" t="s">
        <v>2130</v>
      </c>
      <c r="C1091" s="233" t="s">
        <v>1247</v>
      </c>
      <c r="D1091" s="234">
        <v>809334.29</v>
      </c>
      <c r="E1091" s="234">
        <v>796257.81</v>
      </c>
    </row>
    <row r="1092" spans="2:5">
      <c r="B1092" s="232" t="s">
        <v>2131</v>
      </c>
      <c r="C1092" s="233" t="s">
        <v>1247</v>
      </c>
      <c r="D1092" s="234">
        <v>1254935.67</v>
      </c>
      <c r="E1092" s="234">
        <v>1070993.82</v>
      </c>
    </row>
    <row r="1093" spans="2:5">
      <c r="B1093" s="232" t="s">
        <v>2132</v>
      </c>
      <c r="C1093" s="233" t="s">
        <v>1247</v>
      </c>
      <c r="D1093" s="234">
        <v>1188499.9099999999</v>
      </c>
      <c r="E1093" s="234">
        <v>1134475.0900000001</v>
      </c>
    </row>
    <row r="1094" spans="2:5">
      <c r="B1094" s="232" t="s">
        <v>2133</v>
      </c>
      <c r="C1094" s="233" t="s">
        <v>1247</v>
      </c>
      <c r="D1094" s="234">
        <v>1461613.5</v>
      </c>
      <c r="E1094" s="234">
        <v>1300265.6200000001</v>
      </c>
    </row>
    <row r="1095" spans="2:5">
      <c r="B1095" s="232" t="s">
        <v>2134</v>
      </c>
      <c r="C1095" s="233" t="s">
        <v>1247</v>
      </c>
      <c r="D1095" s="234">
        <v>941154.79</v>
      </c>
      <c r="E1095" s="234">
        <v>807511.9</v>
      </c>
    </row>
    <row r="1096" spans="2:5">
      <c r="B1096" s="232" t="s">
        <v>2135</v>
      </c>
      <c r="C1096" s="233" t="s">
        <v>1247</v>
      </c>
      <c r="D1096" s="234">
        <v>1539338.29</v>
      </c>
      <c r="E1096" s="234">
        <v>1536475.97</v>
      </c>
    </row>
    <row r="1097" spans="2:5">
      <c r="B1097" s="232" t="s">
        <v>2136</v>
      </c>
      <c r="C1097" s="233" t="s">
        <v>1247</v>
      </c>
      <c r="D1097" s="234">
        <v>1454879.79</v>
      </c>
      <c r="E1097" s="234">
        <v>1117533.69</v>
      </c>
    </row>
    <row r="1098" spans="2:5">
      <c r="B1098" s="232" t="s">
        <v>2137</v>
      </c>
      <c r="C1098" s="233" t="s">
        <v>1247</v>
      </c>
      <c r="D1098" s="234">
        <v>466153.39</v>
      </c>
      <c r="E1098" s="234">
        <v>281462.40000000002</v>
      </c>
    </row>
    <row r="1099" spans="2:5">
      <c r="B1099" s="232" t="s">
        <v>2138</v>
      </c>
      <c r="C1099" s="233" t="s">
        <v>1247</v>
      </c>
      <c r="D1099" s="234">
        <v>1764983.01</v>
      </c>
      <c r="E1099" s="234">
        <v>1753278.66</v>
      </c>
    </row>
    <row r="1100" spans="2:5">
      <c r="B1100" s="232" t="s">
        <v>2139</v>
      </c>
      <c r="C1100" s="233" t="s">
        <v>1247</v>
      </c>
      <c r="D1100" s="234">
        <v>1976923.19</v>
      </c>
      <c r="E1100" s="234">
        <v>1663300.76</v>
      </c>
    </row>
    <row r="1101" spans="2:5">
      <c r="B1101" s="232" t="s">
        <v>2140</v>
      </c>
      <c r="C1101" s="233" t="s">
        <v>1247</v>
      </c>
      <c r="D1101" s="234">
        <v>33920</v>
      </c>
      <c r="E1101" s="234">
        <v>51200</v>
      </c>
    </row>
    <row r="1102" spans="2:5">
      <c r="B1102" s="232" t="s">
        <v>2141</v>
      </c>
      <c r="C1102" s="233" t="s">
        <v>1247</v>
      </c>
      <c r="D1102" s="234">
        <v>848092.26</v>
      </c>
      <c r="E1102" s="234">
        <v>680384.82</v>
      </c>
    </row>
    <row r="1103" spans="2:5">
      <c r="B1103" s="232" t="s">
        <v>2142</v>
      </c>
      <c r="C1103" s="233" t="s">
        <v>1247</v>
      </c>
      <c r="D1103" s="234">
        <v>123081.08</v>
      </c>
      <c r="E1103" s="234">
        <v>106018.4</v>
      </c>
    </row>
    <row r="1104" spans="2:5">
      <c r="B1104" s="232" t="s">
        <v>2143</v>
      </c>
      <c r="C1104" s="233" t="s">
        <v>1247</v>
      </c>
      <c r="D1104" s="234">
        <v>27552</v>
      </c>
      <c r="E1104" s="234">
        <v>145830.72</v>
      </c>
    </row>
    <row r="1105" spans="2:5">
      <c r="B1105" s="232" t="s">
        <v>2144</v>
      </c>
      <c r="C1105" s="233" t="s">
        <v>1212</v>
      </c>
      <c r="D1105" s="234">
        <v>146287.42000000001</v>
      </c>
      <c r="E1105" s="234">
        <v>138235.13</v>
      </c>
    </row>
    <row r="1106" spans="2:5">
      <c r="B1106" s="232" t="s">
        <v>2145</v>
      </c>
      <c r="C1106" s="233" t="s">
        <v>1212</v>
      </c>
      <c r="D1106" s="234">
        <v>152468.39000000001</v>
      </c>
      <c r="E1106" s="234">
        <v>121067.58</v>
      </c>
    </row>
    <row r="1107" spans="2:5">
      <c r="B1107" s="232" t="s">
        <v>2146</v>
      </c>
      <c r="C1107" s="233" t="s">
        <v>1212</v>
      </c>
      <c r="D1107" s="234">
        <v>137194</v>
      </c>
      <c r="E1107" s="234">
        <v>133237.70000000001</v>
      </c>
    </row>
    <row r="1108" spans="2:5">
      <c r="B1108" s="232" t="s">
        <v>2147</v>
      </c>
      <c r="C1108" s="233" t="s">
        <v>1212</v>
      </c>
      <c r="D1108" s="234">
        <v>178951.61</v>
      </c>
      <c r="E1108" s="234">
        <v>134838.25</v>
      </c>
    </row>
    <row r="1109" spans="2:5">
      <c r="B1109" s="232" t="s">
        <v>2148</v>
      </c>
      <c r="C1109" s="233" t="s">
        <v>1212</v>
      </c>
      <c r="D1109" s="234">
        <v>171120.64000000001</v>
      </c>
      <c r="E1109" s="234">
        <v>132326.73000000001</v>
      </c>
    </row>
    <row r="1110" spans="2:5">
      <c r="B1110" s="232" t="s">
        <v>2149</v>
      </c>
      <c r="C1110" s="233" t="s">
        <v>1212</v>
      </c>
      <c r="D1110" s="234">
        <v>158935.31</v>
      </c>
      <c r="E1110" s="234">
        <v>117808.46</v>
      </c>
    </row>
    <row r="1111" spans="2:5">
      <c r="B1111" s="232" t="s">
        <v>2150</v>
      </c>
      <c r="C1111" s="233" t="s">
        <v>1212</v>
      </c>
      <c r="D1111" s="234">
        <v>135301.4</v>
      </c>
      <c r="E1111" s="234">
        <v>150182.94</v>
      </c>
    </row>
    <row r="1112" spans="2:5">
      <c r="B1112" s="232" t="s">
        <v>2151</v>
      </c>
      <c r="C1112" s="233" t="s">
        <v>1212</v>
      </c>
      <c r="D1112" s="234">
        <v>142201.74</v>
      </c>
      <c r="E1112" s="234">
        <v>142492.73000000001</v>
      </c>
    </row>
    <row r="1113" spans="2:5">
      <c r="B1113" s="232" t="s">
        <v>2152</v>
      </c>
      <c r="C1113" s="233" t="s">
        <v>1212</v>
      </c>
      <c r="D1113" s="234">
        <v>177212.23</v>
      </c>
      <c r="E1113" s="234">
        <v>159029.03</v>
      </c>
    </row>
    <row r="1114" spans="2:5">
      <c r="B1114" s="232" t="s">
        <v>2153</v>
      </c>
      <c r="C1114" s="233" t="s">
        <v>1212</v>
      </c>
      <c r="D1114" s="234">
        <v>201836.74</v>
      </c>
      <c r="E1114" s="234">
        <v>161125.82999999999</v>
      </c>
    </row>
    <row r="1115" spans="2:5">
      <c r="B1115" s="232" t="s">
        <v>2154</v>
      </c>
      <c r="C1115" s="233" t="s">
        <v>1212</v>
      </c>
      <c r="D1115" s="234">
        <v>133422.63</v>
      </c>
      <c r="E1115" s="234">
        <v>162297.71</v>
      </c>
    </row>
    <row r="1116" spans="2:5">
      <c r="B1116" s="232" t="s">
        <v>2155</v>
      </c>
      <c r="C1116" s="233" t="s">
        <v>1212</v>
      </c>
      <c r="D1116" s="234">
        <v>164044.54999999999</v>
      </c>
      <c r="E1116" s="234">
        <v>149529.97</v>
      </c>
    </row>
    <row r="1117" spans="2:5">
      <c r="B1117" s="232" t="s">
        <v>2156</v>
      </c>
      <c r="C1117" s="233" t="s">
        <v>1212</v>
      </c>
      <c r="D1117" s="234">
        <v>239073.34</v>
      </c>
      <c r="E1117" s="234">
        <v>250478.35</v>
      </c>
    </row>
    <row r="1118" spans="2:5">
      <c r="B1118" s="232" t="s">
        <v>2157</v>
      </c>
      <c r="C1118" s="233" t="s">
        <v>1212</v>
      </c>
      <c r="D1118" s="234">
        <v>212560.65</v>
      </c>
      <c r="E1118" s="234">
        <v>234152.69</v>
      </c>
    </row>
    <row r="1119" spans="2:5">
      <c r="B1119" s="232" t="s">
        <v>2158</v>
      </c>
      <c r="C1119" s="233" t="s">
        <v>1212</v>
      </c>
      <c r="D1119" s="234">
        <v>304748.19</v>
      </c>
      <c r="E1119" s="234">
        <v>257141.84</v>
      </c>
    </row>
    <row r="1120" spans="2:5">
      <c r="B1120" s="232" t="s">
        <v>2159</v>
      </c>
      <c r="C1120" s="233" t="s">
        <v>1212</v>
      </c>
      <c r="D1120" s="234">
        <v>226206.88</v>
      </c>
      <c r="E1120" s="234">
        <v>225536.32</v>
      </c>
    </row>
    <row r="1121" spans="2:5">
      <c r="B1121" s="232" t="s">
        <v>2160</v>
      </c>
      <c r="C1121" s="233" t="s">
        <v>1212</v>
      </c>
      <c r="D1121" s="234">
        <v>200625.09</v>
      </c>
      <c r="E1121" s="234">
        <v>254420.41</v>
      </c>
    </row>
    <row r="1122" spans="2:5">
      <c r="B1122" s="232" t="s">
        <v>2161</v>
      </c>
      <c r="C1122" s="233" t="s">
        <v>1212</v>
      </c>
      <c r="D1122" s="234">
        <v>254188.04</v>
      </c>
      <c r="E1122" s="234">
        <v>226267.08</v>
      </c>
    </row>
    <row r="1123" spans="2:5">
      <c r="B1123" s="232" t="s">
        <v>2162</v>
      </c>
      <c r="C1123" s="233" t="s">
        <v>1212</v>
      </c>
      <c r="D1123" s="234">
        <v>174482.95</v>
      </c>
      <c r="E1123" s="234">
        <v>243800.62</v>
      </c>
    </row>
    <row r="1124" spans="2:5">
      <c r="B1124" s="232" t="s">
        <v>2163</v>
      </c>
      <c r="C1124" s="233" t="s">
        <v>1212</v>
      </c>
      <c r="D1124" s="234">
        <v>145321.42000000001</v>
      </c>
      <c r="E1124" s="234">
        <v>223296.35</v>
      </c>
    </row>
    <row r="1125" spans="2:5">
      <c r="B1125" s="232" t="s">
        <v>2164</v>
      </c>
      <c r="C1125" s="233" t="s">
        <v>1212</v>
      </c>
      <c r="D1125" s="234">
        <v>168396.24</v>
      </c>
      <c r="E1125" s="234">
        <v>127227.84</v>
      </c>
    </row>
    <row r="1126" spans="2:5">
      <c r="B1126" s="232" t="s">
        <v>2165</v>
      </c>
      <c r="C1126" s="233" t="s">
        <v>1212</v>
      </c>
      <c r="D1126" s="234">
        <v>183393.24</v>
      </c>
      <c r="E1126" s="234">
        <v>129978.18</v>
      </c>
    </row>
    <row r="1127" spans="2:5">
      <c r="B1127" s="232" t="s">
        <v>2166</v>
      </c>
      <c r="C1127" s="233" t="s">
        <v>1212</v>
      </c>
      <c r="D1127" s="234">
        <v>134140.29</v>
      </c>
      <c r="E1127" s="234">
        <v>223549.42</v>
      </c>
    </row>
    <row r="1128" spans="2:5">
      <c r="B1128" s="232" t="s">
        <v>2167</v>
      </c>
      <c r="C1128" s="233" t="s">
        <v>1212</v>
      </c>
      <c r="D1128" s="234">
        <v>214659.1</v>
      </c>
      <c r="E1128" s="234">
        <v>165366.22</v>
      </c>
    </row>
    <row r="1129" spans="2:5">
      <c r="B1129" s="232" t="s">
        <v>2168</v>
      </c>
      <c r="C1129" s="233" t="s">
        <v>1212</v>
      </c>
      <c r="D1129" s="234">
        <v>309273</v>
      </c>
      <c r="E1129" s="234">
        <v>291819.40000000002</v>
      </c>
    </row>
    <row r="1130" spans="2:5">
      <c r="B1130" s="232" t="s">
        <v>2169</v>
      </c>
      <c r="C1130" s="233" t="s">
        <v>1212</v>
      </c>
      <c r="D1130" s="234">
        <v>322977.38</v>
      </c>
      <c r="E1130" s="234">
        <v>311227.68</v>
      </c>
    </row>
    <row r="1131" spans="2:5">
      <c r="B1131" s="232" t="s">
        <v>2170</v>
      </c>
      <c r="C1131" s="233" t="s">
        <v>1212</v>
      </c>
      <c r="D1131" s="234">
        <v>279598.12</v>
      </c>
      <c r="E1131" s="234">
        <v>277452.62</v>
      </c>
    </row>
    <row r="1132" spans="2:5">
      <c r="B1132" s="232" t="s">
        <v>2171</v>
      </c>
      <c r="C1132" s="233" t="s">
        <v>1212</v>
      </c>
      <c r="D1132" s="234">
        <v>253236.75</v>
      </c>
      <c r="E1132" s="234">
        <v>261995.06</v>
      </c>
    </row>
    <row r="1133" spans="2:5">
      <c r="B1133" s="232" t="s">
        <v>2172</v>
      </c>
      <c r="C1133" s="233" t="s">
        <v>1212</v>
      </c>
      <c r="D1133" s="234">
        <v>314562.88</v>
      </c>
      <c r="E1133" s="234">
        <v>291029.26</v>
      </c>
    </row>
    <row r="1134" spans="2:5">
      <c r="B1134" s="232" t="s">
        <v>2173</v>
      </c>
      <c r="C1134" s="233" t="s">
        <v>1212</v>
      </c>
      <c r="D1134" s="234">
        <v>299728.15000000002</v>
      </c>
      <c r="E1134" s="234">
        <v>292571.76</v>
      </c>
    </row>
    <row r="1135" spans="2:5">
      <c r="B1135" s="232" t="s">
        <v>2174</v>
      </c>
      <c r="C1135" s="233" t="s">
        <v>1212</v>
      </c>
      <c r="D1135" s="234">
        <v>175145.14</v>
      </c>
      <c r="E1135" s="234">
        <v>168015.51</v>
      </c>
    </row>
    <row r="1136" spans="2:5">
      <c r="B1136" s="232" t="s">
        <v>2175</v>
      </c>
      <c r="C1136" s="233" t="s">
        <v>1212</v>
      </c>
      <c r="D1136" s="234">
        <v>151366.35</v>
      </c>
      <c r="E1136" s="234">
        <v>133397.28</v>
      </c>
    </row>
    <row r="1137" spans="2:5">
      <c r="B1137" s="232" t="s">
        <v>2176</v>
      </c>
      <c r="C1137" s="233" t="s">
        <v>1212</v>
      </c>
      <c r="D1137" s="234">
        <v>167193.54</v>
      </c>
      <c r="E1137" s="234">
        <v>167329.54</v>
      </c>
    </row>
    <row r="1138" spans="2:5">
      <c r="B1138" s="232" t="s">
        <v>2177</v>
      </c>
      <c r="C1138" s="233" t="s">
        <v>1212</v>
      </c>
      <c r="D1138" s="234">
        <v>177729</v>
      </c>
      <c r="E1138" s="234">
        <v>141694.84</v>
      </c>
    </row>
    <row r="1139" spans="2:5">
      <c r="B1139" s="232" t="s">
        <v>2178</v>
      </c>
      <c r="C1139" s="233" t="s">
        <v>1212</v>
      </c>
      <c r="D1139" s="234">
        <v>153306.25</v>
      </c>
      <c r="E1139" s="234">
        <v>149042.45000000001</v>
      </c>
    </row>
    <row r="1140" spans="2:5">
      <c r="B1140" s="232" t="s">
        <v>2179</v>
      </c>
      <c r="C1140" s="233" t="s">
        <v>1212</v>
      </c>
      <c r="D1140" s="234">
        <v>155850.1</v>
      </c>
      <c r="E1140" s="234">
        <v>163735.72</v>
      </c>
    </row>
    <row r="1141" spans="2:5">
      <c r="B1141" s="232" t="s">
        <v>2180</v>
      </c>
      <c r="C1141" s="233" t="s">
        <v>1212</v>
      </c>
      <c r="D1141" s="234">
        <v>191076.14</v>
      </c>
      <c r="E1141" s="234">
        <v>180231.08</v>
      </c>
    </row>
    <row r="1142" spans="2:5">
      <c r="B1142" s="232" t="s">
        <v>2181</v>
      </c>
      <c r="C1142" s="233" t="s">
        <v>1212</v>
      </c>
      <c r="D1142" s="234">
        <v>224374.38</v>
      </c>
      <c r="E1142" s="234">
        <v>223678.93</v>
      </c>
    </row>
    <row r="1143" spans="2:5">
      <c r="B1143" s="232" t="s">
        <v>2182</v>
      </c>
      <c r="C1143" s="233" t="s">
        <v>1212</v>
      </c>
      <c r="D1143" s="234">
        <v>168648.99</v>
      </c>
      <c r="E1143" s="234">
        <v>206899.84</v>
      </c>
    </row>
    <row r="1144" spans="2:5">
      <c r="B1144" s="232" t="s">
        <v>2183</v>
      </c>
      <c r="C1144" s="233" t="s">
        <v>1212</v>
      </c>
      <c r="D1144" s="234">
        <v>194176.45</v>
      </c>
      <c r="E1144" s="234">
        <v>143666.23000000001</v>
      </c>
    </row>
    <row r="1145" spans="2:5">
      <c r="B1145" s="232" t="s">
        <v>2184</v>
      </c>
      <c r="C1145" s="233" t="s">
        <v>1212</v>
      </c>
      <c r="D1145" s="234">
        <v>195710.3</v>
      </c>
      <c r="E1145" s="234">
        <v>216600.97</v>
      </c>
    </row>
    <row r="1146" spans="2:5">
      <c r="B1146" s="232" t="s">
        <v>2185</v>
      </c>
      <c r="C1146" s="233" t="s">
        <v>1212</v>
      </c>
      <c r="D1146" s="234">
        <v>208337.51</v>
      </c>
      <c r="E1146" s="234">
        <v>177418.12</v>
      </c>
    </row>
    <row r="1147" spans="2:5">
      <c r="B1147" s="232" t="s">
        <v>2186</v>
      </c>
      <c r="C1147" s="233" t="s">
        <v>1212</v>
      </c>
      <c r="D1147" s="234">
        <v>184679.33</v>
      </c>
      <c r="E1147" s="234">
        <v>197115.51</v>
      </c>
    </row>
    <row r="1148" spans="2:5">
      <c r="B1148" s="232" t="s">
        <v>2187</v>
      </c>
      <c r="C1148" s="233" t="s">
        <v>1212</v>
      </c>
      <c r="D1148" s="234">
        <v>359896.67</v>
      </c>
      <c r="E1148" s="234">
        <v>317958.32</v>
      </c>
    </row>
    <row r="1149" spans="2:5">
      <c r="B1149" s="232" t="s">
        <v>2188</v>
      </c>
      <c r="C1149" s="233" t="s">
        <v>1212</v>
      </c>
      <c r="D1149" s="234">
        <v>295330.49</v>
      </c>
      <c r="E1149" s="234">
        <v>305174.53999999998</v>
      </c>
    </row>
    <row r="1150" spans="2:5">
      <c r="B1150" s="232" t="s">
        <v>2189</v>
      </c>
      <c r="C1150" s="233" t="s">
        <v>1212</v>
      </c>
      <c r="D1150" s="234">
        <v>247063.18</v>
      </c>
      <c r="E1150" s="234">
        <v>236580.84</v>
      </c>
    </row>
    <row r="1151" spans="2:5">
      <c r="B1151" s="232" t="s">
        <v>2190</v>
      </c>
      <c r="C1151" s="233" t="s">
        <v>1212</v>
      </c>
      <c r="D1151" s="234">
        <v>406339.01</v>
      </c>
      <c r="E1151" s="234">
        <v>148649.65</v>
      </c>
    </row>
    <row r="1152" spans="2:5">
      <c r="B1152" s="232" t="s">
        <v>2191</v>
      </c>
      <c r="C1152" s="233" t="s">
        <v>1212</v>
      </c>
      <c r="D1152" s="234">
        <v>233416.36</v>
      </c>
      <c r="E1152" s="234">
        <v>255783.48</v>
      </c>
    </row>
    <row r="1153" spans="2:5">
      <c r="B1153" s="232" t="s">
        <v>2192</v>
      </c>
      <c r="C1153" s="233" t="s">
        <v>1212</v>
      </c>
      <c r="D1153" s="234">
        <v>261671.93</v>
      </c>
      <c r="E1153" s="234">
        <v>262256.28000000003</v>
      </c>
    </row>
    <row r="1154" spans="2:5">
      <c r="B1154" s="232" t="s">
        <v>2193</v>
      </c>
      <c r="C1154" s="233" t="s">
        <v>1212</v>
      </c>
      <c r="D1154" s="234">
        <v>335749.53</v>
      </c>
      <c r="E1154" s="234">
        <v>264962.27</v>
      </c>
    </row>
    <row r="1155" spans="2:5">
      <c r="B1155" s="232" t="s">
        <v>2194</v>
      </c>
      <c r="C1155" s="233" t="s">
        <v>1212</v>
      </c>
      <c r="D1155" s="234">
        <v>430453.63</v>
      </c>
      <c r="E1155" s="234">
        <v>515114.2</v>
      </c>
    </row>
    <row r="1156" spans="2:5">
      <c r="B1156" s="232" t="s">
        <v>2195</v>
      </c>
      <c r="C1156" s="233" t="s">
        <v>1212</v>
      </c>
      <c r="D1156" s="234">
        <v>475277.31</v>
      </c>
      <c r="E1156" s="234">
        <v>447572.25</v>
      </c>
    </row>
    <row r="1157" spans="2:5">
      <c r="B1157" s="232" t="s">
        <v>2196</v>
      </c>
      <c r="C1157" s="233" t="s">
        <v>1212</v>
      </c>
      <c r="D1157" s="234">
        <v>562051.75</v>
      </c>
      <c r="E1157" s="234">
        <v>460980.94</v>
      </c>
    </row>
    <row r="1158" spans="2:5">
      <c r="B1158" s="232" t="s">
        <v>2197</v>
      </c>
      <c r="C1158" s="233" t="s">
        <v>1212</v>
      </c>
      <c r="D1158" s="234">
        <v>443439.59</v>
      </c>
      <c r="E1158" s="234">
        <v>474165.72</v>
      </c>
    </row>
    <row r="1159" spans="2:5">
      <c r="B1159" s="232" t="s">
        <v>2198</v>
      </c>
      <c r="C1159" s="233" t="s">
        <v>1212</v>
      </c>
      <c r="D1159" s="234">
        <v>425380.22</v>
      </c>
      <c r="E1159" s="234">
        <v>442591.24</v>
      </c>
    </row>
    <row r="1160" spans="2:5">
      <c r="B1160" s="232" t="s">
        <v>2199</v>
      </c>
      <c r="C1160" s="233" t="s">
        <v>1212</v>
      </c>
      <c r="D1160" s="234">
        <v>522514.32</v>
      </c>
      <c r="E1160" s="234">
        <v>431940.41</v>
      </c>
    </row>
    <row r="1161" spans="2:5">
      <c r="B1161" s="232" t="s">
        <v>2200</v>
      </c>
      <c r="C1161" s="233" t="s">
        <v>1212</v>
      </c>
      <c r="D1161" s="234">
        <v>477710.32</v>
      </c>
      <c r="E1161" s="234">
        <v>459440.99</v>
      </c>
    </row>
    <row r="1162" spans="2:5">
      <c r="B1162" s="232" t="s">
        <v>2201</v>
      </c>
      <c r="C1162" s="233" t="s">
        <v>1212</v>
      </c>
      <c r="D1162" s="234">
        <v>549548.48</v>
      </c>
      <c r="E1162" s="234">
        <v>459161.52</v>
      </c>
    </row>
    <row r="1163" spans="2:5">
      <c r="B1163" s="232" t="s">
        <v>2202</v>
      </c>
      <c r="C1163" s="233" t="s">
        <v>1212</v>
      </c>
      <c r="D1163" s="234">
        <v>459083.54</v>
      </c>
      <c r="E1163" s="234">
        <v>528249.18000000005</v>
      </c>
    </row>
    <row r="1164" spans="2:5">
      <c r="B1164" s="232" t="s">
        <v>2203</v>
      </c>
      <c r="C1164" s="233" t="s">
        <v>1212</v>
      </c>
      <c r="D1164" s="234">
        <v>574711.66</v>
      </c>
      <c r="E1164" s="234">
        <v>516552.56</v>
      </c>
    </row>
    <row r="1165" spans="2:5">
      <c r="B1165" s="232" t="s">
        <v>2204</v>
      </c>
      <c r="C1165" s="233" t="s">
        <v>1212</v>
      </c>
      <c r="D1165" s="234">
        <v>532383.06000000006</v>
      </c>
      <c r="E1165" s="234">
        <v>429249.51</v>
      </c>
    </row>
    <row r="1166" spans="2:5">
      <c r="B1166" s="232" t="s">
        <v>2205</v>
      </c>
      <c r="C1166" s="233" t="s">
        <v>1212</v>
      </c>
      <c r="D1166" s="234">
        <v>541268.82999999996</v>
      </c>
      <c r="E1166" s="234">
        <v>550724.41</v>
      </c>
    </row>
    <row r="1167" spans="2:5">
      <c r="B1167" s="232" t="s">
        <v>2206</v>
      </c>
      <c r="C1167" s="233" t="s">
        <v>1212</v>
      </c>
      <c r="D1167" s="234">
        <v>488575.54</v>
      </c>
      <c r="E1167" s="234">
        <v>562337.06000000006</v>
      </c>
    </row>
    <row r="1168" spans="2:5">
      <c r="B1168" s="232" t="s">
        <v>2207</v>
      </c>
      <c r="C1168" s="233" t="s">
        <v>1212</v>
      </c>
      <c r="D1168" s="234">
        <v>477694.9</v>
      </c>
      <c r="E1168" s="234">
        <v>476884.92</v>
      </c>
    </row>
    <row r="1169" spans="2:5">
      <c r="B1169" s="232" t="s">
        <v>2208</v>
      </c>
      <c r="C1169" s="233" t="s">
        <v>1212</v>
      </c>
      <c r="D1169" s="234">
        <v>355413.56</v>
      </c>
      <c r="E1169" s="234">
        <v>390692.64</v>
      </c>
    </row>
    <row r="1170" spans="2:5">
      <c r="B1170" s="232" t="s">
        <v>2209</v>
      </c>
      <c r="C1170" s="233" t="s">
        <v>1212</v>
      </c>
      <c r="D1170" s="234">
        <v>291767.26</v>
      </c>
      <c r="E1170" s="234">
        <v>390214.43</v>
      </c>
    </row>
    <row r="1171" spans="2:5">
      <c r="B1171" s="232" t="s">
        <v>2210</v>
      </c>
      <c r="C1171" s="233" t="s">
        <v>1212</v>
      </c>
      <c r="D1171" s="234">
        <v>387295.87</v>
      </c>
      <c r="E1171" s="234">
        <v>357567.97</v>
      </c>
    </row>
    <row r="1172" spans="2:5">
      <c r="B1172" s="232" t="s">
        <v>2211</v>
      </c>
      <c r="C1172" s="233" t="s">
        <v>1212</v>
      </c>
      <c r="D1172" s="234">
        <v>393571.76</v>
      </c>
      <c r="E1172" s="234">
        <v>418931.68</v>
      </c>
    </row>
    <row r="1173" spans="2:5">
      <c r="B1173" s="232" t="s">
        <v>2212</v>
      </c>
      <c r="C1173" s="233" t="s">
        <v>1212</v>
      </c>
      <c r="D1173" s="234">
        <v>377347.13</v>
      </c>
      <c r="E1173" s="234">
        <v>301528.65999999997</v>
      </c>
    </row>
    <row r="1174" spans="2:5">
      <c r="B1174" s="232" t="s">
        <v>2213</v>
      </c>
      <c r="C1174" s="233" t="s">
        <v>1212</v>
      </c>
      <c r="D1174" s="234">
        <v>396657.94</v>
      </c>
      <c r="E1174" s="234">
        <v>367077.94</v>
      </c>
    </row>
    <row r="1175" spans="2:5">
      <c r="B1175" s="232" t="s">
        <v>2214</v>
      </c>
      <c r="C1175" s="233" t="s">
        <v>1212</v>
      </c>
      <c r="D1175" s="234">
        <v>415613.79</v>
      </c>
      <c r="E1175" s="234">
        <v>384406.89</v>
      </c>
    </row>
    <row r="1176" spans="2:5">
      <c r="B1176" s="232" t="s">
        <v>2215</v>
      </c>
      <c r="C1176" s="233" t="s">
        <v>1037</v>
      </c>
      <c r="D1176" s="234">
        <v>478722.56</v>
      </c>
      <c r="E1176" s="234">
        <v>481615.52</v>
      </c>
    </row>
    <row r="1177" spans="2:5">
      <c r="B1177" s="232" t="s">
        <v>2216</v>
      </c>
      <c r="C1177" s="233" t="s">
        <v>1037</v>
      </c>
      <c r="D1177" s="234">
        <v>446326</v>
      </c>
      <c r="E1177" s="234">
        <v>510302.4</v>
      </c>
    </row>
    <row r="1178" spans="2:5">
      <c r="B1178" s="232" t="s">
        <v>2217</v>
      </c>
      <c r="C1178" s="233" t="s">
        <v>1037</v>
      </c>
      <c r="D1178" s="234">
        <v>529283.76</v>
      </c>
      <c r="E1178" s="234">
        <v>554746.4</v>
      </c>
    </row>
    <row r="1179" spans="2:5">
      <c r="B1179" s="232" t="s">
        <v>2218</v>
      </c>
      <c r="C1179" s="233" t="s">
        <v>1037</v>
      </c>
      <c r="D1179" s="234">
        <v>567482.64</v>
      </c>
      <c r="E1179" s="234">
        <v>464703.84</v>
      </c>
    </row>
    <row r="1180" spans="2:5">
      <c r="B1180" s="232" t="s">
        <v>2219</v>
      </c>
      <c r="C1180" s="233" t="s">
        <v>1037</v>
      </c>
      <c r="D1180" s="234">
        <v>261045.36</v>
      </c>
      <c r="E1180" s="234">
        <v>347250.32</v>
      </c>
    </row>
    <row r="1181" spans="2:5">
      <c r="B1181" s="232" t="s">
        <v>2220</v>
      </c>
      <c r="C1181" s="233" t="s">
        <v>1037</v>
      </c>
      <c r="D1181" s="234">
        <v>454519.44</v>
      </c>
      <c r="E1181" s="234">
        <v>437033.76</v>
      </c>
    </row>
    <row r="1182" spans="2:5">
      <c r="B1182" s="232" t="s">
        <v>2221</v>
      </c>
      <c r="C1182" s="233" t="s">
        <v>1037</v>
      </c>
      <c r="D1182" s="234">
        <v>132512</v>
      </c>
      <c r="E1182" s="234">
        <v>253872</v>
      </c>
    </row>
    <row r="1183" spans="2:5">
      <c r="B1183" s="232" t="s">
        <v>2222</v>
      </c>
      <c r="C1183" s="233" t="s">
        <v>1037</v>
      </c>
      <c r="D1183" s="234">
        <v>306220.79999999999</v>
      </c>
      <c r="E1183" s="234">
        <v>335147.12</v>
      </c>
    </row>
    <row r="1184" spans="2:5">
      <c r="B1184" s="232" t="s">
        <v>2223</v>
      </c>
      <c r="C1184" s="233" t="s">
        <v>1037</v>
      </c>
      <c r="D1184" s="234">
        <v>445689.68</v>
      </c>
      <c r="E1184" s="234">
        <v>542659.6</v>
      </c>
    </row>
    <row r="1185" spans="2:5">
      <c r="B1185" s="232" t="s">
        <v>2224</v>
      </c>
      <c r="C1185" s="233" t="s">
        <v>1037</v>
      </c>
      <c r="D1185" s="234">
        <v>762080.65</v>
      </c>
      <c r="E1185" s="234">
        <v>738922.8</v>
      </c>
    </row>
    <row r="1186" spans="2:5">
      <c r="B1186" s="232" t="s">
        <v>2225</v>
      </c>
      <c r="C1186" s="233" t="s">
        <v>1037</v>
      </c>
      <c r="D1186" s="234">
        <v>633890.22</v>
      </c>
      <c r="E1186" s="234">
        <v>769264.85</v>
      </c>
    </row>
    <row r="1187" spans="2:5">
      <c r="B1187" s="232" t="s">
        <v>2226</v>
      </c>
      <c r="C1187" s="233" t="s">
        <v>1037</v>
      </c>
      <c r="D1187" s="234">
        <v>805260.09</v>
      </c>
      <c r="E1187" s="234">
        <v>859183.12</v>
      </c>
    </row>
    <row r="1188" spans="2:5">
      <c r="B1188" s="232" t="s">
        <v>2227</v>
      </c>
      <c r="C1188" s="233" t="s">
        <v>1037</v>
      </c>
      <c r="D1188" s="234">
        <v>785413</v>
      </c>
      <c r="E1188" s="234">
        <v>719285.05</v>
      </c>
    </row>
    <row r="1189" spans="2:5">
      <c r="B1189" s="232" t="s">
        <v>2228</v>
      </c>
      <c r="C1189" s="233" t="s">
        <v>1037</v>
      </c>
      <c r="D1189" s="234">
        <v>837224.86</v>
      </c>
      <c r="E1189" s="234">
        <v>789360.64000000001</v>
      </c>
    </row>
    <row r="1190" spans="2:5">
      <c r="B1190" s="232" t="s">
        <v>2229</v>
      </c>
      <c r="C1190" s="233" t="s">
        <v>1037</v>
      </c>
      <c r="D1190" s="234">
        <v>869263.71</v>
      </c>
      <c r="E1190" s="234">
        <v>598946.22</v>
      </c>
    </row>
    <row r="1191" spans="2:5">
      <c r="B1191" s="232" t="s">
        <v>2230</v>
      </c>
      <c r="C1191" s="233" t="s">
        <v>1037</v>
      </c>
      <c r="D1191" s="234">
        <v>770233.26</v>
      </c>
      <c r="E1191" s="234">
        <v>732170.42</v>
      </c>
    </row>
    <row r="1192" spans="2:5">
      <c r="B1192" s="232" t="s">
        <v>2231</v>
      </c>
      <c r="C1192" s="233" t="s">
        <v>1037</v>
      </c>
      <c r="D1192" s="234">
        <v>715097.56</v>
      </c>
      <c r="E1192" s="234">
        <v>678888.59</v>
      </c>
    </row>
    <row r="1193" spans="2:5">
      <c r="B1193" s="232" t="s">
        <v>2232</v>
      </c>
      <c r="C1193" s="233" t="s">
        <v>1037</v>
      </c>
      <c r="D1193" s="234">
        <v>717514.09</v>
      </c>
      <c r="E1193" s="234">
        <v>804139.04</v>
      </c>
    </row>
    <row r="1194" spans="2:5">
      <c r="B1194" s="232" t="s">
        <v>2233</v>
      </c>
      <c r="C1194" s="233" t="s">
        <v>1037</v>
      </c>
      <c r="D1194" s="234">
        <v>443018.9</v>
      </c>
      <c r="E1194" s="234">
        <v>428664.84</v>
      </c>
    </row>
    <row r="1195" spans="2:5">
      <c r="B1195" s="232" t="s">
        <v>2234</v>
      </c>
      <c r="C1195" s="233" t="s">
        <v>1037</v>
      </c>
      <c r="D1195" s="234">
        <v>592068.43999999994</v>
      </c>
      <c r="E1195" s="234">
        <v>449206.62</v>
      </c>
    </row>
    <row r="1196" spans="2:5">
      <c r="B1196" s="232" t="s">
        <v>2235</v>
      </c>
      <c r="C1196" s="233" t="s">
        <v>1037</v>
      </c>
      <c r="D1196" s="234">
        <v>564306.36</v>
      </c>
      <c r="E1196" s="234">
        <v>463772.36</v>
      </c>
    </row>
    <row r="1197" spans="2:5">
      <c r="B1197" s="232" t="s">
        <v>2236</v>
      </c>
      <c r="C1197" s="233" t="s">
        <v>1037</v>
      </c>
      <c r="D1197" s="234">
        <v>556349</v>
      </c>
      <c r="E1197" s="234">
        <v>536412.4</v>
      </c>
    </row>
    <row r="1198" spans="2:5">
      <c r="B1198" s="232" t="s">
        <v>2237</v>
      </c>
      <c r="C1198" s="233" t="s">
        <v>1037</v>
      </c>
      <c r="D1198" s="234">
        <v>225852</v>
      </c>
      <c r="E1198" s="234">
        <v>162690</v>
      </c>
    </row>
    <row r="1199" spans="2:5">
      <c r="B1199" s="232" t="s">
        <v>2238</v>
      </c>
      <c r="C1199" s="233" t="s">
        <v>1037</v>
      </c>
      <c r="D1199" s="234">
        <v>294118</v>
      </c>
      <c r="E1199" s="234">
        <v>303187.17</v>
      </c>
    </row>
    <row r="1200" spans="2:5">
      <c r="B1200" s="232" t="s">
        <v>2239</v>
      </c>
      <c r="C1200" s="233" t="s">
        <v>1037</v>
      </c>
      <c r="D1200" s="234">
        <v>718799.35999999999</v>
      </c>
      <c r="E1200" s="234">
        <v>712035.19</v>
      </c>
    </row>
    <row r="1201" spans="2:5">
      <c r="B1201" s="232" t="s">
        <v>2240</v>
      </c>
      <c r="C1201" s="233" t="s">
        <v>1037</v>
      </c>
      <c r="D1201" s="234">
        <v>649386.09</v>
      </c>
      <c r="E1201" s="234">
        <v>630543.5</v>
      </c>
    </row>
    <row r="1202" spans="2:5">
      <c r="B1202" s="232" t="s">
        <v>2241</v>
      </c>
      <c r="C1202" s="233" t="s">
        <v>1037</v>
      </c>
      <c r="D1202" s="234">
        <v>1272152.5</v>
      </c>
      <c r="E1202" s="234">
        <v>1057606.8899999999</v>
      </c>
    </row>
    <row r="1203" spans="2:5">
      <c r="B1203" s="232" t="s">
        <v>2242</v>
      </c>
      <c r="C1203" s="233" t="s">
        <v>1037</v>
      </c>
      <c r="D1203" s="234">
        <v>1151337.8999999999</v>
      </c>
      <c r="E1203" s="234">
        <v>906257.25</v>
      </c>
    </row>
    <row r="1204" spans="2:5">
      <c r="B1204" s="232" t="s">
        <v>2243</v>
      </c>
      <c r="C1204" s="233" t="s">
        <v>1037</v>
      </c>
      <c r="D1204" s="234">
        <v>951362.1</v>
      </c>
      <c r="E1204" s="234">
        <v>1104794.7</v>
      </c>
    </row>
    <row r="1205" spans="2:5">
      <c r="B1205" s="232" t="s">
        <v>2244</v>
      </c>
      <c r="C1205" s="233" t="s">
        <v>1037</v>
      </c>
      <c r="D1205" s="234">
        <v>469577.61</v>
      </c>
      <c r="E1205" s="234">
        <v>496875.96</v>
      </c>
    </row>
    <row r="1206" spans="2:5">
      <c r="B1206" s="232" t="s">
        <v>2245</v>
      </c>
      <c r="C1206" s="233" t="s">
        <v>1037</v>
      </c>
      <c r="D1206" s="234">
        <v>1231572.78</v>
      </c>
      <c r="E1206" s="234">
        <v>1075075.3799999999</v>
      </c>
    </row>
    <row r="1207" spans="2:5">
      <c r="B1207" s="232" t="s">
        <v>2246</v>
      </c>
      <c r="C1207" s="233" t="s">
        <v>1037</v>
      </c>
      <c r="D1207" s="234">
        <v>1149761.25</v>
      </c>
      <c r="E1207" s="234">
        <v>1118593.08</v>
      </c>
    </row>
    <row r="1208" spans="2:5">
      <c r="B1208" s="232" t="s">
        <v>2247</v>
      </c>
      <c r="C1208" s="233" t="s">
        <v>1037</v>
      </c>
      <c r="D1208" s="234">
        <v>207148.26</v>
      </c>
      <c r="E1208" s="234">
        <v>198326.37</v>
      </c>
    </row>
    <row r="1209" spans="2:5">
      <c r="B1209" s="232" t="s">
        <v>2248</v>
      </c>
      <c r="C1209" s="233" t="s">
        <v>1037</v>
      </c>
      <c r="D1209" s="234">
        <v>896031.5</v>
      </c>
      <c r="E1209" s="234">
        <v>920488.9</v>
      </c>
    </row>
    <row r="1210" spans="2:5">
      <c r="B1210" s="232" t="s">
        <v>2249</v>
      </c>
      <c r="C1210" s="233" t="s">
        <v>1037</v>
      </c>
      <c r="D1210" s="234">
        <v>393668.81</v>
      </c>
      <c r="E1210" s="234">
        <v>425338.51</v>
      </c>
    </row>
    <row r="1211" spans="2:5">
      <c r="B1211" s="232" t="s">
        <v>2250</v>
      </c>
      <c r="C1211" s="233" t="s">
        <v>1037</v>
      </c>
      <c r="D1211" s="234">
        <v>241597.8</v>
      </c>
      <c r="E1211" s="234">
        <v>169522.2</v>
      </c>
    </row>
    <row r="1212" spans="2:5">
      <c r="B1212" s="232" t="s">
        <v>2251</v>
      </c>
      <c r="C1212" s="233" t="s">
        <v>1037</v>
      </c>
      <c r="D1212" s="234">
        <v>253956.6</v>
      </c>
      <c r="E1212" s="234">
        <v>238678.2</v>
      </c>
    </row>
    <row r="1213" spans="2:5">
      <c r="B1213" s="232" t="s">
        <v>2252</v>
      </c>
      <c r="C1213" s="233" t="s">
        <v>1037</v>
      </c>
      <c r="D1213" s="234">
        <v>187705.8</v>
      </c>
      <c r="E1213" s="234">
        <v>191118.6</v>
      </c>
    </row>
    <row r="1214" spans="2:5">
      <c r="B1214" s="232" t="s">
        <v>2253</v>
      </c>
      <c r="C1214" s="233" t="s">
        <v>1037</v>
      </c>
      <c r="D1214" s="234">
        <v>190221.5</v>
      </c>
      <c r="E1214" s="234">
        <v>166776.79999999999</v>
      </c>
    </row>
    <row r="1215" spans="2:5">
      <c r="B1215" s="232" t="s">
        <v>2254</v>
      </c>
      <c r="C1215" s="233" t="s">
        <v>1037</v>
      </c>
      <c r="D1215" s="234">
        <v>198060.2</v>
      </c>
      <c r="E1215" s="234">
        <v>192445.1</v>
      </c>
    </row>
    <row r="1216" spans="2:5">
      <c r="B1216" s="232" t="s">
        <v>2255</v>
      </c>
      <c r="C1216" s="233" t="s">
        <v>1037</v>
      </c>
      <c r="D1216" s="234">
        <v>199044.5</v>
      </c>
      <c r="E1216" s="234">
        <v>234664.6</v>
      </c>
    </row>
    <row r="1217" spans="2:5">
      <c r="B1217" s="232" t="s">
        <v>2256</v>
      </c>
      <c r="C1217" s="233" t="s">
        <v>1037</v>
      </c>
      <c r="D1217" s="234">
        <v>190301.1</v>
      </c>
      <c r="E1217" s="234">
        <v>212336.85</v>
      </c>
    </row>
    <row r="1218" spans="2:5">
      <c r="B1218" s="232" t="s">
        <v>2257</v>
      </c>
      <c r="C1218" s="233" t="s">
        <v>1037</v>
      </c>
      <c r="D1218" s="234">
        <v>196977</v>
      </c>
      <c r="E1218" s="234">
        <v>183882.6</v>
      </c>
    </row>
    <row r="1219" spans="2:5">
      <c r="B1219" s="232" t="s">
        <v>2258</v>
      </c>
      <c r="C1219" s="233" t="s">
        <v>1037</v>
      </c>
      <c r="D1219" s="234">
        <v>183945.3</v>
      </c>
      <c r="E1219" s="234">
        <v>181671.6</v>
      </c>
    </row>
    <row r="1220" spans="2:5">
      <c r="B1220" s="232" t="s">
        <v>2259</v>
      </c>
      <c r="C1220" s="233" t="s">
        <v>1037</v>
      </c>
      <c r="D1220" s="234">
        <v>177043.20000000001</v>
      </c>
      <c r="E1220" s="234">
        <v>121876.8</v>
      </c>
    </row>
    <row r="1221" spans="2:5">
      <c r="B1221" s="232" t="s">
        <v>2260</v>
      </c>
      <c r="C1221" s="233" t="s">
        <v>1037</v>
      </c>
      <c r="D1221" s="234">
        <v>155649.60000000001</v>
      </c>
      <c r="E1221" s="234">
        <v>169156.8</v>
      </c>
    </row>
    <row r="1222" spans="2:5">
      <c r="B1222" s="232" t="s">
        <v>2261</v>
      </c>
      <c r="C1222" s="233" t="s">
        <v>1037</v>
      </c>
      <c r="D1222" s="234">
        <v>168694.39999999999</v>
      </c>
      <c r="E1222" s="234">
        <v>141830.39999999999</v>
      </c>
    </row>
    <row r="1223" spans="2:5">
      <c r="B1223" s="232" t="s">
        <v>2262</v>
      </c>
      <c r="C1223" s="233" t="s">
        <v>1037</v>
      </c>
      <c r="D1223" s="234">
        <v>1753540</v>
      </c>
      <c r="E1223" s="234">
        <v>1700740</v>
      </c>
    </row>
    <row r="1224" spans="2:5">
      <c r="B1224" s="232" t="s">
        <v>2263</v>
      </c>
      <c r="C1224" s="233" t="s">
        <v>1037</v>
      </c>
      <c r="D1224" s="234">
        <v>1733590</v>
      </c>
      <c r="E1224" s="234">
        <v>1395860</v>
      </c>
    </row>
    <row r="1225" spans="2:5">
      <c r="B1225" s="232" t="s">
        <v>2264</v>
      </c>
      <c r="C1225" s="233" t="s">
        <v>1037</v>
      </c>
      <c r="D1225" s="234">
        <v>1748270</v>
      </c>
      <c r="E1225" s="234">
        <v>1707850</v>
      </c>
    </row>
    <row r="1226" spans="2:5">
      <c r="B1226" s="232" t="s">
        <v>2265</v>
      </c>
      <c r="C1226" s="233" t="s">
        <v>1037</v>
      </c>
      <c r="D1226" s="234">
        <v>1723055.22</v>
      </c>
      <c r="E1226" s="234">
        <v>1697261.04</v>
      </c>
    </row>
    <row r="1227" spans="2:5">
      <c r="B1227" s="232" t="s">
        <v>2266</v>
      </c>
      <c r="C1227" s="233" t="s">
        <v>1037</v>
      </c>
      <c r="D1227" s="234">
        <v>1558020.42</v>
      </c>
      <c r="E1227" s="234">
        <v>1668070.26</v>
      </c>
    </row>
    <row r="1228" spans="2:5">
      <c r="B1228" s="232" t="s">
        <v>2267</v>
      </c>
      <c r="C1228" s="233" t="s">
        <v>1037</v>
      </c>
      <c r="D1228" s="234">
        <v>1714264.02</v>
      </c>
      <c r="E1228" s="234">
        <v>1605662.73</v>
      </c>
    </row>
    <row r="1229" spans="2:5">
      <c r="B1229" s="232" t="s">
        <v>2268</v>
      </c>
      <c r="C1229" s="233" t="s">
        <v>1037</v>
      </c>
      <c r="D1229" s="234">
        <v>1723286.52</v>
      </c>
      <c r="E1229" s="234">
        <v>1960740.66</v>
      </c>
    </row>
    <row r="1230" spans="2:5">
      <c r="B1230" s="232" t="s">
        <v>2269</v>
      </c>
      <c r="C1230" s="233" t="s">
        <v>1037</v>
      </c>
      <c r="D1230" s="234">
        <v>1553287.2</v>
      </c>
      <c r="E1230" s="234">
        <v>1731430.2</v>
      </c>
    </row>
    <row r="1231" spans="2:5">
      <c r="B1231" s="232" t="s">
        <v>2270</v>
      </c>
      <c r="C1231" s="233" t="s">
        <v>1037</v>
      </c>
      <c r="D1231" s="234">
        <v>1777857.16</v>
      </c>
      <c r="E1231" s="234">
        <v>1521610.68</v>
      </c>
    </row>
    <row r="1232" spans="2:5">
      <c r="B1232" s="232" t="s">
        <v>2271</v>
      </c>
      <c r="C1232" s="233" t="s">
        <v>1037</v>
      </c>
      <c r="D1232" s="234">
        <v>1604201.2</v>
      </c>
      <c r="E1232" s="234">
        <v>1712883.2</v>
      </c>
    </row>
    <row r="1233" spans="2:5">
      <c r="B1233" s="232" t="s">
        <v>2272</v>
      </c>
      <c r="C1233" s="233" t="s">
        <v>1037</v>
      </c>
      <c r="D1233" s="234">
        <v>1526898.8</v>
      </c>
      <c r="E1233" s="234">
        <v>1682228.8</v>
      </c>
    </row>
    <row r="1234" spans="2:5">
      <c r="B1234" s="232" t="s">
        <v>2273</v>
      </c>
      <c r="C1234" s="233" t="s">
        <v>1037</v>
      </c>
      <c r="D1234" s="234">
        <v>1802063.2</v>
      </c>
      <c r="E1234" s="234">
        <v>1889939.8</v>
      </c>
    </row>
    <row r="1235" spans="2:5">
      <c r="B1235" s="232" t="s">
        <v>2274</v>
      </c>
      <c r="C1235" s="233" t="s">
        <v>1354</v>
      </c>
      <c r="D1235" s="234">
        <v>136263.6</v>
      </c>
      <c r="E1235" s="234">
        <v>170229.6</v>
      </c>
    </row>
    <row r="1236" spans="2:5">
      <c r="B1236" s="232" t="s">
        <v>2275</v>
      </c>
      <c r="C1236" s="233" t="s">
        <v>1354</v>
      </c>
      <c r="D1236" s="234">
        <v>173026.8</v>
      </c>
      <c r="E1236" s="234">
        <v>83916</v>
      </c>
    </row>
    <row r="1237" spans="2:5">
      <c r="B1237" s="232" t="s">
        <v>2276</v>
      </c>
      <c r="C1237" s="233" t="s">
        <v>1354</v>
      </c>
      <c r="D1237" s="234">
        <v>140659.20000000001</v>
      </c>
      <c r="E1237" s="234">
        <v>121078.8</v>
      </c>
    </row>
    <row r="1238" spans="2:5">
      <c r="B1238" s="232" t="s">
        <v>2277</v>
      </c>
      <c r="C1238" s="233" t="s">
        <v>1212</v>
      </c>
      <c r="D1238" s="234">
        <v>15232.62</v>
      </c>
      <c r="E1238" s="234">
        <v>15067.56</v>
      </c>
    </row>
    <row r="1239" spans="2:5">
      <c r="B1239" s="232" t="s">
        <v>2278</v>
      </c>
      <c r="C1239" s="233" t="s">
        <v>1212</v>
      </c>
      <c r="D1239" s="234">
        <v>14102.48</v>
      </c>
      <c r="E1239" s="234">
        <v>15514.62</v>
      </c>
    </row>
    <row r="1240" spans="2:5">
      <c r="B1240" s="232" t="s">
        <v>2279</v>
      </c>
      <c r="C1240" s="233" t="s">
        <v>1212</v>
      </c>
      <c r="D1240" s="234">
        <v>15434.1</v>
      </c>
      <c r="E1240" s="234">
        <v>13684.13</v>
      </c>
    </row>
    <row r="1241" spans="2:5">
      <c r="B1241" s="232" t="s">
        <v>2280</v>
      </c>
      <c r="C1241" s="233" t="s">
        <v>1212</v>
      </c>
      <c r="D1241" s="234">
        <v>14127.71</v>
      </c>
      <c r="E1241" s="234">
        <v>14619.09</v>
      </c>
    </row>
    <row r="1242" spans="2:5">
      <c r="B1242" s="232" t="s">
        <v>2281</v>
      </c>
      <c r="C1242" s="233" t="s">
        <v>1212</v>
      </c>
      <c r="D1242" s="234">
        <v>64973.11</v>
      </c>
      <c r="E1242" s="234">
        <v>74841.240000000005</v>
      </c>
    </row>
    <row r="1243" spans="2:5">
      <c r="B1243" s="232" t="s">
        <v>2282</v>
      </c>
      <c r="C1243" s="233" t="s">
        <v>1212</v>
      </c>
      <c r="D1243" s="234">
        <v>80100.58</v>
      </c>
      <c r="E1243" s="234">
        <v>75508.45</v>
      </c>
    </row>
    <row r="1244" spans="2:5">
      <c r="B1244" s="232" t="s">
        <v>2283</v>
      </c>
      <c r="C1244" s="233" t="s">
        <v>1212</v>
      </c>
      <c r="D1244" s="234">
        <v>70972.55</v>
      </c>
      <c r="E1244" s="234">
        <v>66307.11</v>
      </c>
    </row>
    <row r="1245" spans="2:5">
      <c r="B1245" s="232" t="s">
        <v>2284</v>
      </c>
      <c r="C1245" s="233" t="s">
        <v>1212</v>
      </c>
      <c r="D1245" s="234">
        <v>68450.44</v>
      </c>
      <c r="E1245" s="234">
        <v>68070.720000000001</v>
      </c>
    </row>
    <row r="1246" spans="2:5">
      <c r="B1246" s="232" t="s">
        <v>2285</v>
      </c>
      <c r="C1246" s="233" t="s">
        <v>1212</v>
      </c>
      <c r="D1246" s="234">
        <v>26006.46</v>
      </c>
      <c r="E1246" s="234">
        <v>23213.82</v>
      </c>
    </row>
    <row r="1247" spans="2:5">
      <c r="B1247" s="232" t="s">
        <v>2286</v>
      </c>
      <c r="C1247" s="233" t="s">
        <v>1212</v>
      </c>
      <c r="D1247" s="234">
        <v>11519.64</v>
      </c>
      <c r="E1247" s="234">
        <v>16755.84</v>
      </c>
    </row>
    <row r="1248" spans="2:5">
      <c r="B1248" s="232" t="s">
        <v>2287</v>
      </c>
      <c r="C1248" s="233" t="s">
        <v>1212</v>
      </c>
      <c r="D1248" s="234">
        <v>12392.34</v>
      </c>
      <c r="E1248" s="234">
        <v>16232.22</v>
      </c>
    </row>
    <row r="1249" spans="2:5">
      <c r="B1249" s="232" t="s">
        <v>2288</v>
      </c>
      <c r="C1249" s="233" t="s">
        <v>1212</v>
      </c>
      <c r="D1249" s="234">
        <v>17395.82</v>
      </c>
      <c r="E1249" s="234">
        <v>21468.42</v>
      </c>
    </row>
    <row r="1250" spans="2:5">
      <c r="B1250" s="232" t="s">
        <v>2289</v>
      </c>
      <c r="C1250" s="233" t="s">
        <v>1212</v>
      </c>
      <c r="D1250" s="234">
        <v>61943.7</v>
      </c>
      <c r="E1250" s="234">
        <v>70555.8</v>
      </c>
    </row>
    <row r="1251" spans="2:5">
      <c r="B1251" s="232" t="s">
        <v>2290</v>
      </c>
      <c r="C1251" s="233" t="s">
        <v>1212</v>
      </c>
      <c r="D1251" s="234">
        <v>74791.5</v>
      </c>
      <c r="E1251" s="234">
        <v>65402.400000000001</v>
      </c>
    </row>
    <row r="1252" spans="2:5">
      <c r="B1252" s="232" t="s">
        <v>2291</v>
      </c>
      <c r="C1252" s="233" t="s">
        <v>1212</v>
      </c>
      <c r="D1252" s="234">
        <v>60782.400000000001</v>
      </c>
      <c r="E1252" s="234">
        <v>59375.4</v>
      </c>
    </row>
    <row r="1253" spans="2:5">
      <c r="B1253" s="232" t="s">
        <v>2292</v>
      </c>
      <c r="C1253" s="233" t="s">
        <v>1212</v>
      </c>
      <c r="D1253" s="234">
        <v>72128.7</v>
      </c>
      <c r="E1253" s="234">
        <v>66137.399999999994</v>
      </c>
    </row>
    <row r="1254" spans="2:5">
      <c r="B1254" s="232" t="s">
        <v>2293</v>
      </c>
      <c r="C1254" s="233" t="s">
        <v>1212</v>
      </c>
      <c r="D1254" s="234">
        <v>64060.26</v>
      </c>
      <c r="E1254" s="234">
        <v>61939.95</v>
      </c>
    </row>
    <row r="1255" spans="2:5">
      <c r="B1255" s="232" t="s">
        <v>2294</v>
      </c>
      <c r="C1255" s="233" t="s">
        <v>1212</v>
      </c>
      <c r="D1255" s="234">
        <v>56430.95</v>
      </c>
      <c r="E1255" s="234">
        <v>49773.89</v>
      </c>
    </row>
    <row r="1256" spans="2:5">
      <c r="B1256" s="232" t="s">
        <v>2295</v>
      </c>
      <c r="C1256" s="233" t="s">
        <v>1212</v>
      </c>
      <c r="D1256" s="234">
        <v>55580.13</v>
      </c>
      <c r="E1256" s="234">
        <v>48801.24</v>
      </c>
    </row>
    <row r="1257" spans="2:5">
      <c r="B1257" s="232" t="s">
        <v>2296</v>
      </c>
      <c r="C1257" s="233" t="s">
        <v>1212</v>
      </c>
      <c r="D1257" s="234">
        <v>306720</v>
      </c>
      <c r="E1257" s="234">
        <v>322872</v>
      </c>
    </row>
    <row r="1258" spans="2:5">
      <c r="B1258" s="232" t="s">
        <v>2297</v>
      </c>
      <c r="C1258" s="233" t="s">
        <v>1212</v>
      </c>
      <c r="D1258" s="234">
        <v>232912</v>
      </c>
      <c r="E1258" s="234">
        <v>334620</v>
      </c>
    </row>
    <row r="1259" spans="2:5">
      <c r="B1259" s="232" t="s">
        <v>2298</v>
      </c>
      <c r="C1259" s="233" t="s">
        <v>1212</v>
      </c>
      <c r="D1259" s="234">
        <v>280936</v>
      </c>
      <c r="E1259" s="234">
        <v>319664</v>
      </c>
    </row>
    <row r="1260" spans="2:5">
      <c r="B1260" s="232" t="s">
        <v>2299</v>
      </c>
      <c r="C1260" s="233" t="s">
        <v>1212</v>
      </c>
      <c r="D1260" s="234">
        <v>286252</v>
      </c>
      <c r="E1260" s="234">
        <v>264324</v>
      </c>
    </row>
    <row r="1261" spans="2:5">
      <c r="B1261" s="232" t="s">
        <v>2300</v>
      </c>
      <c r="C1261" s="233" t="s">
        <v>1212</v>
      </c>
      <c r="D1261" s="234">
        <v>22814.02</v>
      </c>
      <c r="E1261" s="234">
        <v>29254.79</v>
      </c>
    </row>
    <row r="1262" spans="2:5">
      <c r="B1262" s="232" t="s">
        <v>2301</v>
      </c>
      <c r="C1262" s="233" t="s">
        <v>1212</v>
      </c>
      <c r="D1262" s="234">
        <v>24222.400000000001</v>
      </c>
      <c r="E1262" s="234">
        <v>32725.78</v>
      </c>
    </row>
    <row r="1263" spans="2:5">
      <c r="B1263" s="232" t="s">
        <v>2302</v>
      </c>
      <c r="C1263" s="233" t="s">
        <v>1212</v>
      </c>
      <c r="D1263" s="234">
        <v>13404.33</v>
      </c>
      <c r="E1263" s="234">
        <v>29982.26</v>
      </c>
    </row>
    <row r="1264" spans="2:5">
      <c r="B1264" s="232" t="s">
        <v>2303</v>
      </c>
      <c r="C1264" s="233" t="s">
        <v>1212</v>
      </c>
      <c r="D1264" s="234">
        <v>17884.23</v>
      </c>
      <c r="E1264" s="234">
        <v>29563.59</v>
      </c>
    </row>
    <row r="1265" spans="2:5">
      <c r="B1265" s="232" t="s">
        <v>2304</v>
      </c>
      <c r="C1265" s="233" t="s">
        <v>1212</v>
      </c>
      <c r="D1265" s="234">
        <v>19553.48</v>
      </c>
      <c r="E1265" s="234">
        <v>17994</v>
      </c>
    </row>
    <row r="1266" spans="2:5">
      <c r="B1266" s="232" t="s">
        <v>2305</v>
      </c>
      <c r="C1266" s="233" t="s">
        <v>1212</v>
      </c>
      <c r="D1266" s="234">
        <v>22132.62</v>
      </c>
      <c r="E1266" s="234">
        <v>20153.28</v>
      </c>
    </row>
    <row r="1267" spans="2:5">
      <c r="B1267" s="232" t="s">
        <v>2306</v>
      </c>
      <c r="C1267" s="233" t="s">
        <v>1212</v>
      </c>
      <c r="D1267" s="234">
        <v>20633.12</v>
      </c>
      <c r="E1267" s="234">
        <v>19973.34</v>
      </c>
    </row>
    <row r="1268" spans="2:5">
      <c r="B1268" s="232" t="s">
        <v>2307</v>
      </c>
      <c r="C1268" s="233" t="s">
        <v>1212</v>
      </c>
      <c r="D1268" s="234">
        <v>20633.12</v>
      </c>
      <c r="E1268" s="234">
        <v>21052.98</v>
      </c>
    </row>
    <row r="1269" spans="2:5">
      <c r="B1269" s="232" t="s">
        <v>2308</v>
      </c>
      <c r="C1269" s="233" t="s">
        <v>1212</v>
      </c>
      <c r="D1269" s="234">
        <v>64309.86</v>
      </c>
      <c r="E1269" s="234">
        <v>116364.01</v>
      </c>
    </row>
    <row r="1270" spans="2:5">
      <c r="B1270" s="232" t="s">
        <v>2309</v>
      </c>
      <c r="C1270" s="233" t="s">
        <v>1212</v>
      </c>
      <c r="D1270" s="234">
        <v>80264.31</v>
      </c>
      <c r="E1270" s="234">
        <v>96994.19</v>
      </c>
    </row>
    <row r="1271" spans="2:5">
      <c r="B1271" s="232" t="s">
        <v>2310</v>
      </c>
      <c r="C1271" s="233" t="s">
        <v>1212</v>
      </c>
      <c r="D1271" s="234">
        <v>86331.5</v>
      </c>
      <c r="E1271" s="234">
        <v>118171.58</v>
      </c>
    </row>
    <row r="1272" spans="2:5">
      <c r="B1272" s="232" t="s">
        <v>2311</v>
      </c>
      <c r="C1272" s="233" t="s">
        <v>1212</v>
      </c>
      <c r="D1272" s="234">
        <v>45140.28</v>
      </c>
      <c r="E1272" s="234">
        <v>41844.410000000003</v>
      </c>
    </row>
    <row r="1273" spans="2:5">
      <c r="B1273" s="232" t="s">
        <v>2312</v>
      </c>
      <c r="C1273" s="233" t="s">
        <v>1212</v>
      </c>
      <c r="D1273" s="234">
        <v>38845.089999999997</v>
      </c>
      <c r="E1273" s="234">
        <v>47128.91</v>
      </c>
    </row>
    <row r="1274" spans="2:5">
      <c r="B1274" s="232" t="s">
        <v>2313</v>
      </c>
      <c r="C1274" s="233" t="s">
        <v>1212</v>
      </c>
      <c r="D1274" s="234">
        <v>38015.57</v>
      </c>
      <c r="E1274" s="234">
        <v>45859.48</v>
      </c>
    </row>
    <row r="1275" spans="2:5">
      <c r="B1275" s="232" t="s">
        <v>2314</v>
      </c>
      <c r="C1275" s="233" t="s">
        <v>1212</v>
      </c>
      <c r="D1275" s="234">
        <v>9179.66</v>
      </c>
      <c r="E1275" s="234">
        <v>8490.0300000000007</v>
      </c>
    </row>
    <row r="1276" spans="2:5">
      <c r="B1276" s="232" t="s">
        <v>2315</v>
      </c>
      <c r="C1276" s="233" t="s">
        <v>1212</v>
      </c>
      <c r="D1276" s="234">
        <v>7396.43</v>
      </c>
      <c r="E1276" s="234">
        <v>7347.32</v>
      </c>
    </row>
    <row r="1277" spans="2:5">
      <c r="B1277" s="232" t="s">
        <v>2316</v>
      </c>
      <c r="C1277" s="233" t="s">
        <v>1212</v>
      </c>
      <c r="D1277" s="234">
        <v>7893.61</v>
      </c>
      <c r="E1277" s="234">
        <v>6417.63</v>
      </c>
    </row>
    <row r="1278" spans="2:5">
      <c r="B1278" s="232" t="s">
        <v>2317</v>
      </c>
      <c r="C1278" s="233" t="s">
        <v>1212</v>
      </c>
      <c r="D1278" s="234">
        <v>6867.2</v>
      </c>
      <c r="E1278" s="234">
        <v>6778.87</v>
      </c>
    </row>
    <row r="1279" spans="2:5">
      <c r="B1279" s="232" t="s">
        <v>2318</v>
      </c>
      <c r="C1279" s="233" t="s">
        <v>1212</v>
      </c>
      <c r="D1279" s="234">
        <v>49120.639999999999</v>
      </c>
      <c r="E1279" s="234">
        <v>48687.1</v>
      </c>
    </row>
    <row r="1280" spans="2:5">
      <c r="B1280" s="232" t="s">
        <v>2319</v>
      </c>
      <c r="C1280" s="233" t="s">
        <v>1212</v>
      </c>
      <c r="D1280" s="234">
        <v>42500.24</v>
      </c>
      <c r="E1280" s="234">
        <v>54038.45</v>
      </c>
    </row>
    <row r="1281" spans="2:5">
      <c r="B1281" s="232" t="s">
        <v>2320</v>
      </c>
      <c r="C1281" s="233" t="s">
        <v>1212</v>
      </c>
      <c r="D1281" s="234">
        <v>56306.3</v>
      </c>
      <c r="E1281" s="234">
        <v>55588.26</v>
      </c>
    </row>
    <row r="1282" spans="2:5">
      <c r="B1282" s="232" t="s">
        <v>2321</v>
      </c>
      <c r="C1282" s="233" t="s">
        <v>1212</v>
      </c>
      <c r="D1282" s="234">
        <v>57389.08</v>
      </c>
      <c r="E1282" s="234">
        <v>47271.79</v>
      </c>
    </row>
    <row r="1283" spans="2:5">
      <c r="B1283" s="232" t="s">
        <v>2322</v>
      </c>
      <c r="C1283" s="233" t="s">
        <v>1212</v>
      </c>
      <c r="D1283" s="234">
        <v>44602.62</v>
      </c>
      <c r="E1283" s="234">
        <v>48511.99</v>
      </c>
    </row>
    <row r="1284" spans="2:5">
      <c r="B1284" s="232" t="s">
        <v>2323</v>
      </c>
      <c r="C1284" s="233" t="s">
        <v>1212</v>
      </c>
      <c r="D1284" s="234">
        <v>13355.29</v>
      </c>
      <c r="E1284" s="234">
        <v>16202.03</v>
      </c>
    </row>
    <row r="1285" spans="2:5">
      <c r="B1285" s="232" t="s">
        <v>2324</v>
      </c>
      <c r="C1285" s="233" t="s">
        <v>1212</v>
      </c>
      <c r="D1285" s="234">
        <v>17766.07</v>
      </c>
      <c r="E1285" s="234">
        <v>15543.24</v>
      </c>
    </row>
    <row r="1286" spans="2:5">
      <c r="B1286" s="232" t="s">
        <v>2325</v>
      </c>
      <c r="C1286" s="233" t="s">
        <v>1212</v>
      </c>
      <c r="D1286" s="234">
        <v>15311.35</v>
      </c>
      <c r="E1286" s="234">
        <v>15818.17</v>
      </c>
    </row>
    <row r="1287" spans="2:5">
      <c r="B1287" s="232" t="s">
        <v>2326</v>
      </c>
      <c r="C1287" s="233" t="s">
        <v>1212</v>
      </c>
      <c r="D1287" s="234">
        <v>17356.55</v>
      </c>
      <c r="E1287" s="234">
        <v>13123.69</v>
      </c>
    </row>
    <row r="1288" spans="2:5">
      <c r="B1288" s="232" t="s">
        <v>2327</v>
      </c>
      <c r="C1288" s="233" t="s">
        <v>1212</v>
      </c>
      <c r="D1288" s="234">
        <v>193787.19</v>
      </c>
      <c r="E1288" s="234">
        <v>159049.49</v>
      </c>
    </row>
    <row r="1289" spans="2:5">
      <c r="B1289" s="232" t="s">
        <v>2328</v>
      </c>
      <c r="C1289" s="233" t="s">
        <v>1212</v>
      </c>
      <c r="D1289" s="234">
        <v>194074.64</v>
      </c>
      <c r="E1289" s="234">
        <v>175031.53</v>
      </c>
    </row>
    <row r="1290" spans="2:5">
      <c r="B1290" s="232" t="s">
        <v>2329</v>
      </c>
      <c r="C1290" s="233" t="s">
        <v>1212</v>
      </c>
      <c r="D1290" s="234">
        <v>161287.32</v>
      </c>
      <c r="E1290" s="234">
        <v>174231.14</v>
      </c>
    </row>
    <row r="1291" spans="2:5">
      <c r="B1291" s="232" t="s">
        <v>2330</v>
      </c>
      <c r="C1291" s="233" t="s">
        <v>1212</v>
      </c>
      <c r="D1291" s="234">
        <v>175390.29</v>
      </c>
      <c r="E1291" s="234">
        <v>213368.48</v>
      </c>
    </row>
    <row r="1292" spans="2:5">
      <c r="B1292" s="232" t="s">
        <v>2331</v>
      </c>
      <c r="C1292" s="233" t="s">
        <v>1212</v>
      </c>
      <c r="D1292" s="234">
        <v>175827.28</v>
      </c>
      <c r="E1292" s="234">
        <v>169967.13</v>
      </c>
    </row>
    <row r="1293" spans="2:5">
      <c r="B1293" s="232" t="s">
        <v>2332</v>
      </c>
      <c r="C1293" s="233" t="s">
        <v>1212</v>
      </c>
      <c r="D1293" s="234">
        <v>162356.51999999999</v>
      </c>
      <c r="E1293" s="234">
        <v>257053.77</v>
      </c>
    </row>
    <row r="1294" spans="2:5">
      <c r="B1294" s="232" t="s">
        <v>2333</v>
      </c>
      <c r="C1294" s="233" t="s">
        <v>1212</v>
      </c>
      <c r="D1294" s="234">
        <v>192801.73</v>
      </c>
      <c r="E1294" s="234">
        <v>167347.96</v>
      </c>
    </row>
    <row r="1295" spans="2:5">
      <c r="B1295" s="232" t="s">
        <v>2334</v>
      </c>
      <c r="C1295" s="233" t="s">
        <v>1212</v>
      </c>
      <c r="D1295" s="234">
        <v>201756.22</v>
      </c>
      <c r="E1295" s="234">
        <v>259094.34</v>
      </c>
    </row>
    <row r="1296" spans="2:5">
      <c r="B1296" s="232" t="s">
        <v>2335</v>
      </c>
      <c r="C1296" s="233" t="s">
        <v>1212</v>
      </c>
      <c r="D1296" s="234">
        <v>161368.46</v>
      </c>
      <c r="E1296" s="234">
        <v>186046.29</v>
      </c>
    </row>
    <row r="1297" spans="2:5">
      <c r="B1297" s="232" t="s">
        <v>2336</v>
      </c>
      <c r="C1297" s="233" t="s">
        <v>1212</v>
      </c>
      <c r="D1297" s="234">
        <v>207652.45</v>
      </c>
      <c r="E1297" s="234">
        <v>161043.57999999999</v>
      </c>
    </row>
    <row r="1298" spans="2:5">
      <c r="B1298" s="232" t="s">
        <v>2337</v>
      </c>
      <c r="C1298" s="233" t="s">
        <v>1212</v>
      </c>
      <c r="D1298" s="234">
        <v>44966.64</v>
      </c>
      <c r="E1298" s="234">
        <v>42090.63</v>
      </c>
    </row>
    <row r="1299" spans="2:5">
      <c r="B1299" s="232" t="s">
        <v>2338</v>
      </c>
      <c r="C1299" s="233" t="s">
        <v>1212</v>
      </c>
      <c r="D1299" s="234">
        <v>54388.91</v>
      </c>
      <c r="E1299" s="234">
        <v>48215.77</v>
      </c>
    </row>
    <row r="1300" spans="2:5">
      <c r="B1300" s="232" t="s">
        <v>2339</v>
      </c>
      <c r="C1300" s="233" t="s">
        <v>1212</v>
      </c>
      <c r="D1300" s="234">
        <v>47983.94</v>
      </c>
      <c r="E1300" s="234">
        <v>42721.59</v>
      </c>
    </row>
    <row r="1301" spans="2:5">
      <c r="B1301" s="232" t="s">
        <v>2340</v>
      </c>
      <c r="C1301" s="233" t="s">
        <v>1212</v>
      </c>
      <c r="D1301" s="234">
        <v>49308.28</v>
      </c>
      <c r="E1301" s="234">
        <v>39046.89</v>
      </c>
    </row>
    <row r="1302" spans="2:5">
      <c r="B1302" s="232" t="s">
        <v>2341</v>
      </c>
      <c r="C1302" s="233" t="s">
        <v>1212</v>
      </c>
      <c r="D1302" s="234">
        <v>98771.78</v>
      </c>
      <c r="E1302" s="234">
        <v>111833.21</v>
      </c>
    </row>
    <row r="1303" spans="2:5">
      <c r="B1303" s="232" t="s">
        <v>2342</v>
      </c>
      <c r="C1303" s="233" t="s">
        <v>1212</v>
      </c>
      <c r="D1303" s="234">
        <v>143925.12</v>
      </c>
      <c r="E1303" s="234">
        <v>100941.64</v>
      </c>
    </row>
    <row r="1304" spans="2:5">
      <c r="B1304" s="232" t="s">
        <v>2343</v>
      </c>
      <c r="C1304" s="233" t="s">
        <v>1212</v>
      </c>
      <c r="D1304" s="234">
        <v>123009.42</v>
      </c>
      <c r="E1304" s="234">
        <v>130964.44</v>
      </c>
    </row>
    <row r="1305" spans="2:5">
      <c r="B1305" s="232" t="s">
        <v>2344</v>
      </c>
      <c r="C1305" s="233" t="s">
        <v>1212</v>
      </c>
      <c r="D1305" s="234">
        <v>132458.72</v>
      </c>
      <c r="E1305" s="234">
        <v>103603.16</v>
      </c>
    </row>
    <row r="1306" spans="2:5">
      <c r="B1306" s="232" t="s">
        <v>2345</v>
      </c>
      <c r="C1306" s="233" t="s">
        <v>1212</v>
      </c>
      <c r="D1306" s="234">
        <v>20993</v>
      </c>
      <c r="E1306" s="234">
        <v>20873.04</v>
      </c>
    </row>
    <row r="1307" spans="2:5">
      <c r="B1307" s="232" t="s">
        <v>2346</v>
      </c>
      <c r="C1307" s="233" t="s">
        <v>1212</v>
      </c>
      <c r="D1307" s="234">
        <v>23632.12</v>
      </c>
      <c r="E1307" s="234">
        <v>22852.38</v>
      </c>
    </row>
    <row r="1308" spans="2:5">
      <c r="B1308" s="232" t="s">
        <v>2347</v>
      </c>
      <c r="C1308" s="233" t="s">
        <v>1212</v>
      </c>
      <c r="D1308" s="234">
        <v>21052.98</v>
      </c>
      <c r="E1308" s="234">
        <v>16374.54</v>
      </c>
    </row>
    <row r="1309" spans="2:5">
      <c r="B1309" s="232" t="s">
        <v>2348</v>
      </c>
      <c r="C1309" s="233" t="s">
        <v>1212</v>
      </c>
      <c r="D1309" s="234">
        <v>15954.68</v>
      </c>
      <c r="E1309" s="234">
        <v>14035.32</v>
      </c>
    </row>
    <row r="1310" spans="2:5">
      <c r="B1310" s="232" t="s">
        <v>2349</v>
      </c>
      <c r="C1310" s="233" t="s">
        <v>1212</v>
      </c>
      <c r="D1310" s="234">
        <v>178446.21</v>
      </c>
      <c r="E1310" s="234">
        <v>261894.45</v>
      </c>
    </row>
    <row r="1311" spans="2:5">
      <c r="B1311" s="232" t="s">
        <v>2350</v>
      </c>
      <c r="C1311" s="233" t="s">
        <v>1212</v>
      </c>
      <c r="D1311" s="234">
        <v>283468.40999999997</v>
      </c>
      <c r="E1311" s="234">
        <v>222807.75</v>
      </c>
    </row>
    <row r="1312" spans="2:5">
      <c r="B1312" s="232" t="s">
        <v>2351</v>
      </c>
      <c r="C1312" s="233" t="s">
        <v>1212</v>
      </c>
      <c r="D1312" s="234">
        <v>260233.35</v>
      </c>
      <c r="E1312" s="234">
        <v>310008.71999999997</v>
      </c>
    </row>
    <row r="1313" spans="2:5">
      <c r="B1313" s="232" t="s">
        <v>2352</v>
      </c>
      <c r="C1313" s="233" t="s">
        <v>1212</v>
      </c>
      <c r="D1313" s="234">
        <v>276244.32</v>
      </c>
      <c r="E1313" s="234">
        <v>277898.64</v>
      </c>
    </row>
    <row r="1314" spans="2:5">
      <c r="B1314" s="232" t="s">
        <v>2353</v>
      </c>
      <c r="C1314" s="233" t="s">
        <v>1212</v>
      </c>
      <c r="D1314" s="234">
        <v>267115.05</v>
      </c>
      <c r="E1314" s="234">
        <v>261209.67</v>
      </c>
    </row>
    <row r="1315" spans="2:5">
      <c r="B1315" s="232" t="s">
        <v>2354</v>
      </c>
      <c r="C1315" s="233" t="s">
        <v>1212</v>
      </c>
      <c r="D1315" s="234">
        <v>158876.64000000001</v>
      </c>
      <c r="E1315" s="234">
        <v>154259.35999999999</v>
      </c>
    </row>
    <row r="1316" spans="2:5">
      <c r="B1316" s="232" t="s">
        <v>2355</v>
      </c>
      <c r="C1316" s="233" t="s">
        <v>1212</v>
      </c>
      <c r="D1316" s="234">
        <v>160256.75</v>
      </c>
      <c r="E1316" s="234">
        <v>179597.16</v>
      </c>
    </row>
    <row r="1317" spans="2:5">
      <c r="B1317" s="232" t="s">
        <v>2356</v>
      </c>
      <c r="C1317" s="233" t="s">
        <v>1212</v>
      </c>
      <c r="D1317" s="234">
        <v>159175.56</v>
      </c>
      <c r="E1317" s="234">
        <v>210671.66</v>
      </c>
    </row>
    <row r="1318" spans="2:5">
      <c r="B1318" s="232" t="s">
        <v>2357</v>
      </c>
      <c r="C1318" s="233" t="s">
        <v>1212</v>
      </c>
      <c r="D1318" s="234">
        <v>181390.7</v>
      </c>
      <c r="E1318" s="234">
        <v>166985.51</v>
      </c>
    </row>
    <row r="1319" spans="2:5">
      <c r="B1319" s="232" t="s">
        <v>2358</v>
      </c>
      <c r="C1319" s="233" t="s">
        <v>1212</v>
      </c>
      <c r="D1319" s="234">
        <v>158107.09</v>
      </c>
      <c r="E1319" s="234">
        <v>190192.78</v>
      </c>
    </row>
    <row r="1320" spans="2:5">
      <c r="B1320" s="232" t="s">
        <v>2359</v>
      </c>
      <c r="C1320" s="233" t="s">
        <v>1165</v>
      </c>
      <c r="D1320" s="234">
        <v>540370.74</v>
      </c>
      <c r="E1320" s="234">
        <v>477108.32</v>
      </c>
    </row>
    <row r="1321" spans="2:5">
      <c r="B1321" s="232" t="s">
        <v>2360</v>
      </c>
      <c r="C1321" s="233" t="s">
        <v>1165</v>
      </c>
      <c r="D1321" s="234">
        <v>571708.93000000005</v>
      </c>
      <c r="E1321" s="234">
        <v>468751.27</v>
      </c>
    </row>
    <row r="1322" spans="2:5">
      <c r="B1322" s="232" t="s">
        <v>2361</v>
      </c>
      <c r="C1322" s="233" t="s">
        <v>1165</v>
      </c>
      <c r="D1322" s="234">
        <v>427641.76</v>
      </c>
      <c r="E1322" s="234">
        <v>515649.42</v>
      </c>
    </row>
    <row r="1323" spans="2:5">
      <c r="B1323" s="232" t="s">
        <v>2362</v>
      </c>
      <c r="C1323" s="233" t="s">
        <v>1165</v>
      </c>
      <c r="D1323" s="234">
        <v>450827.45</v>
      </c>
      <c r="E1323" s="234">
        <v>386218.78</v>
      </c>
    </row>
    <row r="1324" spans="2:5">
      <c r="B1324" s="232" t="s">
        <v>2363</v>
      </c>
      <c r="C1324" s="233" t="s">
        <v>1165</v>
      </c>
      <c r="D1324" s="234">
        <v>502005.89</v>
      </c>
      <c r="E1324" s="234">
        <v>414239.79</v>
      </c>
    </row>
    <row r="1325" spans="2:5">
      <c r="B1325" s="232" t="s">
        <v>2364</v>
      </c>
      <c r="C1325" s="233" t="s">
        <v>1165</v>
      </c>
      <c r="D1325" s="234">
        <v>504491.64</v>
      </c>
      <c r="E1325" s="234">
        <v>397832.57</v>
      </c>
    </row>
    <row r="1326" spans="2:5">
      <c r="B1326" s="232" t="s">
        <v>2365</v>
      </c>
      <c r="C1326" s="233" t="s">
        <v>1165</v>
      </c>
      <c r="D1326" s="234">
        <v>533288.13</v>
      </c>
      <c r="E1326" s="234">
        <v>548481.09</v>
      </c>
    </row>
    <row r="1327" spans="2:5">
      <c r="B1327" s="232" t="s">
        <v>2366</v>
      </c>
      <c r="C1327" s="233" t="s">
        <v>1165</v>
      </c>
      <c r="D1327" s="234">
        <v>470750.03</v>
      </c>
      <c r="E1327" s="234">
        <v>415691.37</v>
      </c>
    </row>
    <row r="1328" spans="2:5">
      <c r="B1328" s="232" t="s">
        <v>2367</v>
      </c>
      <c r="C1328" s="233" t="s">
        <v>1165</v>
      </c>
      <c r="D1328" s="234">
        <v>431232.19</v>
      </c>
      <c r="E1328" s="234">
        <v>399958.63</v>
      </c>
    </row>
    <row r="1329" spans="2:5">
      <c r="B1329" s="232" t="s">
        <v>2368</v>
      </c>
      <c r="C1329" s="233" t="s">
        <v>1165</v>
      </c>
      <c r="D1329" s="234">
        <v>427578.18</v>
      </c>
      <c r="E1329" s="234">
        <v>408595.87</v>
      </c>
    </row>
    <row r="1330" spans="2:5">
      <c r="B1330" s="232" t="s">
        <v>2369</v>
      </c>
      <c r="C1330" s="233" t="s">
        <v>1165</v>
      </c>
      <c r="D1330" s="234">
        <v>453005.73</v>
      </c>
      <c r="E1330" s="234">
        <v>441067.66</v>
      </c>
    </row>
    <row r="1331" spans="2:5">
      <c r="B1331" s="232" t="s">
        <v>2370</v>
      </c>
      <c r="C1331" s="233" t="s">
        <v>1165</v>
      </c>
      <c r="D1331" s="234">
        <v>568840.35</v>
      </c>
      <c r="E1331" s="234">
        <v>491353.71</v>
      </c>
    </row>
    <row r="1332" spans="2:5">
      <c r="B1332" s="232" t="s">
        <v>2371</v>
      </c>
      <c r="C1332" s="233" t="s">
        <v>1165</v>
      </c>
      <c r="D1332" s="234">
        <v>230763.64</v>
      </c>
      <c r="E1332" s="234">
        <v>133948.29</v>
      </c>
    </row>
    <row r="1333" spans="2:5">
      <c r="B1333" s="232" t="s">
        <v>2372</v>
      </c>
      <c r="C1333" s="233" t="s">
        <v>1165</v>
      </c>
      <c r="D1333" s="234">
        <v>201596.7</v>
      </c>
      <c r="E1333" s="234">
        <v>288648.01</v>
      </c>
    </row>
    <row r="1334" spans="2:5">
      <c r="B1334" s="232" t="s">
        <v>2373</v>
      </c>
      <c r="C1334" s="233" t="s">
        <v>1165</v>
      </c>
      <c r="D1334" s="234">
        <v>217898.55</v>
      </c>
      <c r="E1334" s="234">
        <v>185829.71</v>
      </c>
    </row>
    <row r="1335" spans="2:5">
      <c r="B1335" s="232" t="s">
        <v>2374</v>
      </c>
      <c r="C1335" s="233" t="s">
        <v>1165</v>
      </c>
      <c r="D1335" s="234">
        <v>167587.74</v>
      </c>
      <c r="E1335" s="234">
        <v>153418.04999999999</v>
      </c>
    </row>
    <row r="1336" spans="2:5">
      <c r="B1336" s="232" t="s">
        <v>2375</v>
      </c>
      <c r="C1336" s="233" t="s">
        <v>1165</v>
      </c>
      <c r="D1336" s="234">
        <v>242147.43</v>
      </c>
      <c r="E1336" s="234">
        <v>167708.51999999999</v>
      </c>
    </row>
    <row r="1337" spans="2:5">
      <c r="B1337" s="232" t="s">
        <v>2376</v>
      </c>
      <c r="C1337" s="233" t="s">
        <v>1165</v>
      </c>
      <c r="D1337" s="234">
        <v>160686.81</v>
      </c>
      <c r="E1337" s="234">
        <v>164645.1</v>
      </c>
    </row>
    <row r="1338" spans="2:5">
      <c r="B1338" s="232" t="s">
        <v>2377</v>
      </c>
      <c r="C1338" s="233" t="s">
        <v>1165</v>
      </c>
      <c r="D1338" s="234">
        <v>276833.96999999997</v>
      </c>
      <c r="E1338" s="234">
        <v>395866.89</v>
      </c>
    </row>
    <row r="1339" spans="2:5">
      <c r="B1339" s="232" t="s">
        <v>2378</v>
      </c>
      <c r="C1339" s="233" t="s">
        <v>1165</v>
      </c>
      <c r="D1339" s="234">
        <v>196780.05</v>
      </c>
      <c r="E1339" s="234">
        <v>251644.59</v>
      </c>
    </row>
    <row r="1340" spans="2:5">
      <c r="B1340" s="232" t="s">
        <v>2379</v>
      </c>
      <c r="C1340" s="233" t="s">
        <v>1165</v>
      </c>
      <c r="D1340" s="234">
        <v>150260.85</v>
      </c>
      <c r="E1340" s="234">
        <v>316707.57</v>
      </c>
    </row>
    <row r="1341" spans="2:5">
      <c r="B1341" s="232" t="s">
        <v>2380</v>
      </c>
      <c r="C1341" s="233" t="s">
        <v>1165</v>
      </c>
      <c r="D1341" s="234">
        <v>508739.19</v>
      </c>
      <c r="E1341" s="234">
        <v>477193.32</v>
      </c>
    </row>
    <row r="1342" spans="2:5">
      <c r="B1342" s="232" t="s">
        <v>2381</v>
      </c>
      <c r="C1342" s="233" t="s">
        <v>1165</v>
      </c>
      <c r="D1342" s="234">
        <v>587418.63</v>
      </c>
      <c r="E1342" s="234">
        <v>571649.18999999994</v>
      </c>
    </row>
    <row r="1343" spans="2:5">
      <c r="B1343" s="232" t="s">
        <v>2382</v>
      </c>
      <c r="C1343" s="233" t="s">
        <v>1165</v>
      </c>
      <c r="D1343" s="234">
        <v>666265.82999999996</v>
      </c>
      <c r="E1343" s="234">
        <v>565260.32999999996</v>
      </c>
    </row>
    <row r="1344" spans="2:5">
      <c r="B1344" s="232" t="s">
        <v>2383</v>
      </c>
      <c r="C1344" s="233" t="s">
        <v>1165</v>
      </c>
      <c r="D1344" s="234">
        <v>604523.16</v>
      </c>
      <c r="E1344" s="234">
        <v>604809.75</v>
      </c>
    </row>
    <row r="1345" spans="2:5">
      <c r="B1345" s="232" t="s">
        <v>2384</v>
      </c>
      <c r="C1345" s="233" t="s">
        <v>1165</v>
      </c>
      <c r="D1345" s="234">
        <v>526270.11</v>
      </c>
      <c r="E1345" s="234">
        <v>568238.06999999995</v>
      </c>
    </row>
    <row r="1346" spans="2:5">
      <c r="B1346" s="232" t="s">
        <v>2385</v>
      </c>
      <c r="C1346" s="233" t="s">
        <v>1165</v>
      </c>
      <c r="D1346" s="234">
        <v>579687.68999999994</v>
      </c>
      <c r="E1346" s="234">
        <v>568622.52</v>
      </c>
    </row>
    <row r="1347" spans="2:5">
      <c r="B1347" s="232" t="s">
        <v>2386</v>
      </c>
      <c r="C1347" s="233" t="s">
        <v>1165</v>
      </c>
      <c r="D1347" s="234">
        <v>578160.56999999995</v>
      </c>
      <c r="E1347" s="234">
        <v>557401</v>
      </c>
    </row>
    <row r="1348" spans="2:5">
      <c r="B1348" s="232" t="s">
        <v>2387</v>
      </c>
      <c r="C1348" s="233" t="s">
        <v>1165</v>
      </c>
      <c r="D1348" s="234">
        <v>495997.32</v>
      </c>
      <c r="E1348" s="234">
        <v>540134.66</v>
      </c>
    </row>
    <row r="1349" spans="2:5">
      <c r="B1349" s="232" t="s">
        <v>2388</v>
      </c>
      <c r="C1349" s="233" t="s">
        <v>1165</v>
      </c>
      <c r="D1349" s="234">
        <v>485710.55</v>
      </c>
      <c r="E1349" s="234">
        <v>540630.74</v>
      </c>
    </row>
    <row r="1350" spans="2:5">
      <c r="B1350" s="232" t="s">
        <v>2389</v>
      </c>
      <c r="C1350" s="233" t="s">
        <v>1165</v>
      </c>
      <c r="D1350" s="234">
        <v>294791.86</v>
      </c>
      <c r="E1350" s="234">
        <v>452065.3</v>
      </c>
    </row>
    <row r="1351" spans="2:5">
      <c r="B1351" s="232" t="s">
        <v>2390</v>
      </c>
      <c r="C1351" s="233" t="s">
        <v>1165</v>
      </c>
      <c r="D1351" s="234">
        <v>381107.76</v>
      </c>
      <c r="E1351" s="234">
        <v>461697.22</v>
      </c>
    </row>
    <row r="1352" spans="2:5">
      <c r="B1352" s="232" t="s">
        <v>2391</v>
      </c>
      <c r="C1352" s="233" t="s">
        <v>1165</v>
      </c>
      <c r="D1352" s="234">
        <v>320686.63</v>
      </c>
      <c r="E1352" s="234">
        <v>487705.8</v>
      </c>
    </row>
    <row r="1353" spans="2:5">
      <c r="B1353" s="232" t="s">
        <v>2392</v>
      </c>
      <c r="C1353" s="233" t="s">
        <v>1165</v>
      </c>
      <c r="D1353" s="234">
        <v>1113686.6299999999</v>
      </c>
      <c r="E1353" s="234">
        <v>1028803.21</v>
      </c>
    </row>
    <row r="1354" spans="2:5">
      <c r="B1354" s="232" t="s">
        <v>2393</v>
      </c>
      <c r="C1354" s="233" t="s">
        <v>1165</v>
      </c>
      <c r="D1354" s="234">
        <v>1010344.85</v>
      </c>
      <c r="E1354" s="234">
        <v>858882.74</v>
      </c>
    </row>
    <row r="1355" spans="2:5">
      <c r="B1355" s="232" t="s">
        <v>2394</v>
      </c>
      <c r="C1355" s="233" t="s">
        <v>1165</v>
      </c>
      <c r="D1355" s="234">
        <v>1054248.8899999999</v>
      </c>
      <c r="E1355" s="234">
        <v>1044382.43</v>
      </c>
    </row>
    <row r="1356" spans="2:5">
      <c r="B1356" s="232" t="s">
        <v>2395</v>
      </c>
      <c r="C1356" s="233" t="s">
        <v>1165</v>
      </c>
      <c r="D1356" s="234">
        <v>413979.21</v>
      </c>
      <c r="E1356" s="234">
        <v>351794.61</v>
      </c>
    </row>
    <row r="1357" spans="2:5">
      <c r="B1357" s="232" t="s">
        <v>2396</v>
      </c>
      <c r="C1357" s="233" t="s">
        <v>1165</v>
      </c>
      <c r="D1357" s="234">
        <v>485404.65</v>
      </c>
      <c r="E1357" s="234">
        <v>488930.76</v>
      </c>
    </row>
    <row r="1358" spans="2:5">
      <c r="B1358" s="232" t="s">
        <v>2397</v>
      </c>
      <c r="C1358" s="233" t="s">
        <v>1165</v>
      </c>
      <c r="D1358" s="234">
        <v>460716.09</v>
      </c>
      <c r="E1358" s="234">
        <v>417018.96</v>
      </c>
    </row>
    <row r="1359" spans="2:5">
      <c r="B1359" s="232" t="s">
        <v>2398</v>
      </c>
      <c r="C1359" s="233" t="s">
        <v>1165</v>
      </c>
      <c r="D1359" s="234">
        <v>654796.48</v>
      </c>
      <c r="E1359" s="234">
        <v>570877.51</v>
      </c>
    </row>
    <row r="1360" spans="2:5">
      <c r="B1360" s="232" t="s">
        <v>2399</v>
      </c>
      <c r="C1360" s="233" t="s">
        <v>1165</v>
      </c>
      <c r="D1360" s="234">
        <v>518782.71</v>
      </c>
      <c r="E1360" s="234">
        <v>638249.18999999994</v>
      </c>
    </row>
    <row r="1361" spans="2:5">
      <c r="B1361" s="232" t="s">
        <v>2400</v>
      </c>
      <c r="C1361" s="233" t="s">
        <v>1165</v>
      </c>
      <c r="D1361" s="234">
        <v>546428.11</v>
      </c>
      <c r="E1361" s="234">
        <v>660557.27</v>
      </c>
    </row>
    <row r="1362" spans="2:5">
      <c r="B1362" s="232" t="s">
        <v>2401</v>
      </c>
      <c r="C1362" s="233" t="s">
        <v>1212</v>
      </c>
      <c r="D1362" s="234">
        <v>148532.01999999999</v>
      </c>
      <c r="E1362" s="234">
        <v>125840.78</v>
      </c>
    </row>
    <row r="1363" spans="2:5">
      <c r="B1363" s="232" t="s">
        <v>2402</v>
      </c>
      <c r="C1363" s="233" t="s">
        <v>1212</v>
      </c>
      <c r="D1363" s="234">
        <v>161530.44</v>
      </c>
      <c r="E1363" s="234">
        <v>150512.53</v>
      </c>
    </row>
    <row r="1364" spans="2:5">
      <c r="B1364" s="232" t="s">
        <v>2403</v>
      </c>
      <c r="C1364" s="233" t="s">
        <v>1212</v>
      </c>
      <c r="D1364" s="234">
        <v>156548.21</v>
      </c>
      <c r="E1364" s="234">
        <v>143822.42000000001</v>
      </c>
    </row>
    <row r="1365" spans="2:5">
      <c r="B1365" s="232" t="s">
        <v>2404</v>
      </c>
      <c r="C1365" s="233" t="s">
        <v>1212</v>
      </c>
      <c r="D1365" s="234">
        <v>158950.49</v>
      </c>
      <c r="E1365" s="234">
        <v>151672.37</v>
      </c>
    </row>
    <row r="1366" spans="2:5">
      <c r="B1366" s="232" t="s">
        <v>2405</v>
      </c>
      <c r="C1366" s="233" t="s">
        <v>1212</v>
      </c>
      <c r="D1366" s="234">
        <v>146375.75</v>
      </c>
      <c r="E1366" s="234">
        <v>147466.23000000001</v>
      </c>
    </row>
    <row r="1367" spans="2:5">
      <c r="B1367" s="232" t="s">
        <v>2406</v>
      </c>
      <c r="C1367" s="233" t="s">
        <v>1212</v>
      </c>
      <c r="D1367" s="234">
        <v>128503.39</v>
      </c>
      <c r="E1367" s="234">
        <v>122250.17</v>
      </c>
    </row>
    <row r="1368" spans="2:5">
      <c r="B1368" s="232" t="s">
        <v>2407</v>
      </c>
      <c r="C1368" s="233" t="s">
        <v>1212</v>
      </c>
      <c r="D1368" s="234">
        <v>175480.4</v>
      </c>
      <c r="E1368" s="234">
        <v>147438.21</v>
      </c>
    </row>
    <row r="1369" spans="2:5">
      <c r="B1369" s="232" t="s">
        <v>2408</v>
      </c>
      <c r="C1369" s="233" t="s">
        <v>1212</v>
      </c>
      <c r="D1369" s="234">
        <v>124147.54</v>
      </c>
      <c r="E1369" s="234">
        <v>135212.43</v>
      </c>
    </row>
    <row r="1370" spans="2:5">
      <c r="B1370" s="232" t="s">
        <v>2409</v>
      </c>
      <c r="C1370" s="233" t="s">
        <v>1212</v>
      </c>
      <c r="D1370" s="234">
        <v>158572.12</v>
      </c>
      <c r="E1370" s="234">
        <v>153553.60000000001</v>
      </c>
    </row>
    <row r="1371" spans="2:5">
      <c r="B1371" s="232" t="s">
        <v>2410</v>
      </c>
      <c r="C1371" s="233" t="s">
        <v>1212</v>
      </c>
      <c r="D1371" s="234">
        <v>138889.04999999999</v>
      </c>
      <c r="E1371" s="234">
        <v>147610.16</v>
      </c>
    </row>
    <row r="1372" spans="2:5">
      <c r="B1372" s="232" t="s">
        <v>2411</v>
      </c>
      <c r="C1372" s="233" t="s">
        <v>1212</v>
      </c>
      <c r="D1372" s="234">
        <v>168260.11</v>
      </c>
      <c r="E1372" s="234">
        <v>120392.89</v>
      </c>
    </row>
    <row r="1373" spans="2:5">
      <c r="B1373" s="232" t="s">
        <v>2412</v>
      </c>
      <c r="C1373" s="233" t="s">
        <v>1212</v>
      </c>
      <c r="D1373" s="234">
        <v>169709.93</v>
      </c>
      <c r="E1373" s="234">
        <v>162323.73000000001</v>
      </c>
    </row>
    <row r="1374" spans="2:5">
      <c r="B1374" s="232" t="s">
        <v>2413</v>
      </c>
      <c r="C1374" s="233" t="s">
        <v>1212</v>
      </c>
      <c r="D1374" s="234">
        <v>245861.44</v>
      </c>
      <c r="E1374" s="234">
        <v>227230.18</v>
      </c>
    </row>
    <row r="1375" spans="2:5">
      <c r="B1375" s="232" t="s">
        <v>2414</v>
      </c>
      <c r="C1375" s="233" t="s">
        <v>1212</v>
      </c>
      <c r="D1375" s="234">
        <v>260537.97</v>
      </c>
      <c r="E1375" s="234">
        <v>254606.58</v>
      </c>
    </row>
    <row r="1376" spans="2:5">
      <c r="B1376" s="232" t="s">
        <v>2415</v>
      </c>
      <c r="C1376" s="233" t="s">
        <v>1212</v>
      </c>
      <c r="D1376" s="234">
        <v>263083</v>
      </c>
      <c r="E1376" s="234">
        <v>237051.86</v>
      </c>
    </row>
    <row r="1377" spans="2:5">
      <c r="B1377" s="232" t="s">
        <v>2416</v>
      </c>
      <c r="C1377" s="233" t="s">
        <v>1212</v>
      </c>
      <c r="D1377" s="234">
        <v>262486.65000000002</v>
      </c>
      <c r="E1377" s="234">
        <v>263304.21000000002</v>
      </c>
    </row>
    <row r="1378" spans="2:5">
      <c r="B1378" s="232" t="s">
        <v>2417</v>
      </c>
      <c r="C1378" s="233" t="s">
        <v>1212</v>
      </c>
      <c r="D1378" s="234">
        <v>247101.79</v>
      </c>
      <c r="E1378" s="234">
        <v>224451.41</v>
      </c>
    </row>
    <row r="1379" spans="2:5">
      <c r="B1379" s="232" t="s">
        <v>2418</v>
      </c>
      <c r="C1379" s="233" t="s">
        <v>1212</v>
      </c>
      <c r="D1379" s="234">
        <v>254239.82</v>
      </c>
      <c r="E1379" s="234">
        <v>252079.82</v>
      </c>
    </row>
    <row r="1380" spans="2:5">
      <c r="B1380" s="232" t="s">
        <v>2419</v>
      </c>
      <c r="C1380" s="233" t="s">
        <v>1212</v>
      </c>
      <c r="D1380" s="234">
        <v>1211577.99</v>
      </c>
      <c r="E1380" s="234">
        <v>1138437.83</v>
      </c>
    </row>
    <row r="1381" spans="2:5">
      <c r="B1381" s="232" t="s">
        <v>2420</v>
      </c>
      <c r="C1381" s="233" t="s">
        <v>1212</v>
      </c>
      <c r="D1381" s="234">
        <v>1172267.58</v>
      </c>
      <c r="E1381" s="234">
        <v>1025134.72</v>
      </c>
    </row>
    <row r="1382" spans="2:5">
      <c r="B1382" s="232" t="s">
        <v>2421</v>
      </c>
      <c r="C1382" s="233" t="s">
        <v>1212</v>
      </c>
      <c r="D1382" s="234">
        <v>1163230.74</v>
      </c>
      <c r="E1382" s="234">
        <v>909933.74</v>
      </c>
    </row>
    <row r="1383" spans="2:5">
      <c r="B1383" s="232" t="s">
        <v>2422</v>
      </c>
      <c r="C1383" s="233" t="s">
        <v>1212</v>
      </c>
      <c r="D1383" s="234">
        <v>1290445.25</v>
      </c>
      <c r="E1383" s="234">
        <v>1008099.99</v>
      </c>
    </row>
    <row r="1384" spans="2:5">
      <c r="B1384" s="232" t="s">
        <v>2423</v>
      </c>
      <c r="C1384" s="233" t="s">
        <v>1212</v>
      </c>
      <c r="D1384" s="234">
        <v>1139609.8899999999</v>
      </c>
      <c r="E1384" s="234">
        <v>849033.62</v>
      </c>
    </row>
    <row r="1385" spans="2:5">
      <c r="B1385" s="232" t="s">
        <v>2424</v>
      </c>
      <c r="C1385" s="233" t="s">
        <v>1212</v>
      </c>
      <c r="D1385" s="234">
        <v>1131651.83</v>
      </c>
      <c r="E1385" s="234">
        <v>1200876.3799999999</v>
      </c>
    </row>
    <row r="1386" spans="2:5">
      <c r="B1386" s="232" t="s">
        <v>2425</v>
      </c>
      <c r="C1386" s="233" t="s">
        <v>1212</v>
      </c>
      <c r="D1386" s="234">
        <v>316514</v>
      </c>
      <c r="E1386" s="234">
        <v>339664.34</v>
      </c>
    </row>
    <row r="1387" spans="2:5">
      <c r="B1387" s="232" t="s">
        <v>2426</v>
      </c>
      <c r="C1387" s="233" t="s">
        <v>1212</v>
      </c>
      <c r="D1387" s="234">
        <v>281075.77</v>
      </c>
      <c r="E1387" s="234">
        <v>281142.39</v>
      </c>
    </row>
    <row r="1388" spans="2:5">
      <c r="B1388" s="232" t="s">
        <v>2427</v>
      </c>
      <c r="C1388" s="233" t="s">
        <v>1212</v>
      </c>
      <c r="D1388" s="234">
        <v>321314.36</v>
      </c>
      <c r="E1388" s="234">
        <v>273264.28999999998</v>
      </c>
    </row>
    <row r="1389" spans="2:5">
      <c r="B1389" s="232" t="s">
        <v>2428</v>
      </c>
      <c r="C1389" s="233" t="s">
        <v>1212</v>
      </c>
      <c r="D1389" s="234">
        <v>333229.67</v>
      </c>
      <c r="E1389" s="234">
        <v>402417.77</v>
      </c>
    </row>
    <row r="1390" spans="2:5">
      <c r="B1390" s="232" t="s">
        <v>2429</v>
      </c>
      <c r="C1390" s="233" t="s">
        <v>1212</v>
      </c>
      <c r="D1390" s="234">
        <v>286833.65999999997</v>
      </c>
      <c r="E1390" s="234">
        <v>317250.25</v>
      </c>
    </row>
    <row r="1391" spans="2:5">
      <c r="B1391" s="232" t="s">
        <v>2430</v>
      </c>
      <c r="C1391" s="233" t="s">
        <v>1212</v>
      </c>
      <c r="D1391" s="234">
        <v>301754.82</v>
      </c>
      <c r="E1391" s="234">
        <v>332041.73</v>
      </c>
    </row>
    <row r="1392" spans="2:5">
      <c r="B1392" s="232" t="s">
        <v>2431</v>
      </c>
      <c r="C1392" s="233" t="s">
        <v>1212</v>
      </c>
      <c r="D1392" s="234">
        <v>135223.20000000001</v>
      </c>
      <c r="E1392" s="234">
        <v>138339.04999999999</v>
      </c>
    </row>
    <row r="1393" spans="2:5">
      <c r="B1393" s="232" t="s">
        <v>2432</v>
      </c>
      <c r="C1393" s="233" t="s">
        <v>1212</v>
      </c>
      <c r="D1393" s="234">
        <v>136195.09</v>
      </c>
      <c r="E1393" s="234">
        <v>133339.26</v>
      </c>
    </row>
    <row r="1394" spans="2:5">
      <c r="B1394" s="232" t="s">
        <v>2433</v>
      </c>
      <c r="C1394" s="233" t="s">
        <v>1212</v>
      </c>
      <c r="D1394" s="234">
        <v>132145.29999999999</v>
      </c>
      <c r="E1394" s="234">
        <v>147236.56</v>
      </c>
    </row>
    <row r="1395" spans="2:5">
      <c r="B1395" s="232" t="s">
        <v>2434</v>
      </c>
      <c r="C1395" s="233" t="s">
        <v>1212</v>
      </c>
      <c r="D1395" s="234">
        <v>137747.03</v>
      </c>
      <c r="E1395" s="234">
        <v>157134.03</v>
      </c>
    </row>
    <row r="1396" spans="2:5">
      <c r="B1396" s="232" t="s">
        <v>2435</v>
      </c>
      <c r="C1396" s="233" t="s">
        <v>1212</v>
      </c>
      <c r="D1396" s="234">
        <v>162361.78</v>
      </c>
      <c r="E1396" s="234">
        <v>137841.01</v>
      </c>
    </row>
    <row r="1397" spans="2:5">
      <c r="B1397" s="232" t="s">
        <v>2436</v>
      </c>
      <c r="C1397" s="233" t="s">
        <v>1212</v>
      </c>
      <c r="D1397" s="234">
        <v>160905.89000000001</v>
      </c>
      <c r="E1397" s="234">
        <v>168929.42</v>
      </c>
    </row>
    <row r="1398" spans="2:5">
      <c r="B1398" s="232" t="s">
        <v>2437</v>
      </c>
      <c r="C1398" s="233" t="s">
        <v>1212</v>
      </c>
      <c r="D1398" s="234">
        <v>31568.78</v>
      </c>
      <c r="E1398" s="234">
        <v>34715.03</v>
      </c>
    </row>
    <row r="1399" spans="2:5">
      <c r="B1399" s="232" t="s">
        <v>2438</v>
      </c>
      <c r="C1399" s="233" t="s">
        <v>1212</v>
      </c>
      <c r="D1399" s="234">
        <v>34493.69</v>
      </c>
      <c r="E1399" s="234">
        <v>29804.57</v>
      </c>
    </row>
    <row r="1400" spans="2:5">
      <c r="B1400" s="232" t="s">
        <v>2439</v>
      </c>
      <c r="C1400" s="233" t="s">
        <v>1212</v>
      </c>
      <c r="D1400" s="234">
        <v>45332.63</v>
      </c>
      <c r="E1400" s="234">
        <v>37064.07</v>
      </c>
    </row>
    <row r="1401" spans="2:5">
      <c r="B1401" s="232" t="s">
        <v>2440</v>
      </c>
      <c r="C1401" s="233" t="s">
        <v>1212</v>
      </c>
      <c r="D1401" s="234">
        <v>44900.45</v>
      </c>
      <c r="E1401" s="234">
        <v>30184.78</v>
      </c>
    </row>
    <row r="1402" spans="2:5">
      <c r="B1402" s="232" t="s">
        <v>2441</v>
      </c>
      <c r="C1402" s="233" t="s">
        <v>1212</v>
      </c>
      <c r="D1402" s="234">
        <v>220572.19</v>
      </c>
      <c r="E1402" s="234">
        <v>205013.66</v>
      </c>
    </row>
    <row r="1403" spans="2:5">
      <c r="B1403" s="232" t="s">
        <v>2442</v>
      </c>
      <c r="C1403" s="233" t="s">
        <v>1212</v>
      </c>
      <c r="D1403" s="234">
        <v>202458.09</v>
      </c>
      <c r="E1403" s="234">
        <v>194658.68</v>
      </c>
    </row>
    <row r="1404" spans="2:5">
      <c r="B1404" s="232" t="s">
        <v>2443</v>
      </c>
      <c r="C1404" s="233" t="s">
        <v>1212</v>
      </c>
      <c r="D1404" s="234">
        <v>181342.52</v>
      </c>
      <c r="E1404" s="234">
        <v>210495.35</v>
      </c>
    </row>
    <row r="1405" spans="2:5">
      <c r="B1405" s="232" t="s">
        <v>2444</v>
      </c>
      <c r="C1405" s="233" t="s">
        <v>1212</v>
      </c>
      <c r="D1405" s="234">
        <v>180666.56</v>
      </c>
      <c r="E1405" s="234">
        <v>206505.96</v>
      </c>
    </row>
    <row r="1406" spans="2:5">
      <c r="B1406" s="232" t="s">
        <v>2445</v>
      </c>
      <c r="C1406" s="233" t="s">
        <v>1212</v>
      </c>
      <c r="D1406" s="234">
        <v>253275.03</v>
      </c>
      <c r="E1406" s="234">
        <v>200223.56</v>
      </c>
    </row>
    <row r="1407" spans="2:5">
      <c r="B1407" s="232" t="s">
        <v>2446</v>
      </c>
      <c r="C1407" s="233" t="s">
        <v>1212</v>
      </c>
      <c r="D1407" s="234">
        <v>190684.87</v>
      </c>
      <c r="E1407" s="234">
        <v>216425.48</v>
      </c>
    </row>
    <row r="1408" spans="2:5">
      <c r="B1408" s="232" t="s">
        <v>2447</v>
      </c>
      <c r="C1408" s="233" t="s">
        <v>1212</v>
      </c>
      <c r="D1408" s="234">
        <v>206300.6</v>
      </c>
      <c r="E1408" s="234">
        <v>171580.26</v>
      </c>
    </row>
    <row r="1409" spans="2:5">
      <c r="B1409" s="232" t="s">
        <v>2448</v>
      </c>
      <c r="C1409" s="233" t="s">
        <v>1212</v>
      </c>
      <c r="D1409" s="234">
        <v>307386.08</v>
      </c>
      <c r="E1409" s="234">
        <v>285513.40999999997</v>
      </c>
    </row>
    <row r="1410" spans="2:5">
      <c r="B1410" s="232" t="s">
        <v>2449</v>
      </c>
      <c r="C1410" s="233" t="s">
        <v>1212</v>
      </c>
      <c r="D1410" s="234">
        <v>323298.38</v>
      </c>
      <c r="E1410" s="234">
        <v>197285.55</v>
      </c>
    </row>
    <row r="1411" spans="2:5">
      <c r="B1411" s="232" t="s">
        <v>2450</v>
      </c>
      <c r="C1411" s="233" t="s">
        <v>1212</v>
      </c>
      <c r="D1411" s="234">
        <v>209098.41</v>
      </c>
      <c r="E1411" s="234">
        <v>210716.61</v>
      </c>
    </row>
    <row r="1412" spans="2:5">
      <c r="B1412" s="232" t="s">
        <v>2451</v>
      </c>
      <c r="C1412" s="233" t="s">
        <v>1212</v>
      </c>
      <c r="D1412" s="234">
        <v>379602.75</v>
      </c>
      <c r="E1412" s="234">
        <v>283562.58</v>
      </c>
    </row>
    <row r="1413" spans="2:5">
      <c r="B1413" s="232" t="s">
        <v>2452</v>
      </c>
      <c r="C1413" s="233" t="s">
        <v>1212</v>
      </c>
      <c r="D1413" s="234">
        <v>256089.14</v>
      </c>
      <c r="E1413" s="234">
        <v>177840.18</v>
      </c>
    </row>
    <row r="1414" spans="2:5">
      <c r="B1414" s="232" t="s">
        <v>2453</v>
      </c>
      <c r="C1414" s="233" t="s">
        <v>1212</v>
      </c>
      <c r="D1414" s="234">
        <v>329753.2</v>
      </c>
      <c r="E1414" s="234">
        <v>304347.46000000002</v>
      </c>
    </row>
    <row r="1415" spans="2:5">
      <c r="B1415" s="232" t="s">
        <v>2454</v>
      </c>
      <c r="C1415" s="233" t="s">
        <v>1212</v>
      </c>
      <c r="D1415" s="234">
        <v>258849.07</v>
      </c>
      <c r="E1415" s="234">
        <v>297622.94</v>
      </c>
    </row>
    <row r="1416" spans="2:5">
      <c r="B1416" s="232" t="s">
        <v>2455</v>
      </c>
      <c r="C1416" s="233" t="s">
        <v>1212</v>
      </c>
      <c r="D1416" s="234">
        <v>399776.31</v>
      </c>
      <c r="E1416" s="234">
        <v>190138.5</v>
      </c>
    </row>
    <row r="1417" spans="2:5">
      <c r="B1417" s="232" t="s">
        <v>2456</v>
      </c>
      <c r="C1417" s="233" t="s">
        <v>1212</v>
      </c>
      <c r="D1417" s="234">
        <v>2107545.35</v>
      </c>
      <c r="E1417" s="234">
        <v>2049145.51</v>
      </c>
    </row>
    <row r="1418" spans="2:5">
      <c r="B1418" s="232" t="s">
        <v>2457</v>
      </c>
      <c r="C1418" s="233" t="s">
        <v>1212</v>
      </c>
      <c r="D1418" s="234">
        <v>2331288.66</v>
      </c>
      <c r="E1418" s="234">
        <v>2758455.27</v>
      </c>
    </row>
    <row r="1419" spans="2:5">
      <c r="B1419" s="232" t="s">
        <v>2458</v>
      </c>
      <c r="C1419" s="233" t="s">
        <v>1212</v>
      </c>
      <c r="D1419" s="234">
        <v>2343064.63</v>
      </c>
      <c r="E1419" s="234">
        <v>2194585.09</v>
      </c>
    </row>
    <row r="1420" spans="2:5">
      <c r="B1420" s="232" t="s">
        <v>2459</v>
      </c>
      <c r="C1420" s="233" t="s">
        <v>1212</v>
      </c>
      <c r="D1420" s="234">
        <v>2425528.3199999998</v>
      </c>
      <c r="E1420" s="234">
        <v>2005433.65</v>
      </c>
    </row>
    <row r="1421" spans="2:5">
      <c r="B1421" s="232" t="s">
        <v>2460</v>
      </c>
      <c r="C1421" s="233" t="s">
        <v>1212</v>
      </c>
      <c r="D1421" s="234">
        <v>1973945.77</v>
      </c>
      <c r="E1421" s="234">
        <v>2326392.65</v>
      </c>
    </row>
    <row r="1422" spans="2:5">
      <c r="B1422" s="232" t="s">
        <v>2461</v>
      </c>
      <c r="C1422" s="233" t="s">
        <v>1212</v>
      </c>
      <c r="D1422" s="234">
        <v>2185753.08</v>
      </c>
      <c r="E1422" s="234">
        <v>2582903.83</v>
      </c>
    </row>
    <row r="1423" spans="2:5">
      <c r="B1423" s="232" t="s">
        <v>2462</v>
      </c>
      <c r="C1423" s="233" t="s">
        <v>1212</v>
      </c>
      <c r="D1423" s="234">
        <v>531975.23</v>
      </c>
      <c r="E1423" s="234">
        <v>471139</v>
      </c>
    </row>
    <row r="1424" spans="2:5">
      <c r="B1424" s="232" t="s">
        <v>2463</v>
      </c>
      <c r="C1424" s="233" t="s">
        <v>1212</v>
      </c>
      <c r="D1424" s="234">
        <v>544138.02</v>
      </c>
      <c r="E1424" s="234">
        <v>524972.68999999994</v>
      </c>
    </row>
    <row r="1425" spans="2:5">
      <c r="B1425" s="232" t="s">
        <v>2464</v>
      </c>
      <c r="C1425" s="233" t="s">
        <v>1212</v>
      </c>
      <c r="D1425" s="234">
        <v>445360.35</v>
      </c>
      <c r="E1425" s="234">
        <v>519092.85</v>
      </c>
    </row>
    <row r="1426" spans="2:5">
      <c r="B1426" s="232" t="s">
        <v>2465</v>
      </c>
      <c r="C1426" s="233" t="s">
        <v>1212</v>
      </c>
      <c r="D1426" s="234">
        <v>411467.53</v>
      </c>
      <c r="E1426" s="234">
        <v>451965.23</v>
      </c>
    </row>
    <row r="1427" spans="2:5">
      <c r="B1427" s="232" t="s">
        <v>2466</v>
      </c>
      <c r="C1427" s="233" t="s">
        <v>1212</v>
      </c>
      <c r="D1427" s="234">
        <v>509102.77</v>
      </c>
      <c r="E1427" s="234">
        <v>503329.49</v>
      </c>
    </row>
    <row r="1428" spans="2:5">
      <c r="B1428" s="232" t="s">
        <v>2467</v>
      </c>
      <c r="C1428" s="233" t="s">
        <v>1212</v>
      </c>
      <c r="D1428" s="234">
        <v>525308.59</v>
      </c>
      <c r="E1428" s="234">
        <v>463736.06</v>
      </c>
    </row>
    <row r="1429" spans="2:5">
      <c r="B1429" s="232" t="s">
        <v>2468</v>
      </c>
      <c r="C1429" s="233" t="s">
        <v>1212</v>
      </c>
      <c r="D1429" s="234">
        <v>534061.1</v>
      </c>
      <c r="E1429" s="234">
        <v>466222.38</v>
      </c>
    </row>
    <row r="1430" spans="2:5">
      <c r="B1430" s="232" t="s">
        <v>2469</v>
      </c>
      <c r="C1430" s="233" t="s">
        <v>1212</v>
      </c>
      <c r="D1430" s="234">
        <v>633290.57999999996</v>
      </c>
      <c r="E1430" s="234">
        <v>480994.79</v>
      </c>
    </row>
    <row r="1431" spans="2:5">
      <c r="B1431" s="232" t="s">
        <v>2470</v>
      </c>
      <c r="C1431" s="233" t="s">
        <v>1212</v>
      </c>
      <c r="D1431" s="234">
        <v>510885.74</v>
      </c>
      <c r="E1431" s="234">
        <v>553517.35</v>
      </c>
    </row>
    <row r="1432" spans="2:5">
      <c r="B1432" s="232" t="s">
        <v>2471</v>
      </c>
      <c r="C1432" s="233" t="s">
        <v>1212</v>
      </c>
      <c r="D1432" s="234">
        <v>516264.58</v>
      </c>
      <c r="E1432" s="234">
        <v>554660.35</v>
      </c>
    </row>
    <row r="1433" spans="2:5">
      <c r="B1433" s="232" t="s">
        <v>2472</v>
      </c>
      <c r="C1433" s="233" t="s">
        <v>1212</v>
      </c>
      <c r="D1433" s="234">
        <v>493930.36</v>
      </c>
      <c r="E1433" s="234">
        <v>463703.41</v>
      </c>
    </row>
    <row r="1434" spans="2:5">
      <c r="B1434" s="232" t="s">
        <v>2473</v>
      </c>
      <c r="C1434" s="233" t="s">
        <v>1212</v>
      </c>
      <c r="D1434" s="234">
        <v>607140.62</v>
      </c>
      <c r="E1434" s="234">
        <v>494953.29</v>
      </c>
    </row>
    <row r="1435" spans="2:5">
      <c r="B1435" s="232" t="s">
        <v>2474</v>
      </c>
      <c r="C1435" s="233" t="s">
        <v>1212</v>
      </c>
      <c r="D1435" s="234">
        <v>588634.17000000004</v>
      </c>
      <c r="E1435" s="234">
        <v>446333.98</v>
      </c>
    </row>
    <row r="1436" spans="2:5">
      <c r="B1436" s="232" t="s">
        <v>2475</v>
      </c>
      <c r="C1436" s="233" t="s">
        <v>1212</v>
      </c>
      <c r="D1436" s="234">
        <v>530076.17000000004</v>
      </c>
      <c r="E1436" s="234">
        <v>480856.8</v>
      </c>
    </row>
    <row r="1437" spans="2:5">
      <c r="B1437" s="232" t="s">
        <v>2476</v>
      </c>
      <c r="C1437" s="233" t="s">
        <v>1212</v>
      </c>
      <c r="D1437" s="234">
        <v>375182.86</v>
      </c>
      <c r="E1437" s="234">
        <v>309978.68</v>
      </c>
    </row>
    <row r="1438" spans="2:5">
      <c r="B1438" s="232" t="s">
        <v>2477</v>
      </c>
      <c r="C1438" s="233" t="s">
        <v>1212</v>
      </c>
      <c r="D1438" s="234">
        <v>409559.75</v>
      </c>
      <c r="E1438" s="234">
        <v>413878.43</v>
      </c>
    </row>
    <row r="1439" spans="2:5">
      <c r="B1439" s="232" t="s">
        <v>2478</v>
      </c>
      <c r="C1439" s="233" t="s">
        <v>1212</v>
      </c>
      <c r="D1439" s="234">
        <v>391737.8</v>
      </c>
      <c r="E1439" s="234">
        <v>321470.51</v>
      </c>
    </row>
    <row r="1440" spans="2:5">
      <c r="B1440" s="232" t="s">
        <v>2479</v>
      </c>
      <c r="C1440" s="233" t="s">
        <v>1212</v>
      </c>
      <c r="D1440" s="234">
        <v>340115.77</v>
      </c>
      <c r="E1440" s="234">
        <v>386531.72</v>
      </c>
    </row>
    <row r="1441" spans="2:5">
      <c r="B1441" s="232" t="s">
        <v>2480</v>
      </c>
      <c r="C1441" s="233" t="s">
        <v>1212</v>
      </c>
      <c r="D1441" s="234">
        <v>394538.04</v>
      </c>
      <c r="E1441" s="234">
        <v>345785.27</v>
      </c>
    </row>
    <row r="1442" spans="2:5">
      <c r="B1442" s="232" t="s">
        <v>2481</v>
      </c>
      <c r="C1442" s="233" t="s">
        <v>1212</v>
      </c>
      <c r="D1442" s="234">
        <v>350074.37</v>
      </c>
      <c r="E1442" s="234">
        <v>400104.01</v>
      </c>
    </row>
    <row r="1443" spans="2:5">
      <c r="B1443" s="232" t="s">
        <v>2482</v>
      </c>
      <c r="C1443" s="233" t="s">
        <v>1212</v>
      </c>
      <c r="D1443" s="234">
        <v>428131.06</v>
      </c>
      <c r="E1443" s="234">
        <v>372510.8</v>
      </c>
    </row>
    <row r="1444" spans="2:5">
      <c r="B1444" s="232" t="s">
        <v>2483</v>
      </c>
      <c r="C1444" s="233" t="s">
        <v>1212</v>
      </c>
      <c r="D1444" s="234">
        <v>458401.26</v>
      </c>
      <c r="E1444" s="234">
        <v>360501.32</v>
      </c>
    </row>
    <row r="1445" spans="2:5">
      <c r="B1445" s="232" t="s">
        <v>2484</v>
      </c>
      <c r="C1445" s="233" t="s">
        <v>1212</v>
      </c>
      <c r="D1445" s="234"/>
      <c r="E1445" s="234">
        <v>11277.18</v>
      </c>
    </row>
    <row r="1446" spans="2:5">
      <c r="B1446" s="232" t="s">
        <v>2485</v>
      </c>
      <c r="C1446" s="233" t="s">
        <v>1212</v>
      </c>
      <c r="D1446" s="234"/>
      <c r="E1446" s="234">
        <v>11277.18</v>
      </c>
    </row>
    <row r="1447" spans="2:5">
      <c r="B1447" s="232" t="s">
        <v>2486</v>
      </c>
      <c r="C1447" s="233" t="s">
        <v>1212</v>
      </c>
      <c r="D1447" s="234"/>
      <c r="E1447" s="234">
        <v>13916.52</v>
      </c>
    </row>
    <row r="1448" spans="2:5">
      <c r="B1448" s="232" t="s">
        <v>2487</v>
      </c>
      <c r="C1448" s="233" t="s">
        <v>1212</v>
      </c>
      <c r="D1448" s="234"/>
      <c r="E1448" s="234">
        <v>15116.22</v>
      </c>
    </row>
    <row r="1449" spans="2:5">
      <c r="B1449" s="232" t="s">
        <v>2488</v>
      </c>
      <c r="C1449" s="233" t="s">
        <v>1212</v>
      </c>
      <c r="D1449" s="234">
        <v>45276</v>
      </c>
      <c r="E1449" s="234">
        <v>33823.800000000003</v>
      </c>
    </row>
    <row r="1450" spans="2:5">
      <c r="B1450" s="232" t="s">
        <v>2489</v>
      </c>
      <c r="C1450" s="233" t="s">
        <v>1212</v>
      </c>
      <c r="D1450" s="234">
        <v>49333.2</v>
      </c>
      <c r="E1450" s="234">
        <v>39126</v>
      </c>
    </row>
    <row r="1451" spans="2:5">
      <c r="B1451" s="232" t="s">
        <v>2490</v>
      </c>
      <c r="C1451" s="233" t="s">
        <v>1212</v>
      </c>
      <c r="D1451" s="234">
        <v>44163</v>
      </c>
      <c r="E1451" s="234">
        <v>43255.199999999997</v>
      </c>
    </row>
    <row r="1452" spans="2:5">
      <c r="B1452" s="232" t="s">
        <v>2491</v>
      </c>
      <c r="C1452" s="233" t="s">
        <v>1212</v>
      </c>
      <c r="D1452" s="234">
        <v>41768.400000000001</v>
      </c>
      <c r="E1452" s="234">
        <v>49274.1</v>
      </c>
    </row>
    <row r="1453" spans="2:5">
      <c r="B1453" s="232" t="s">
        <v>2492</v>
      </c>
      <c r="C1453" s="233" t="s">
        <v>1212</v>
      </c>
      <c r="D1453" s="234">
        <v>10914.54</v>
      </c>
      <c r="E1453" s="234">
        <v>13313.34</v>
      </c>
    </row>
    <row r="1454" spans="2:5">
      <c r="B1454" s="232" t="s">
        <v>2493</v>
      </c>
      <c r="C1454" s="233" t="s">
        <v>1212</v>
      </c>
      <c r="D1454" s="234">
        <v>16951.52</v>
      </c>
      <c r="E1454" s="234">
        <v>12353.82</v>
      </c>
    </row>
    <row r="1455" spans="2:5">
      <c r="B1455" s="232" t="s">
        <v>2494</v>
      </c>
      <c r="C1455" s="233" t="s">
        <v>1212</v>
      </c>
      <c r="D1455" s="234">
        <v>12193.9</v>
      </c>
      <c r="E1455" s="234">
        <v>15352.32</v>
      </c>
    </row>
    <row r="1456" spans="2:5">
      <c r="B1456" s="232" t="s">
        <v>2495</v>
      </c>
      <c r="C1456" s="233" t="s">
        <v>1212</v>
      </c>
      <c r="D1456" s="234">
        <v>17951.02</v>
      </c>
      <c r="E1456" s="234">
        <v>17631.18</v>
      </c>
    </row>
    <row r="1457" spans="2:5">
      <c r="B1457" s="232" t="s">
        <v>2496</v>
      </c>
      <c r="C1457" s="233" t="s">
        <v>1212</v>
      </c>
      <c r="D1457" s="234">
        <v>137172.51</v>
      </c>
      <c r="E1457" s="234">
        <v>187634.26</v>
      </c>
    </row>
    <row r="1458" spans="2:5">
      <c r="B1458" s="232" t="s">
        <v>2497</v>
      </c>
      <c r="C1458" s="233" t="s">
        <v>1212</v>
      </c>
      <c r="D1458" s="234">
        <v>145487.79</v>
      </c>
      <c r="E1458" s="234">
        <v>175086.97</v>
      </c>
    </row>
    <row r="1459" spans="2:5">
      <c r="B1459" s="232" t="s">
        <v>2498</v>
      </c>
      <c r="C1459" s="233" t="s">
        <v>1212</v>
      </c>
      <c r="D1459" s="234">
        <v>130639.07</v>
      </c>
      <c r="E1459" s="234">
        <v>160818.93</v>
      </c>
    </row>
    <row r="1460" spans="2:5">
      <c r="B1460" s="232" t="s">
        <v>2499</v>
      </c>
      <c r="C1460" s="233" t="s">
        <v>1212</v>
      </c>
      <c r="D1460" s="234">
        <v>166258.07</v>
      </c>
      <c r="E1460" s="234">
        <v>154952.62</v>
      </c>
    </row>
    <row r="1461" spans="2:5">
      <c r="B1461" s="232" t="s">
        <v>2500</v>
      </c>
      <c r="C1461" s="233" t="s">
        <v>1212</v>
      </c>
      <c r="D1461" s="234">
        <v>158415.57</v>
      </c>
      <c r="E1461" s="234">
        <v>175619.72</v>
      </c>
    </row>
    <row r="1462" spans="2:5">
      <c r="B1462" s="232" t="s">
        <v>2501</v>
      </c>
      <c r="C1462" s="233" t="s">
        <v>1212</v>
      </c>
      <c r="D1462" s="234">
        <v>141313.22</v>
      </c>
      <c r="E1462" s="234">
        <v>141978.22</v>
      </c>
    </row>
    <row r="1463" spans="2:5">
      <c r="B1463" s="232" t="s">
        <v>2502</v>
      </c>
      <c r="C1463" s="233" t="s">
        <v>1212</v>
      </c>
      <c r="D1463" s="234">
        <v>142421.85</v>
      </c>
      <c r="E1463" s="234">
        <v>178389.6</v>
      </c>
    </row>
    <row r="1464" spans="2:5">
      <c r="B1464" s="232" t="s">
        <v>2503</v>
      </c>
      <c r="C1464" s="233" t="s">
        <v>1212</v>
      </c>
      <c r="D1464" s="234">
        <v>183469.76</v>
      </c>
      <c r="E1464" s="234">
        <v>137778.25</v>
      </c>
    </row>
    <row r="1465" spans="2:5">
      <c r="B1465" s="232" t="s">
        <v>2504</v>
      </c>
      <c r="C1465" s="233" t="s">
        <v>1212</v>
      </c>
      <c r="D1465" s="234">
        <v>167811.25</v>
      </c>
      <c r="E1465" s="234">
        <v>183199.49</v>
      </c>
    </row>
    <row r="1466" spans="2:5">
      <c r="B1466" s="232" t="s">
        <v>2505</v>
      </c>
      <c r="C1466" s="233" t="s">
        <v>1212</v>
      </c>
      <c r="D1466" s="234">
        <v>143707.94</v>
      </c>
      <c r="E1466" s="234">
        <v>137787.43</v>
      </c>
    </row>
    <row r="1467" spans="2:5">
      <c r="B1467" s="232" t="s">
        <v>2506</v>
      </c>
      <c r="C1467" s="233" t="s">
        <v>1212</v>
      </c>
      <c r="D1467" s="234">
        <v>1060957.98</v>
      </c>
      <c r="E1467" s="234">
        <v>827911.26</v>
      </c>
    </row>
    <row r="1468" spans="2:5">
      <c r="B1468" s="232" t="s">
        <v>2507</v>
      </c>
      <c r="C1468" s="233" t="s">
        <v>1212</v>
      </c>
      <c r="D1468" s="234">
        <v>1005143.85</v>
      </c>
      <c r="E1468" s="234">
        <v>857581.56</v>
      </c>
    </row>
    <row r="1469" spans="2:5">
      <c r="B1469" s="232" t="s">
        <v>2508</v>
      </c>
      <c r="C1469" s="233" t="s">
        <v>1212</v>
      </c>
      <c r="D1469" s="234">
        <v>711288</v>
      </c>
      <c r="E1469" s="234">
        <v>861098.04</v>
      </c>
    </row>
    <row r="1470" spans="2:5">
      <c r="B1470" s="232" t="s">
        <v>2509</v>
      </c>
      <c r="C1470" s="233" t="s">
        <v>1212</v>
      </c>
      <c r="D1470" s="234">
        <v>1103934.96</v>
      </c>
      <c r="E1470" s="234">
        <v>915044.04</v>
      </c>
    </row>
    <row r="1471" spans="2:5">
      <c r="B1471" s="232" t="s">
        <v>2510</v>
      </c>
      <c r="C1471" s="233" t="s">
        <v>1212</v>
      </c>
      <c r="D1471" s="234">
        <v>1530418.89</v>
      </c>
      <c r="E1471" s="234">
        <v>1744221.18</v>
      </c>
    </row>
    <row r="1472" spans="2:5">
      <c r="B1472" s="232" t="s">
        <v>2511</v>
      </c>
      <c r="C1472" s="233" t="s">
        <v>1212</v>
      </c>
      <c r="D1472" s="234">
        <v>1876618.38</v>
      </c>
      <c r="E1472" s="234">
        <v>1791327.72</v>
      </c>
    </row>
    <row r="1473" spans="2:5">
      <c r="B1473" s="232" t="s">
        <v>2512</v>
      </c>
      <c r="C1473" s="233" t="s">
        <v>1212</v>
      </c>
      <c r="D1473" s="234">
        <v>2193060.48</v>
      </c>
      <c r="E1473" s="234">
        <v>1470664.26</v>
      </c>
    </row>
    <row r="1474" spans="2:5">
      <c r="B1474" s="232" t="s">
        <v>2513</v>
      </c>
      <c r="C1474" s="233" t="s">
        <v>1212</v>
      </c>
      <c r="D1474" s="234">
        <v>1543946.43</v>
      </c>
      <c r="E1474" s="234">
        <v>1760083.26</v>
      </c>
    </row>
    <row r="1475" spans="2:5">
      <c r="B1475" s="232" t="s">
        <v>2514</v>
      </c>
      <c r="C1475" s="233" t="s">
        <v>1212</v>
      </c>
      <c r="D1475" s="234">
        <v>690349.14</v>
      </c>
      <c r="E1475" s="234">
        <v>1609693.56</v>
      </c>
    </row>
    <row r="1476" spans="2:5">
      <c r="B1476" s="232" t="s">
        <v>2515</v>
      </c>
      <c r="C1476" s="233" t="s">
        <v>1212</v>
      </c>
      <c r="D1476" s="234">
        <v>680295.6</v>
      </c>
      <c r="E1476" s="234">
        <v>1590204.6</v>
      </c>
    </row>
    <row r="1477" spans="2:5">
      <c r="B1477" s="232" t="s">
        <v>2516</v>
      </c>
      <c r="C1477" s="233" t="s">
        <v>1212</v>
      </c>
      <c r="D1477" s="234">
        <v>709056.36</v>
      </c>
      <c r="E1477" s="234">
        <v>2079755.64</v>
      </c>
    </row>
    <row r="1478" spans="2:5">
      <c r="B1478" s="232" t="s">
        <v>2517</v>
      </c>
      <c r="C1478" s="233" t="s">
        <v>1212</v>
      </c>
      <c r="D1478" s="234">
        <v>909072.72</v>
      </c>
      <c r="E1478" s="234">
        <v>1663542.72</v>
      </c>
    </row>
    <row r="1479" spans="2:5">
      <c r="B1479" s="232" t="s">
        <v>2518</v>
      </c>
      <c r="C1479" s="233" t="s">
        <v>1212</v>
      </c>
      <c r="D1479" s="234">
        <v>236691</v>
      </c>
      <c r="E1479" s="234">
        <v>202878</v>
      </c>
    </row>
    <row r="1480" spans="2:5">
      <c r="B1480" s="232" t="s">
        <v>2519</v>
      </c>
      <c r="C1480" s="233" t="s">
        <v>1212</v>
      </c>
      <c r="D1480" s="234">
        <v>226746</v>
      </c>
      <c r="E1480" s="234">
        <v>226746</v>
      </c>
    </row>
    <row r="1481" spans="2:5">
      <c r="B1481" s="232" t="s">
        <v>2520</v>
      </c>
      <c r="C1481" s="233" t="s">
        <v>1212</v>
      </c>
      <c r="D1481" s="234">
        <v>171054</v>
      </c>
      <c r="E1481" s="234">
        <v>240669</v>
      </c>
    </row>
    <row r="1482" spans="2:5">
      <c r="B1482" s="232" t="s">
        <v>2521</v>
      </c>
      <c r="C1482" s="233" t="s">
        <v>1212</v>
      </c>
      <c r="D1482" s="234">
        <v>222768</v>
      </c>
      <c r="E1482" s="234">
        <v>169065</v>
      </c>
    </row>
    <row r="1483" spans="2:5">
      <c r="B1483" s="232" t="s">
        <v>2522</v>
      </c>
      <c r="C1483" s="233" t="s">
        <v>1212</v>
      </c>
      <c r="D1483" s="234"/>
      <c r="E1483" s="234">
        <v>172380</v>
      </c>
    </row>
    <row r="1484" spans="2:5">
      <c r="B1484" s="232" t="s">
        <v>2523</v>
      </c>
      <c r="C1484" s="233" t="s">
        <v>1212</v>
      </c>
      <c r="D1484" s="234"/>
      <c r="E1484" s="234">
        <v>193596</v>
      </c>
    </row>
    <row r="1485" spans="2:5">
      <c r="B1485" s="232" t="s">
        <v>2524</v>
      </c>
      <c r="C1485" s="233" t="s">
        <v>1212</v>
      </c>
      <c r="D1485" s="234"/>
      <c r="E1485" s="234">
        <v>172380</v>
      </c>
    </row>
    <row r="1486" spans="2:5">
      <c r="B1486" s="232" t="s">
        <v>2525</v>
      </c>
      <c r="C1486" s="233" t="s">
        <v>1212</v>
      </c>
      <c r="D1486" s="234"/>
      <c r="E1486" s="234">
        <v>116688</v>
      </c>
    </row>
    <row r="1487" spans="2:5">
      <c r="B1487" s="232" t="s">
        <v>2526</v>
      </c>
      <c r="C1487" s="233" t="s">
        <v>2527</v>
      </c>
      <c r="D1487" s="234">
        <v>32765.040000000001</v>
      </c>
      <c r="E1487" s="234">
        <v>22950.54</v>
      </c>
    </row>
    <row r="1488" spans="2:5">
      <c r="B1488" s="232" t="s">
        <v>2528</v>
      </c>
      <c r="C1488" s="233" t="s">
        <v>2527</v>
      </c>
      <c r="D1488" s="234">
        <v>47438.720000000001</v>
      </c>
      <c r="E1488" s="234">
        <v>56471.68</v>
      </c>
    </row>
    <row r="1489" spans="2:5">
      <c r="B1489" s="232" t="s">
        <v>2529</v>
      </c>
      <c r="C1489" s="233" t="s">
        <v>2527</v>
      </c>
      <c r="D1489" s="234">
        <v>231035</v>
      </c>
      <c r="E1489" s="234">
        <v>154867.64000000001</v>
      </c>
    </row>
    <row r="1490" spans="2:5">
      <c r="B1490" s="232" t="s">
        <v>2530</v>
      </c>
      <c r="C1490" s="233" t="s">
        <v>2527</v>
      </c>
      <c r="D1490" s="234">
        <v>103307.16</v>
      </c>
      <c r="E1490" s="234">
        <v>89834.57</v>
      </c>
    </row>
    <row r="1491" spans="2:5">
      <c r="B1491" s="232" t="s">
        <v>2531</v>
      </c>
      <c r="C1491" s="233" t="s">
        <v>2527</v>
      </c>
      <c r="D1491" s="234">
        <v>56804.160000000003</v>
      </c>
      <c r="E1491" s="234">
        <v>58146.239999999998</v>
      </c>
    </row>
    <row r="1492" spans="2:5">
      <c r="B1492" s="232" t="s">
        <v>2532</v>
      </c>
      <c r="C1492" s="233" t="s">
        <v>2527</v>
      </c>
      <c r="D1492" s="234">
        <v>51108.800000000003</v>
      </c>
      <c r="E1492" s="234">
        <v>64613.440000000002</v>
      </c>
    </row>
    <row r="1493" spans="2:5">
      <c r="B1493" s="232" t="s">
        <v>2533</v>
      </c>
      <c r="C1493" s="233" t="s">
        <v>2527</v>
      </c>
      <c r="D1493" s="234">
        <v>29952</v>
      </c>
      <c r="E1493" s="234">
        <v>42962.400000000001</v>
      </c>
    </row>
    <row r="1494" spans="2:5">
      <c r="B1494" s="232" t="s">
        <v>2534</v>
      </c>
      <c r="C1494" s="233" t="s">
        <v>2527</v>
      </c>
      <c r="D1494" s="234">
        <v>53577.279999999999</v>
      </c>
      <c r="E1494" s="234">
        <v>59473.599999999999</v>
      </c>
    </row>
    <row r="1495" spans="2:5">
      <c r="B1495" s="232" t="s">
        <v>2535</v>
      </c>
      <c r="C1495" s="233" t="s">
        <v>2527</v>
      </c>
      <c r="D1495" s="234">
        <v>55295.92</v>
      </c>
      <c r="E1495" s="234">
        <v>44549.26</v>
      </c>
    </row>
    <row r="1496" spans="2:5">
      <c r="B1496" s="232" t="s">
        <v>2536</v>
      </c>
      <c r="C1496" s="233" t="s">
        <v>2527</v>
      </c>
      <c r="D1496" s="234">
        <v>84889.74</v>
      </c>
      <c r="E1496" s="234">
        <v>63631.83</v>
      </c>
    </row>
    <row r="1497" spans="2:5">
      <c r="B1497" s="232" t="s">
        <v>2537</v>
      </c>
      <c r="C1497" s="233" t="s">
        <v>2527</v>
      </c>
      <c r="D1497" s="234">
        <v>65226.96</v>
      </c>
      <c r="E1497" s="234">
        <v>54245.64</v>
      </c>
    </row>
    <row r="1498" spans="2:5">
      <c r="B1498" s="232" t="s">
        <v>2538</v>
      </c>
      <c r="C1498" s="233" t="s">
        <v>2527</v>
      </c>
      <c r="D1498" s="234">
        <v>60742.02</v>
      </c>
      <c r="E1498" s="234">
        <v>56101.7</v>
      </c>
    </row>
    <row r="1499" spans="2:5">
      <c r="B1499" s="232" t="s">
        <v>2539</v>
      </c>
      <c r="C1499" s="233" t="s">
        <v>2527</v>
      </c>
      <c r="D1499" s="234">
        <v>81795.28</v>
      </c>
      <c r="E1499" s="234">
        <v>72652.160000000003</v>
      </c>
    </row>
    <row r="1500" spans="2:5">
      <c r="B1500" s="232" t="s">
        <v>2540</v>
      </c>
      <c r="C1500" s="233" t="s">
        <v>2527</v>
      </c>
      <c r="D1500" s="234">
        <v>109813.74</v>
      </c>
      <c r="E1500" s="234">
        <v>113309.68</v>
      </c>
    </row>
    <row r="1501" spans="2:5">
      <c r="B1501" s="232" t="s">
        <v>2541</v>
      </c>
      <c r="C1501" s="233" t="s">
        <v>2527</v>
      </c>
      <c r="D1501" s="234">
        <v>84103.360000000001</v>
      </c>
      <c r="E1501" s="234">
        <v>113975.91</v>
      </c>
    </row>
    <row r="1502" spans="2:5">
      <c r="B1502" s="232" t="s">
        <v>2542</v>
      </c>
      <c r="C1502" s="233" t="s">
        <v>2527</v>
      </c>
      <c r="D1502" s="234">
        <v>54793.18</v>
      </c>
      <c r="E1502" s="234">
        <v>64371</v>
      </c>
    </row>
    <row r="1503" spans="2:5">
      <c r="B1503" s="232" t="s">
        <v>2543</v>
      </c>
      <c r="C1503" s="233" t="s">
        <v>2527</v>
      </c>
      <c r="D1503" s="234">
        <v>110466.62</v>
      </c>
      <c r="E1503" s="234">
        <v>126030.51</v>
      </c>
    </row>
    <row r="1504" spans="2:5">
      <c r="B1504" s="232" t="s">
        <v>2544</v>
      </c>
      <c r="C1504" s="233" t="s">
        <v>2527</v>
      </c>
      <c r="D1504" s="234">
        <v>54735.360000000001</v>
      </c>
      <c r="E1504" s="234">
        <v>45559.360000000001</v>
      </c>
    </row>
    <row r="1505" spans="2:5">
      <c r="B1505" s="232" t="s">
        <v>2545</v>
      </c>
      <c r="C1505" s="233" t="s">
        <v>2527</v>
      </c>
      <c r="D1505" s="234">
        <v>65413.760000000002</v>
      </c>
      <c r="E1505" s="234">
        <v>40710.080000000002</v>
      </c>
    </row>
    <row r="1506" spans="2:5">
      <c r="B1506" s="232" t="s">
        <v>2546</v>
      </c>
      <c r="C1506" s="233" t="s">
        <v>2527</v>
      </c>
      <c r="D1506" s="234">
        <v>44182.6</v>
      </c>
      <c r="E1506" s="234">
        <v>40763.519999999997</v>
      </c>
    </row>
    <row r="1507" spans="2:5">
      <c r="B1507" s="232" t="s">
        <v>2547</v>
      </c>
      <c r="C1507" s="233" t="s">
        <v>2527</v>
      </c>
      <c r="D1507" s="234">
        <v>71686.59</v>
      </c>
      <c r="E1507" s="234">
        <v>70203.95</v>
      </c>
    </row>
    <row r="1508" spans="2:5">
      <c r="B1508" s="232" t="s">
        <v>2548</v>
      </c>
      <c r="C1508" s="233" t="s">
        <v>2527</v>
      </c>
      <c r="D1508" s="234">
        <v>157114.25</v>
      </c>
      <c r="E1508" s="234">
        <v>120848.33</v>
      </c>
    </row>
    <row r="1509" spans="2:5">
      <c r="B1509" s="232" t="s">
        <v>2549</v>
      </c>
      <c r="C1509" s="233" t="s">
        <v>2527</v>
      </c>
      <c r="D1509" s="234">
        <v>52972.13</v>
      </c>
      <c r="E1509" s="234">
        <v>74458.8</v>
      </c>
    </row>
    <row r="1510" spans="2:5">
      <c r="B1510" s="232" t="s">
        <v>2550</v>
      </c>
      <c r="C1510" s="233" t="s">
        <v>2527</v>
      </c>
      <c r="D1510" s="234">
        <v>97987.12</v>
      </c>
      <c r="E1510" s="234">
        <v>111629.39</v>
      </c>
    </row>
    <row r="1511" spans="2:5">
      <c r="B1511" s="232" t="s">
        <v>2551</v>
      </c>
      <c r="C1511" s="233" t="s">
        <v>2527</v>
      </c>
      <c r="D1511" s="234">
        <v>191916.3</v>
      </c>
      <c r="E1511" s="234">
        <v>141043.82</v>
      </c>
    </row>
    <row r="1512" spans="2:5">
      <c r="B1512" s="232" t="s">
        <v>2552</v>
      </c>
      <c r="C1512" s="233" t="s">
        <v>2527</v>
      </c>
      <c r="D1512" s="234">
        <v>53280.639999999999</v>
      </c>
      <c r="E1512" s="234">
        <v>65508.160000000003</v>
      </c>
    </row>
    <row r="1513" spans="2:5">
      <c r="B1513" s="232" t="s">
        <v>2553</v>
      </c>
      <c r="C1513" s="233" t="s">
        <v>2527</v>
      </c>
      <c r="D1513" s="234">
        <v>140265.56</v>
      </c>
      <c r="E1513" s="234">
        <v>132303.10999999999</v>
      </c>
    </row>
    <row r="1514" spans="2:5">
      <c r="B1514" s="232" t="s">
        <v>2554</v>
      </c>
      <c r="C1514" s="233" t="s">
        <v>2527</v>
      </c>
      <c r="D1514" s="234">
        <v>45362.879999999997</v>
      </c>
      <c r="E1514" s="234">
        <v>37256.959999999999</v>
      </c>
    </row>
    <row r="1515" spans="2:5">
      <c r="B1515" s="232" t="s">
        <v>2555</v>
      </c>
      <c r="C1515" s="233" t="s">
        <v>2527</v>
      </c>
      <c r="D1515" s="234">
        <v>169445.95</v>
      </c>
      <c r="E1515" s="234">
        <v>175652.41</v>
      </c>
    </row>
    <row r="1516" spans="2:5">
      <c r="B1516" s="232" t="s">
        <v>2556</v>
      </c>
      <c r="C1516" s="233" t="s">
        <v>2527</v>
      </c>
      <c r="D1516" s="234">
        <v>54848</v>
      </c>
      <c r="E1516" s="234">
        <v>37986.879999999997</v>
      </c>
    </row>
    <row r="1517" spans="2:5">
      <c r="B1517" s="232" t="s">
        <v>2557</v>
      </c>
      <c r="C1517" s="233" t="s">
        <v>2527</v>
      </c>
      <c r="D1517" s="234">
        <v>148743.57999999999</v>
      </c>
      <c r="E1517" s="234">
        <v>154020.26999999999</v>
      </c>
    </row>
    <row r="1518" spans="2:5">
      <c r="B1518" s="232" t="s">
        <v>2558</v>
      </c>
      <c r="C1518" s="233" t="s">
        <v>2527</v>
      </c>
      <c r="D1518" s="234">
        <v>48128</v>
      </c>
      <c r="E1518" s="234">
        <v>49611.199999999997</v>
      </c>
    </row>
    <row r="1519" spans="2:5">
      <c r="B1519" s="232" t="s">
        <v>2559</v>
      </c>
      <c r="C1519" s="233" t="s">
        <v>2527</v>
      </c>
      <c r="D1519" s="234">
        <v>125328.57</v>
      </c>
      <c r="E1519" s="234">
        <v>125516.49</v>
      </c>
    </row>
    <row r="1520" spans="2:5">
      <c r="B1520" s="232" t="s">
        <v>2560</v>
      </c>
      <c r="C1520" s="233" t="s">
        <v>2527</v>
      </c>
      <c r="D1520" s="234">
        <v>144344.07999999999</v>
      </c>
      <c r="E1520" s="234">
        <v>141788.62</v>
      </c>
    </row>
    <row r="1521" spans="2:5">
      <c r="B1521" s="232" t="s">
        <v>2561</v>
      </c>
      <c r="C1521" s="233" t="s">
        <v>2527</v>
      </c>
      <c r="D1521" s="234">
        <v>59127.040000000001</v>
      </c>
      <c r="E1521" s="234">
        <v>48806.080000000002</v>
      </c>
    </row>
    <row r="1522" spans="2:5">
      <c r="B1522" s="232" t="s">
        <v>2562</v>
      </c>
      <c r="C1522" s="233" t="s">
        <v>2527</v>
      </c>
      <c r="D1522" s="234">
        <v>65152</v>
      </c>
      <c r="E1522" s="234">
        <v>68687.679999999993</v>
      </c>
    </row>
    <row r="1523" spans="2:5">
      <c r="B1523" s="232" t="s">
        <v>2563</v>
      </c>
      <c r="C1523" s="233" t="s">
        <v>2527</v>
      </c>
      <c r="D1523" s="234">
        <v>60030.04</v>
      </c>
      <c r="E1523" s="234">
        <v>52256.959999999999</v>
      </c>
    </row>
    <row r="1524" spans="2:5">
      <c r="B1524" s="232" t="s">
        <v>2564</v>
      </c>
      <c r="C1524" s="233" t="s">
        <v>2527</v>
      </c>
      <c r="D1524" s="234">
        <v>14422.8</v>
      </c>
      <c r="E1524" s="234">
        <v>17804.099999999999</v>
      </c>
    </row>
    <row r="1525" spans="2:5">
      <c r="B1525" s="232" t="s">
        <v>2565</v>
      </c>
      <c r="C1525" s="233" t="s">
        <v>2527</v>
      </c>
      <c r="D1525" s="234">
        <v>50020.84</v>
      </c>
      <c r="E1525" s="234">
        <v>66936.95</v>
      </c>
    </row>
    <row r="1526" spans="2:5">
      <c r="B1526" s="232" t="s">
        <v>2566</v>
      </c>
      <c r="C1526" s="233" t="s">
        <v>2527</v>
      </c>
      <c r="D1526" s="234">
        <v>84528.54</v>
      </c>
      <c r="E1526" s="234">
        <v>80425.91</v>
      </c>
    </row>
    <row r="1527" spans="2:5">
      <c r="B1527" s="232" t="s">
        <v>2567</v>
      </c>
      <c r="C1527" s="233" t="s">
        <v>2527</v>
      </c>
      <c r="D1527" s="234">
        <v>48207.360000000001</v>
      </c>
      <c r="E1527" s="234">
        <v>39203.519999999997</v>
      </c>
    </row>
    <row r="1528" spans="2:5">
      <c r="B1528" s="232" t="s">
        <v>2568</v>
      </c>
      <c r="C1528" s="233" t="s">
        <v>2527</v>
      </c>
      <c r="D1528" s="234">
        <v>51744</v>
      </c>
      <c r="E1528" s="234">
        <v>50400</v>
      </c>
    </row>
    <row r="1529" spans="2:5">
      <c r="B1529" s="232" t="s">
        <v>2569</v>
      </c>
      <c r="C1529" s="233" t="s">
        <v>2527</v>
      </c>
      <c r="D1529" s="234">
        <v>159940.06</v>
      </c>
      <c r="E1529" s="234">
        <v>129312.15</v>
      </c>
    </row>
    <row r="1530" spans="2:5">
      <c r="B1530" s="232" t="s">
        <v>2570</v>
      </c>
      <c r="C1530" s="233" t="s">
        <v>2527</v>
      </c>
      <c r="D1530" s="234">
        <v>84283.44</v>
      </c>
      <c r="E1530" s="234">
        <v>83600.17</v>
      </c>
    </row>
    <row r="1531" spans="2:5">
      <c r="B1531" s="232" t="s">
        <v>2571</v>
      </c>
      <c r="C1531" s="233" t="s">
        <v>2527</v>
      </c>
      <c r="D1531" s="234">
        <v>125182.12</v>
      </c>
      <c r="E1531" s="234">
        <v>135693.75</v>
      </c>
    </row>
    <row r="1532" spans="2:5">
      <c r="B1532" s="232" t="s">
        <v>2572</v>
      </c>
      <c r="C1532" s="233" t="s">
        <v>2527</v>
      </c>
      <c r="D1532" s="234">
        <v>16939.14</v>
      </c>
      <c r="E1532" s="234">
        <v>15057.24</v>
      </c>
    </row>
    <row r="1533" spans="2:5">
      <c r="B1533" s="232" t="s">
        <v>2573</v>
      </c>
      <c r="C1533" s="233" t="s">
        <v>2527</v>
      </c>
      <c r="D1533" s="234">
        <v>67272.800000000003</v>
      </c>
      <c r="E1533" s="234">
        <v>86913.12</v>
      </c>
    </row>
    <row r="1534" spans="2:5">
      <c r="B1534" s="232" t="s">
        <v>2574</v>
      </c>
      <c r="C1534" s="233" t="s">
        <v>2527</v>
      </c>
      <c r="D1534" s="234">
        <v>81408.03</v>
      </c>
      <c r="E1534" s="234">
        <v>71377.42</v>
      </c>
    </row>
    <row r="1535" spans="2:5">
      <c r="B1535" s="232" t="s">
        <v>2575</v>
      </c>
      <c r="C1535" s="233" t="s">
        <v>2527</v>
      </c>
      <c r="D1535" s="234">
        <v>145116.19</v>
      </c>
      <c r="E1535" s="234">
        <v>141264.82999999999</v>
      </c>
    </row>
    <row r="1536" spans="2:5">
      <c r="B1536" s="232" t="s">
        <v>2576</v>
      </c>
      <c r="C1536" s="233" t="s">
        <v>2527</v>
      </c>
      <c r="D1536" s="234">
        <v>157530.89000000001</v>
      </c>
      <c r="E1536" s="234">
        <v>137511.23000000001</v>
      </c>
    </row>
    <row r="1537" spans="2:5">
      <c r="B1537" s="232" t="s">
        <v>2577</v>
      </c>
      <c r="C1537" s="233" t="s">
        <v>2527</v>
      </c>
      <c r="D1537" s="234">
        <v>48913.2</v>
      </c>
      <c r="E1537" s="234">
        <v>44850.96</v>
      </c>
    </row>
    <row r="1538" spans="2:5">
      <c r="B1538" s="232" t="s">
        <v>2578</v>
      </c>
      <c r="C1538" s="233" t="s">
        <v>2527</v>
      </c>
      <c r="D1538" s="234">
        <v>33536</v>
      </c>
      <c r="E1538" s="234">
        <v>32448</v>
      </c>
    </row>
    <row r="1539" spans="2:5">
      <c r="B1539" s="232" t="s">
        <v>2579</v>
      </c>
      <c r="C1539" s="233" t="s">
        <v>2527</v>
      </c>
      <c r="D1539" s="234">
        <v>25280</v>
      </c>
      <c r="E1539" s="234">
        <v>32064</v>
      </c>
    </row>
    <row r="1540" spans="2:5">
      <c r="B1540" s="232" t="s">
        <v>2580</v>
      </c>
      <c r="C1540" s="233" t="s">
        <v>2527</v>
      </c>
      <c r="D1540" s="234">
        <v>42656</v>
      </c>
      <c r="E1540" s="234">
        <v>58824</v>
      </c>
    </row>
    <row r="1541" spans="2:5">
      <c r="B1541" s="232" t="s">
        <v>2581</v>
      </c>
      <c r="C1541" s="233" t="s">
        <v>2527</v>
      </c>
      <c r="D1541" s="234">
        <v>38442</v>
      </c>
      <c r="E1541" s="234">
        <v>50384.39</v>
      </c>
    </row>
    <row r="1542" spans="2:5">
      <c r="B1542" s="232" t="s">
        <v>2582</v>
      </c>
      <c r="C1542" s="233" t="s">
        <v>2527</v>
      </c>
      <c r="D1542" s="234">
        <v>51694.96</v>
      </c>
      <c r="E1542" s="234">
        <v>71416.320000000007</v>
      </c>
    </row>
    <row r="1543" spans="2:5">
      <c r="B1543" s="232" t="s">
        <v>2583</v>
      </c>
      <c r="C1543" s="233" t="s">
        <v>2527</v>
      </c>
      <c r="D1543" s="234">
        <v>106115.75</v>
      </c>
      <c r="E1543" s="234">
        <v>110370.51</v>
      </c>
    </row>
    <row r="1544" spans="2:5">
      <c r="B1544" s="232" t="s">
        <v>2584</v>
      </c>
      <c r="C1544" s="233" t="s">
        <v>2527</v>
      </c>
      <c r="D1544" s="234">
        <v>96258.29</v>
      </c>
      <c r="E1544" s="234">
        <v>98238.07</v>
      </c>
    </row>
    <row r="1545" spans="2:5">
      <c r="B1545" s="232" t="s">
        <v>2585</v>
      </c>
      <c r="C1545" s="233" t="s">
        <v>2527</v>
      </c>
      <c r="D1545" s="234">
        <v>86805.39</v>
      </c>
      <c r="E1545" s="234">
        <v>59436.75</v>
      </c>
    </row>
    <row r="1546" spans="2:5">
      <c r="B1546" s="232" t="s">
        <v>2586</v>
      </c>
      <c r="C1546" s="233" t="s">
        <v>2527</v>
      </c>
      <c r="D1546" s="234">
        <v>51288.72</v>
      </c>
      <c r="E1546" s="234">
        <v>46823</v>
      </c>
    </row>
    <row r="1547" spans="2:5">
      <c r="B1547" s="232" t="s">
        <v>2587</v>
      </c>
      <c r="C1547" s="233" t="s">
        <v>2527</v>
      </c>
      <c r="D1547" s="234">
        <v>61736.18</v>
      </c>
      <c r="E1547" s="234">
        <v>52584.74</v>
      </c>
    </row>
    <row r="1548" spans="2:5">
      <c r="B1548" s="232" t="s">
        <v>2588</v>
      </c>
      <c r="C1548" s="233" t="s">
        <v>2527</v>
      </c>
      <c r="D1548" s="234">
        <v>120225.17</v>
      </c>
      <c r="E1548" s="234">
        <v>107659.27</v>
      </c>
    </row>
    <row r="1549" spans="2:5">
      <c r="B1549" s="232" t="s">
        <v>2589</v>
      </c>
      <c r="C1549" s="233" t="s">
        <v>2527</v>
      </c>
      <c r="D1549" s="234">
        <v>84228.83</v>
      </c>
      <c r="E1549" s="234">
        <v>64460.87</v>
      </c>
    </row>
    <row r="1550" spans="2:5">
      <c r="B1550" s="232" t="s">
        <v>2590</v>
      </c>
      <c r="C1550" s="233" t="s">
        <v>2527</v>
      </c>
      <c r="D1550" s="234">
        <v>134796.74</v>
      </c>
      <c r="E1550" s="234">
        <v>106608.82</v>
      </c>
    </row>
    <row r="1551" spans="2:5">
      <c r="B1551" s="232" t="s">
        <v>2591</v>
      </c>
      <c r="C1551" s="233" t="s">
        <v>2527</v>
      </c>
      <c r="D1551" s="234">
        <v>44450.21</v>
      </c>
      <c r="E1551" s="234">
        <v>34870.135999999999</v>
      </c>
    </row>
    <row r="1552" spans="2:5">
      <c r="B1552" s="232" t="s">
        <v>2592</v>
      </c>
      <c r="C1552" s="233" t="s">
        <v>2527</v>
      </c>
      <c r="D1552" s="234">
        <v>54885.2</v>
      </c>
      <c r="E1552" s="234">
        <v>75994.759999999995</v>
      </c>
    </row>
    <row r="1553" spans="2:5">
      <c r="B1553" s="232" t="s">
        <v>2593</v>
      </c>
      <c r="C1553" s="233" t="s">
        <v>2527</v>
      </c>
      <c r="D1553" s="234">
        <v>37150.550000000003</v>
      </c>
      <c r="E1553" s="234">
        <v>33383.1</v>
      </c>
    </row>
    <row r="1554" spans="2:5">
      <c r="B1554" s="232" t="s">
        <v>2594</v>
      </c>
      <c r="C1554" s="233" t="s">
        <v>2527</v>
      </c>
      <c r="D1554" s="234">
        <v>39196.449999999997</v>
      </c>
      <c r="E1554" s="234">
        <v>40443.949999999997</v>
      </c>
    </row>
    <row r="1555" spans="2:5">
      <c r="B1555" s="232" t="s">
        <v>2595</v>
      </c>
      <c r="C1555" s="233" t="s">
        <v>2527</v>
      </c>
      <c r="D1555" s="234">
        <v>40593.65</v>
      </c>
      <c r="E1555" s="234">
        <v>37300.25</v>
      </c>
    </row>
    <row r="1556" spans="2:5">
      <c r="B1556" s="232" t="s">
        <v>2596</v>
      </c>
      <c r="C1556" s="233" t="s">
        <v>2527</v>
      </c>
      <c r="D1556" s="234">
        <v>38872.1</v>
      </c>
      <c r="E1556" s="234">
        <v>33008.85</v>
      </c>
    </row>
    <row r="1557" spans="2:5">
      <c r="B1557" s="232" t="s">
        <v>2597</v>
      </c>
      <c r="C1557" s="233" t="s">
        <v>2527</v>
      </c>
      <c r="D1557" s="234">
        <v>13585</v>
      </c>
      <c r="E1557" s="234">
        <v>16170</v>
      </c>
    </row>
    <row r="1558" spans="2:5">
      <c r="B1558" s="232" t="s">
        <v>2598</v>
      </c>
      <c r="C1558" s="233" t="s">
        <v>2527</v>
      </c>
      <c r="D1558" s="234">
        <v>15290</v>
      </c>
      <c r="E1558" s="234">
        <v>16335</v>
      </c>
    </row>
    <row r="1559" spans="2:5">
      <c r="B1559" s="232" t="s">
        <v>2599</v>
      </c>
      <c r="C1559" s="233" t="s">
        <v>2527</v>
      </c>
      <c r="D1559" s="234">
        <v>19305</v>
      </c>
      <c r="E1559" s="234">
        <v>15180</v>
      </c>
    </row>
    <row r="1560" spans="2:5">
      <c r="B1560" s="232" t="s">
        <v>2600</v>
      </c>
      <c r="C1560" s="233" t="s">
        <v>2527</v>
      </c>
      <c r="D1560" s="234">
        <v>13915</v>
      </c>
      <c r="E1560" s="234">
        <v>15510</v>
      </c>
    </row>
    <row r="1561" spans="2:5">
      <c r="B1561" s="232" t="s">
        <v>2601</v>
      </c>
      <c r="C1561" s="233" t="s">
        <v>2527</v>
      </c>
      <c r="D1561" s="234">
        <v>150321</v>
      </c>
      <c r="E1561" s="234">
        <v>120847.95</v>
      </c>
    </row>
    <row r="1562" spans="2:5">
      <c r="B1562" s="232" t="s">
        <v>2602</v>
      </c>
      <c r="C1562" s="233" t="s">
        <v>2527</v>
      </c>
      <c r="D1562" s="234">
        <v>165606.45000000001</v>
      </c>
      <c r="E1562" s="234">
        <v>136048.95000000001</v>
      </c>
    </row>
    <row r="1563" spans="2:5">
      <c r="B1563" s="232" t="s">
        <v>2603</v>
      </c>
      <c r="C1563" s="233" t="s">
        <v>2527</v>
      </c>
      <c r="D1563" s="234">
        <v>155810.25</v>
      </c>
      <c r="E1563" s="234">
        <v>158343.75</v>
      </c>
    </row>
    <row r="1564" spans="2:5">
      <c r="B1564" s="232" t="s">
        <v>2604</v>
      </c>
      <c r="C1564" s="233" t="s">
        <v>2527</v>
      </c>
      <c r="D1564" s="234">
        <v>152263.35</v>
      </c>
      <c r="E1564" s="234">
        <v>139849.20000000001</v>
      </c>
    </row>
    <row r="1565" spans="2:5">
      <c r="B1565" s="232" t="s">
        <v>2605</v>
      </c>
      <c r="C1565" s="233" t="s">
        <v>2527</v>
      </c>
      <c r="D1565" s="234">
        <v>49663.95</v>
      </c>
      <c r="E1565" s="234">
        <v>50118.3</v>
      </c>
    </row>
    <row r="1566" spans="2:5">
      <c r="B1566" s="232" t="s">
        <v>2606</v>
      </c>
      <c r="C1566" s="233" t="s">
        <v>2527</v>
      </c>
      <c r="D1566" s="234">
        <v>49698.9</v>
      </c>
      <c r="E1566" s="234">
        <v>58855.8</v>
      </c>
    </row>
    <row r="1567" spans="2:5">
      <c r="B1567" s="232" t="s">
        <v>2607</v>
      </c>
      <c r="C1567" s="233" t="s">
        <v>2527</v>
      </c>
      <c r="D1567" s="234">
        <v>61267.35</v>
      </c>
      <c r="E1567" s="234">
        <v>52390.05</v>
      </c>
    </row>
    <row r="1568" spans="2:5">
      <c r="B1568" s="232" t="s">
        <v>2608</v>
      </c>
      <c r="C1568" s="233" t="s">
        <v>2527</v>
      </c>
      <c r="D1568" s="234">
        <v>55640.4</v>
      </c>
      <c r="E1568" s="234">
        <v>56339.4</v>
      </c>
    </row>
    <row r="1569" spans="2:5">
      <c r="B1569" s="232" t="s">
        <v>2609</v>
      </c>
      <c r="C1569" s="233" t="s">
        <v>2527</v>
      </c>
      <c r="D1569" s="234">
        <v>13780</v>
      </c>
      <c r="E1569" s="234">
        <v>8061.3</v>
      </c>
    </row>
    <row r="1570" spans="2:5">
      <c r="B1570" s="232" t="s">
        <v>2610</v>
      </c>
      <c r="C1570" s="233" t="s">
        <v>2527</v>
      </c>
      <c r="D1570" s="234">
        <v>11437.4</v>
      </c>
      <c r="E1570" s="234">
        <v>7957.95</v>
      </c>
    </row>
    <row r="1571" spans="2:5">
      <c r="B1571" s="232" t="s">
        <v>2611</v>
      </c>
      <c r="C1571" s="233" t="s">
        <v>2527</v>
      </c>
      <c r="D1571" s="234">
        <v>10541.7</v>
      </c>
      <c r="E1571" s="234">
        <v>10128.299999999999</v>
      </c>
    </row>
    <row r="1572" spans="2:5">
      <c r="B1572" s="232" t="s">
        <v>2612</v>
      </c>
      <c r="C1572" s="233" t="s">
        <v>2527</v>
      </c>
      <c r="D1572" s="234">
        <v>12402</v>
      </c>
      <c r="E1572" s="234">
        <v>9094.7999999999993</v>
      </c>
    </row>
    <row r="1573" spans="2:5">
      <c r="B1573" s="232" t="s">
        <v>2613</v>
      </c>
      <c r="C1573" s="233" t="s">
        <v>2527</v>
      </c>
      <c r="D1573" s="234">
        <v>82528.2</v>
      </c>
      <c r="E1573" s="234">
        <v>79561.5</v>
      </c>
    </row>
    <row r="1574" spans="2:5">
      <c r="B1574" s="232" t="s">
        <v>2614</v>
      </c>
      <c r="C1574" s="233" t="s">
        <v>2527</v>
      </c>
      <c r="D1574" s="234">
        <v>91473.25</v>
      </c>
      <c r="E1574" s="234">
        <v>74706.899999999994</v>
      </c>
    </row>
    <row r="1575" spans="2:5">
      <c r="B1575" s="232" t="s">
        <v>2615</v>
      </c>
      <c r="C1575" s="233" t="s">
        <v>2527</v>
      </c>
      <c r="D1575" s="234">
        <v>74841.75</v>
      </c>
      <c r="E1575" s="234">
        <v>74841.75</v>
      </c>
    </row>
    <row r="1576" spans="2:5">
      <c r="B1576" s="232" t="s">
        <v>2616</v>
      </c>
      <c r="C1576" s="233" t="s">
        <v>2527</v>
      </c>
      <c r="D1576" s="234">
        <v>86753.5</v>
      </c>
      <c r="E1576" s="234">
        <v>81853.95</v>
      </c>
    </row>
    <row r="1577" spans="2:5">
      <c r="B1577" s="232" t="s">
        <v>2617</v>
      </c>
      <c r="C1577" s="233" t="s">
        <v>2527</v>
      </c>
      <c r="D1577" s="234">
        <v>19488</v>
      </c>
      <c r="E1577" s="234">
        <v>20496</v>
      </c>
    </row>
    <row r="1578" spans="2:5">
      <c r="B1578" s="232" t="s">
        <v>2618</v>
      </c>
      <c r="C1578" s="233" t="s">
        <v>2527</v>
      </c>
      <c r="D1578" s="234">
        <v>77403.009999999995</v>
      </c>
      <c r="E1578" s="234">
        <v>74307.44</v>
      </c>
    </row>
    <row r="1579" spans="2:5">
      <c r="B1579" s="232" t="s">
        <v>2619</v>
      </c>
      <c r="C1579" s="233" t="s">
        <v>2527</v>
      </c>
      <c r="D1579" s="234">
        <v>128820.37</v>
      </c>
      <c r="E1579" s="234">
        <v>108354.02</v>
      </c>
    </row>
    <row r="1580" spans="2:5">
      <c r="B1580" s="232" t="s">
        <v>2620</v>
      </c>
      <c r="C1580" s="233" t="s">
        <v>2527</v>
      </c>
      <c r="D1580" s="234">
        <v>82254.7</v>
      </c>
      <c r="E1580" s="234">
        <v>52541.27</v>
      </c>
    </row>
    <row r="1581" spans="2:5">
      <c r="B1581" s="232" t="s">
        <v>2621</v>
      </c>
      <c r="C1581" s="233" t="s">
        <v>2527</v>
      </c>
      <c r="D1581" s="234">
        <v>50414.28</v>
      </c>
      <c r="E1581" s="234">
        <v>41881.56</v>
      </c>
    </row>
    <row r="1582" spans="2:5">
      <c r="B1582" s="232" t="s">
        <v>2622</v>
      </c>
      <c r="C1582" s="233" t="s">
        <v>2527</v>
      </c>
      <c r="D1582" s="234">
        <v>33600</v>
      </c>
      <c r="E1582" s="234">
        <v>29376</v>
      </c>
    </row>
    <row r="1583" spans="2:5">
      <c r="B1583" s="232" t="s">
        <v>2623</v>
      </c>
      <c r="C1583" s="233" t="s">
        <v>2527</v>
      </c>
      <c r="D1583" s="234">
        <v>79305.88</v>
      </c>
      <c r="E1583" s="234">
        <v>119546.04</v>
      </c>
    </row>
    <row r="1584" spans="2:5">
      <c r="B1584" s="232" t="s">
        <v>2624</v>
      </c>
      <c r="C1584" s="233" t="s">
        <v>2527</v>
      </c>
      <c r="D1584" s="234">
        <v>74202.880000000005</v>
      </c>
      <c r="E1584" s="234">
        <v>55711.68</v>
      </c>
    </row>
    <row r="1585" spans="2:5">
      <c r="B1585" s="232" t="s">
        <v>2625</v>
      </c>
      <c r="C1585" s="233" t="s">
        <v>2527</v>
      </c>
      <c r="D1585" s="234">
        <v>164717.53</v>
      </c>
      <c r="E1585" s="234">
        <v>151090.35</v>
      </c>
    </row>
    <row r="1586" spans="2:5">
      <c r="B1586" s="232" t="s">
        <v>2626</v>
      </c>
      <c r="C1586" s="233" t="s">
        <v>2527</v>
      </c>
      <c r="D1586" s="234">
        <v>48667.839999999997</v>
      </c>
      <c r="E1586" s="234">
        <v>56242.879999999997</v>
      </c>
    </row>
    <row r="1587" spans="2:5">
      <c r="B1587" s="232" t="s">
        <v>2627</v>
      </c>
      <c r="C1587" s="233" t="s">
        <v>2527</v>
      </c>
      <c r="D1587" s="234">
        <v>122429.26</v>
      </c>
      <c r="E1587" s="234">
        <v>106166.64</v>
      </c>
    </row>
    <row r="1588" spans="2:5">
      <c r="B1588" s="232" t="s">
        <v>2628</v>
      </c>
      <c r="C1588" s="233" t="s">
        <v>2527</v>
      </c>
      <c r="D1588" s="234">
        <v>48642.44</v>
      </c>
      <c r="E1588" s="234">
        <v>36711.64</v>
      </c>
    </row>
    <row r="1589" spans="2:5">
      <c r="B1589" s="232" t="s">
        <v>2629</v>
      </c>
      <c r="C1589" s="233" t="s">
        <v>2527</v>
      </c>
      <c r="D1589" s="234">
        <v>62870.080000000002</v>
      </c>
      <c r="E1589" s="234">
        <v>45904.639999999999</v>
      </c>
    </row>
    <row r="1590" spans="2:5">
      <c r="B1590" s="232" t="s">
        <v>2630</v>
      </c>
      <c r="C1590" s="233" t="s">
        <v>2527</v>
      </c>
      <c r="D1590" s="234">
        <v>143621.66</v>
      </c>
      <c r="E1590" s="234">
        <v>158562.14000000001</v>
      </c>
    </row>
    <row r="1591" spans="2:5">
      <c r="B1591" s="232" t="s">
        <v>2631</v>
      </c>
      <c r="C1591" s="233" t="s">
        <v>2527</v>
      </c>
      <c r="D1591" s="234">
        <v>29824</v>
      </c>
      <c r="E1591" s="234">
        <v>33792</v>
      </c>
    </row>
    <row r="1592" spans="2:5">
      <c r="B1592" s="232" t="s">
        <v>2632</v>
      </c>
      <c r="C1592" s="233" t="s">
        <v>2527</v>
      </c>
      <c r="D1592" s="234">
        <v>60777.279999999999</v>
      </c>
      <c r="E1592" s="234">
        <v>50413.760000000002</v>
      </c>
    </row>
    <row r="1593" spans="2:5">
      <c r="B1593" s="232" t="s">
        <v>2633</v>
      </c>
      <c r="C1593" s="233" t="s">
        <v>2527</v>
      </c>
      <c r="D1593" s="234">
        <v>145523.01</v>
      </c>
      <c r="E1593" s="234">
        <v>130707.18</v>
      </c>
    </row>
    <row r="1594" spans="2:5">
      <c r="B1594" s="232" t="s">
        <v>2634</v>
      </c>
      <c r="C1594" s="233" t="s">
        <v>2527</v>
      </c>
      <c r="D1594" s="234">
        <v>25024</v>
      </c>
      <c r="E1594" s="234">
        <v>33408</v>
      </c>
    </row>
    <row r="1595" spans="2:5">
      <c r="B1595" s="232" t="s">
        <v>2635</v>
      </c>
      <c r="C1595" s="233" t="s">
        <v>2527</v>
      </c>
      <c r="D1595" s="234">
        <v>21672</v>
      </c>
      <c r="E1595" s="234">
        <v>23856</v>
      </c>
    </row>
    <row r="1596" spans="2:5">
      <c r="B1596" s="232" t="s">
        <v>2636</v>
      </c>
      <c r="C1596" s="233" t="s">
        <v>2527</v>
      </c>
      <c r="D1596" s="234">
        <v>41988.7</v>
      </c>
      <c r="E1596" s="234">
        <v>44208.32</v>
      </c>
    </row>
    <row r="1597" spans="2:5">
      <c r="B1597" s="232" t="s">
        <v>2637</v>
      </c>
      <c r="C1597" s="233" t="s">
        <v>2527</v>
      </c>
      <c r="D1597" s="234">
        <v>70518.080000000002</v>
      </c>
      <c r="E1597" s="234">
        <v>60369.279999999999</v>
      </c>
    </row>
    <row r="1598" spans="2:5">
      <c r="B1598" s="232" t="s">
        <v>2638</v>
      </c>
      <c r="C1598" s="233" t="s">
        <v>2527</v>
      </c>
      <c r="D1598" s="234">
        <v>132948.45000000001</v>
      </c>
      <c r="E1598" s="234">
        <v>141762.01999999999</v>
      </c>
    </row>
    <row r="1599" spans="2:5">
      <c r="B1599" s="232" t="s">
        <v>2639</v>
      </c>
      <c r="C1599" s="233" t="s">
        <v>2527</v>
      </c>
      <c r="D1599" s="234">
        <v>47253.919999999998</v>
      </c>
      <c r="E1599" s="234">
        <v>55131.16</v>
      </c>
    </row>
    <row r="1600" spans="2:5">
      <c r="B1600" s="232" t="s">
        <v>2640</v>
      </c>
      <c r="C1600" s="233" t="s">
        <v>2527</v>
      </c>
      <c r="D1600" s="234">
        <v>69622.16</v>
      </c>
      <c r="E1600" s="234">
        <v>81372.34</v>
      </c>
    </row>
    <row r="1601" spans="2:5">
      <c r="B1601" s="232" t="s">
        <v>2641</v>
      </c>
      <c r="C1601" s="233" t="s">
        <v>2527</v>
      </c>
      <c r="D1601" s="234">
        <v>97324.08</v>
      </c>
      <c r="E1601" s="234">
        <v>81203.92</v>
      </c>
    </row>
    <row r="1602" spans="2:5">
      <c r="B1602" s="232" t="s">
        <v>2642</v>
      </c>
      <c r="C1602" s="233" t="s">
        <v>2527</v>
      </c>
      <c r="D1602" s="234">
        <v>34830</v>
      </c>
      <c r="E1602" s="234">
        <v>37668</v>
      </c>
    </row>
    <row r="1603" spans="2:5">
      <c r="B1603" s="232" t="s">
        <v>2643</v>
      </c>
      <c r="C1603" s="233" t="s">
        <v>2527</v>
      </c>
      <c r="D1603" s="234">
        <v>94967.88</v>
      </c>
      <c r="E1603" s="234">
        <v>124264.01</v>
      </c>
    </row>
    <row r="1604" spans="2:5">
      <c r="B1604" s="232" t="s">
        <v>2644</v>
      </c>
      <c r="C1604" s="233" t="s">
        <v>2527</v>
      </c>
      <c r="D1604" s="234">
        <v>29989.91</v>
      </c>
      <c r="E1604" s="234">
        <v>43862.78</v>
      </c>
    </row>
    <row r="1605" spans="2:5">
      <c r="B1605" s="232" t="s">
        <v>2645</v>
      </c>
      <c r="C1605" s="233" t="s">
        <v>2527</v>
      </c>
      <c r="D1605" s="234">
        <v>85130.54</v>
      </c>
      <c r="E1605" s="234">
        <v>70860.13</v>
      </c>
    </row>
    <row r="1606" spans="2:5">
      <c r="B1606" s="232" t="s">
        <v>2646</v>
      </c>
      <c r="C1606" s="233" t="s">
        <v>2527</v>
      </c>
      <c r="D1606" s="234">
        <v>75187.22</v>
      </c>
      <c r="E1606" s="234">
        <v>75109.820000000007</v>
      </c>
    </row>
    <row r="1607" spans="2:5">
      <c r="B1607" s="232" t="s">
        <v>2647</v>
      </c>
      <c r="C1607" s="233" t="s">
        <v>2527</v>
      </c>
      <c r="D1607" s="234">
        <v>104717.47</v>
      </c>
      <c r="E1607" s="234">
        <v>66472.41</v>
      </c>
    </row>
    <row r="1608" spans="2:5">
      <c r="B1608" s="232" t="s">
        <v>2648</v>
      </c>
      <c r="C1608" s="233" t="s">
        <v>2527</v>
      </c>
      <c r="D1608" s="234">
        <v>102430.43</v>
      </c>
      <c r="E1608" s="234">
        <v>102099.44</v>
      </c>
    </row>
    <row r="1609" spans="2:5">
      <c r="B1609" s="232" t="s">
        <v>2649</v>
      </c>
      <c r="C1609" s="233" t="s">
        <v>2527</v>
      </c>
      <c r="D1609" s="234">
        <v>63106.559999999998</v>
      </c>
      <c r="E1609" s="234">
        <v>42236.160000000003</v>
      </c>
    </row>
    <row r="1610" spans="2:5">
      <c r="B1610" s="232" t="s">
        <v>2650</v>
      </c>
      <c r="C1610" s="233" t="s">
        <v>2527</v>
      </c>
      <c r="D1610" s="234">
        <v>75705.899999999994</v>
      </c>
      <c r="E1610" s="234">
        <v>80207.47</v>
      </c>
    </row>
    <row r="1611" spans="2:5">
      <c r="B1611" s="232" t="s">
        <v>2651</v>
      </c>
      <c r="C1611" s="233" t="s">
        <v>2527</v>
      </c>
      <c r="D1611" s="234">
        <v>50736</v>
      </c>
      <c r="E1611" s="234">
        <v>60816</v>
      </c>
    </row>
    <row r="1612" spans="2:5">
      <c r="B1612" s="232" t="s">
        <v>2652</v>
      </c>
      <c r="C1612" s="233" t="s">
        <v>2527</v>
      </c>
      <c r="D1612" s="234">
        <v>81301.820000000007</v>
      </c>
      <c r="E1612" s="234">
        <v>71019.23</v>
      </c>
    </row>
    <row r="1613" spans="2:5">
      <c r="B1613" s="232" t="s">
        <v>2653</v>
      </c>
      <c r="C1613" s="233" t="s">
        <v>2527</v>
      </c>
      <c r="D1613" s="234">
        <v>122896.41</v>
      </c>
      <c r="E1613" s="234">
        <v>98318.71</v>
      </c>
    </row>
    <row r="1614" spans="2:5">
      <c r="B1614" s="232" t="s">
        <v>2654</v>
      </c>
      <c r="C1614" s="233" t="s">
        <v>2527</v>
      </c>
      <c r="D1614" s="234">
        <v>68743.240000000005</v>
      </c>
      <c r="E1614" s="234">
        <v>72863.929999999993</v>
      </c>
    </row>
    <row r="1615" spans="2:5">
      <c r="B1615" s="232" t="s">
        <v>2655</v>
      </c>
      <c r="C1615" s="233" t="s">
        <v>2527</v>
      </c>
      <c r="D1615" s="234">
        <v>106830.64</v>
      </c>
      <c r="E1615" s="234">
        <v>105139.44</v>
      </c>
    </row>
    <row r="1616" spans="2:5">
      <c r="B1616" s="232" t="s">
        <v>2656</v>
      </c>
      <c r="C1616" s="233" t="s">
        <v>2527</v>
      </c>
      <c r="D1616" s="234">
        <v>93428.25</v>
      </c>
      <c r="E1616" s="234">
        <v>61090.53</v>
      </c>
    </row>
    <row r="1617" spans="2:5">
      <c r="B1617" s="232" t="s">
        <v>2657</v>
      </c>
      <c r="C1617" s="233" t="s">
        <v>2527</v>
      </c>
      <c r="D1617" s="234">
        <v>140153.28</v>
      </c>
      <c r="E1617" s="234">
        <v>109578.76</v>
      </c>
    </row>
    <row r="1618" spans="2:5">
      <c r="B1618" s="232" t="s">
        <v>2658</v>
      </c>
      <c r="C1618" s="233" t="s">
        <v>2527</v>
      </c>
      <c r="D1618" s="234">
        <v>110334.8</v>
      </c>
      <c r="E1618" s="234">
        <v>92576.48</v>
      </c>
    </row>
    <row r="1619" spans="2:5">
      <c r="B1619" s="232" t="s">
        <v>2659</v>
      </c>
      <c r="C1619" s="233" t="s">
        <v>2527</v>
      </c>
      <c r="D1619" s="234">
        <v>41194</v>
      </c>
      <c r="E1619" s="234">
        <v>39732</v>
      </c>
    </row>
    <row r="1620" spans="2:5">
      <c r="B1620" s="232" t="s">
        <v>2660</v>
      </c>
      <c r="C1620" s="233" t="s">
        <v>2527</v>
      </c>
      <c r="D1620" s="234">
        <v>109552.1</v>
      </c>
      <c r="E1620" s="234">
        <v>102147.04</v>
      </c>
    </row>
    <row r="1621" spans="2:5">
      <c r="B1621" s="232" t="s">
        <v>2661</v>
      </c>
      <c r="C1621" s="233" t="s">
        <v>2527</v>
      </c>
      <c r="D1621" s="234">
        <v>76637.61</v>
      </c>
      <c r="E1621" s="234">
        <v>71109.960000000006</v>
      </c>
    </row>
    <row r="1622" spans="2:5">
      <c r="B1622" s="232" t="s">
        <v>2662</v>
      </c>
      <c r="C1622" s="233" t="s">
        <v>2527</v>
      </c>
      <c r="D1622" s="234">
        <v>48485.08</v>
      </c>
      <c r="E1622" s="234">
        <v>41899.199999999997</v>
      </c>
    </row>
    <row r="1623" spans="2:5">
      <c r="B1623" s="232" t="s">
        <v>2663</v>
      </c>
      <c r="C1623" s="233" t="s">
        <v>2527</v>
      </c>
      <c r="D1623" s="234">
        <v>51600</v>
      </c>
      <c r="E1623" s="234">
        <v>42570</v>
      </c>
    </row>
    <row r="1624" spans="2:5">
      <c r="B1624" s="232" t="s">
        <v>2664</v>
      </c>
      <c r="C1624" s="233" t="s">
        <v>2527</v>
      </c>
      <c r="D1624" s="234">
        <v>146711.82</v>
      </c>
      <c r="E1624" s="234">
        <v>168475.85</v>
      </c>
    </row>
    <row r="1625" spans="2:5">
      <c r="B1625" s="232" t="s">
        <v>2665</v>
      </c>
      <c r="C1625" s="233" t="s">
        <v>2527</v>
      </c>
      <c r="D1625" s="234">
        <v>53664.32</v>
      </c>
      <c r="E1625" s="234">
        <v>45548.160000000003</v>
      </c>
    </row>
    <row r="1626" spans="2:5">
      <c r="B1626" s="232" t="s">
        <v>2666</v>
      </c>
      <c r="C1626" s="233" t="s">
        <v>2527</v>
      </c>
      <c r="D1626" s="234">
        <v>140408.18</v>
      </c>
      <c r="E1626" s="234">
        <v>135636</v>
      </c>
    </row>
    <row r="1627" spans="2:5">
      <c r="B1627" s="232" t="s">
        <v>2667</v>
      </c>
      <c r="C1627" s="233" t="s">
        <v>2527</v>
      </c>
      <c r="D1627" s="234">
        <v>45233.599999999999</v>
      </c>
      <c r="E1627" s="234">
        <v>51772.480000000003</v>
      </c>
    </row>
    <row r="1628" spans="2:5">
      <c r="B1628" s="232" t="s">
        <v>2668</v>
      </c>
      <c r="C1628" s="233" t="s">
        <v>2527</v>
      </c>
      <c r="D1628" s="234">
        <v>57004.36</v>
      </c>
      <c r="E1628" s="234">
        <v>51076.480000000003</v>
      </c>
    </row>
    <row r="1629" spans="2:5">
      <c r="B1629" s="232" t="s">
        <v>2669</v>
      </c>
      <c r="C1629" s="233" t="s">
        <v>2527</v>
      </c>
      <c r="D1629" s="234">
        <v>36894</v>
      </c>
      <c r="E1629" s="234">
        <v>45666</v>
      </c>
    </row>
    <row r="1630" spans="2:5">
      <c r="B1630" s="232" t="s">
        <v>2670</v>
      </c>
      <c r="C1630" s="233" t="s">
        <v>2527</v>
      </c>
      <c r="D1630" s="234">
        <v>54952.639999999999</v>
      </c>
      <c r="E1630" s="234">
        <v>67186.240000000005</v>
      </c>
    </row>
    <row r="1631" spans="2:5">
      <c r="B1631" s="232" t="s">
        <v>2671</v>
      </c>
      <c r="C1631" s="233" t="s">
        <v>1358</v>
      </c>
      <c r="D1631" s="234">
        <v>24288</v>
      </c>
      <c r="E1631" s="234">
        <v>20948.400000000001</v>
      </c>
    </row>
    <row r="1632" spans="2:5">
      <c r="B1632" s="232" t="s">
        <v>2672</v>
      </c>
      <c r="C1632" s="233" t="s">
        <v>1358</v>
      </c>
      <c r="D1632" s="234">
        <v>46152.06</v>
      </c>
      <c r="E1632" s="234">
        <v>37669.51</v>
      </c>
    </row>
    <row r="1633" spans="2:5">
      <c r="B1633" s="232" t="s">
        <v>2673</v>
      </c>
      <c r="C1633" s="233" t="s">
        <v>1358</v>
      </c>
      <c r="D1633" s="234">
        <v>34227.46</v>
      </c>
      <c r="E1633" s="234">
        <v>35291.54</v>
      </c>
    </row>
    <row r="1634" spans="2:5">
      <c r="B1634" s="232" t="s">
        <v>2674</v>
      </c>
      <c r="C1634" s="233" t="s">
        <v>1358</v>
      </c>
      <c r="D1634" s="234">
        <v>47727.41</v>
      </c>
      <c r="E1634" s="234">
        <v>43538.47</v>
      </c>
    </row>
    <row r="1635" spans="2:5">
      <c r="B1635" s="232" t="s">
        <v>2675</v>
      </c>
      <c r="C1635" s="233" t="s">
        <v>1358</v>
      </c>
      <c r="D1635" s="234">
        <v>38229.269999999997</v>
      </c>
      <c r="E1635" s="234">
        <v>45677.82</v>
      </c>
    </row>
    <row r="1636" spans="2:5">
      <c r="B1636" s="232" t="s">
        <v>2676</v>
      </c>
      <c r="C1636" s="233" t="s">
        <v>1358</v>
      </c>
      <c r="D1636" s="234">
        <v>37453.440000000002</v>
      </c>
      <c r="E1636" s="234">
        <v>35213.26</v>
      </c>
    </row>
    <row r="1637" spans="2:5">
      <c r="B1637" s="232" t="s">
        <v>2677</v>
      </c>
      <c r="C1637" s="233" t="s">
        <v>1358</v>
      </c>
      <c r="D1637" s="234">
        <v>40655.449999999997</v>
      </c>
      <c r="E1637" s="234">
        <v>39949.18</v>
      </c>
    </row>
    <row r="1638" spans="2:5">
      <c r="B1638" s="232" t="s">
        <v>2678</v>
      </c>
      <c r="C1638" s="233" t="s">
        <v>1358</v>
      </c>
      <c r="D1638" s="234">
        <v>40357.410000000003</v>
      </c>
      <c r="E1638" s="234">
        <v>40805.949999999997</v>
      </c>
    </row>
    <row r="1639" spans="2:5">
      <c r="B1639" s="232" t="s">
        <v>2679</v>
      </c>
      <c r="C1639" s="233" t="s">
        <v>1212</v>
      </c>
      <c r="D1639" s="234">
        <v>884311.55</v>
      </c>
      <c r="E1639" s="234">
        <v>759724.01</v>
      </c>
    </row>
    <row r="1640" spans="2:5">
      <c r="B1640" s="232" t="s">
        <v>2680</v>
      </c>
      <c r="C1640" s="233" t="s">
        <v>1212</v>
      </c>
      <c r="D1640" s="234">
        <v>804089.59</v>
      </c>
      <c r="E1640" s="234">
        <v>906119.37</v>
      </c>
    </row>
    <row r="1641" spans="2:5">
      <c r="B1641" s="232" t="s">
        <v>2681</v>
      </c>
      <c r="C1641" s="233" t="s">
        <v>1212</v>
      </c>
      <c r="D1641" s="234">
        <v>880501.93</v>
      </c>
      <c r="E1641" s="234">
        <v>966683.31</v>
      </c>
    </row>
    <row r="1642" spans="2:5">
      <c r="B1642" s="232" t="s">
        <v>2682</v>
      </c>
      <c r="C1642" s="233" t="s">
        <v>1212</v>
      </c>
      <c r="D1642" s="234">
        <v>679442.03</v>
      </c>
      <c r="E1642" s="234">
        <v>1008699.1</v>
      </c>
    </row>
    <row r="1643" spans="2:5">
      <c r="B1643" s="232" t="s">
        <v>2683</v>
      </c>
      <c r="C1643" s="233" t="s">
        <v>1212</v>
      </c>
      <c r="D1643" s="234">
        <v>1499154.28</v>
      </c>
      <c r="E1643" s="234">
        <v>1578125.32</v>
      </c>
    </row>
    <row r="1644" spans="2:5">
      <c r="B1644" s="232" t="s">
        <v>2684</v>
      </c>
      <c r="C1644" s="233" t="s">
        <v>1212</v>
      </c>
      <c r="D1644" s="234">
        <v>1838269.04</v>
      </c>
      <c r="E1644" s="234">
        <v>1821950.1</v>
      </c>
    </row>
    <row r="1645" spans="2:5">
      <c r="B1645" s="232" t="s">
        <v>2685</v>
      </c>
      <c r="C1645" s="233" t="s">
        <v>1212</v>
      </c>
      <c r="D1645" s="234">
        <v>2035536.74</v>
      </c>
      <c r="E1645" s="234">
        <v>1813454.64</v>
      </c>
    </row>
    <row r="1646" spans="2:5">
      <c r="B1646" s="232" t="s">
        <v>2686</v>
      </c>
      <c r="C1646" s="233" t="s">
        <v>1212</v>
      </c>
      <c r="D1646" s="234">
        <v>1643913.23</v>
      </c>
      <c r="E1646" s="234">
        <v>1717940.56</v>
      </c>
    </row>
    <row r="1647" spans="2:5">
      <c r="B1647" s="232" t="s">
        <v>2687</v>
      </c>
      <c r="C1647" s="233" t="s">
        <v>1212</v>
      </c>
      <c r="D1647" s="234">
        <v>994756.38</v>
      </c>
      <c r="E1647" s="234">
        <v>1571384.08</v>
      </c>
    </row>
    <row r="1648" spans="2:5">
      <c r="B1648" s="232" t="s">
        <v>2688</v>
      </c>
      <c r="C1648" s="233" t="s">
        <v>1212</v>
      </c>
      <c r="D1648" s="234">
        <v>917707.79</v>
      </c>
      <c r="E1648" s="234">
        <v>1727809.45</v>
      </c>
    </row>
    <row r="1649" spans="2:5">
      <c r="B1649" s="232" t="s">
        <v>2689</v>
      </c>
      <c r="C1649" s="233" t="s">
        <v>1212</v>
      </c>
      <c r="D1649" s="234">
        <v>770667.91</v>
      </c>
      <c r="E1649" s="234">
        <v>1874085.42</v>
      </c>
    </row>
    <row r="1650" spans="2:5">
      <c r="B1650" s="232" t="s">
        <v>2690</v>
      </c>
      <c r="C1650" s="233" t="s">
        <v>1212</v>
      </c>
      <c r="D1650" s="234">
        <v>653585.32999999996</v>
      </c>
      <c r="E1650" s="234">
        <v>1788597.1</v>
      </c>
    </row>
    <row r="1651" spans="2:5">
      <c r="B1651" s="232" t="s">
        <v>2691</v>
      </c>
      <c r="C1651" s="233" t="s">
        <v>1212</v>
      </c>
      <c r="D1651" s="234">
        <v>228838.5</v>
      </c>
      <c r="E1651" s="234">
        <v>167151.6</v>
      </c>
    </row>
    <row r="1652" spans="2:5">
      <c r="B1652" s="232" t="s">
        <v>2692</v>
      </c>
      <c r="C1652" s="233" t="s">
        <v>1212</v>
      </c>
      <c r="D1652" s="234">
        <v>191030.39999999999</v>
      </c>
      <c r="E1652" s="234">
        <v>220878.9</v>
      </c>
    </row>
    <row r="1653" spans="2:5">
      <c r="B1653" s="232" t="s">
        <v>2693</v>
      </c>
      <c r="C1653" s="233" t="s">
        <v>1212</v>
      </c>
      <c r="D1653" s="234">
        <v>195010.2</v>
      </c>
      <c r="E1653" s="234">
        <v>268636.5</v>
      </c>
    </row>
    <row r="1654" spans="2:5">
      <c r="B1654" s="232" t="s">
        <v>2694</v>
      </c>
      <c r="C1654" s="233" t="s">
        <v>1212</v>
      </c>
      <c r="D1654" s="234">
        <v>210929.4</v>
      </c>
      <c r="E1654" s="234">
        <v>212919.3</v>
      </c>
    </row>
    <row r="1655" spans="2:5">
      <c r="B1655" s="232" t="s">
        <v>2695</v>
      </c>
      <c r="C1655" s="233" t="s">
        <v>1212</v>
      </c>
      <c r="D1655" s="234">
        <v>2715243.13</v>
      </c>
      <c r="E1655" s="234">
        <v>2559942.36</v>
      </c>
    </row>
    <row r="1656" spans="2:5">
      <c r="B1656" s="232" t="s">
        <v>2696</v>
      </c>
      <c r="C1656" s="233" t="s">
        <v>1212</v>
      </c>
      <c r="D1656" s="234">
        <v>2905800.93</v>
      </c>
      <c r="E1656" s="234">
        <v>3156897.92</v>
      </c>
    </row>
    <row r="1657" spans="2:5">
      <c r="B1657" s="232" t="s">
        <v>2697</v>
      </c>
      <c r="C1657" s="233" t="s">
        <v>1212</v>
      </c>
      <c r="D1657" s="234">
        <v>3212953.68</v>
      </c>
      <c r="E1657" s="234">
        <v>2569307.11</v>
      </c>
    </row>
    <row r="1658" spans="2:5">
      <c r="B1658" s="232" t="s">
        <v>2698</v>
      </c>
      <c r="C1658" s="233" t="s">
        <v>1212</v>
      </c>
      <c r="D1658" s="234">
        <v>2928721.97</v>
      </c>
      <c r="E1658" s="234">
        <v>3020857.2</v>
      </c>
    </row>
    <row r="1659" spans="2:5">
      <c r="B1659" s="232" t="s">
        <v>2699</v>
      </c>
      <c r="C1659" s="233" t="s">
        <v>1358</v>
      </c>
      <c r="D1659" s="234">
        <v>56965.49</v>
      </c>
      <c r="E1659" s="234">
        <v>65153.46</v>
      </c>
    </row>
    <row r="1660" spans="2:5">
      <c r="B1660" s="232" t="s">
        <v>2700</v>
      </c>
      <c r="C1660" s="233" t="s">
        <v>1358</v>
      </c>
      <c r="D1660" s="234">
        <v>69553.279999999999</v>
      </c>
      <c r="E1660" s="234">
        <v>64576.62</v>
      </c>
    </row>
    <row r="1661" spans="2:5">
      <c r="B1661" s="232" t="s">
        <v>2701</v>
      </c>
      <c r="C1661" s="233" t="s">
        <v>1358</v>
      </c>
      <c r="D1661" s="234">
        <v>53086.37</v>
      </c>
      <c r="E1661" s="234">
        <v>78984.14</v>
      </c>
    </row>
    <row r="1662" spans="2:5">
      <c r="B1662" s="232" t="s">
        <v>2702</v>
      </c>
      <c r="C1662" s="233" t="s">
        <v>1358</v>
      </c>
      <c r="D1662" s="234">
        <v>56945.36</v>
      </c>
      <c r="E1662" s="234">
        <v>68501.320000000007</v>
      </c>
    </row>
    <row r="1663" spans="2:5">
      <c r="B1663" s="232" t="s">
        <v>2703</v>
      </c>
      <c r="C1663" s="233" t="s">
        <v>1358</v>
      </c>
      <c r="D1663" s="234">
        <v>58275.99</v>
      </c>
      <c r="E1663" s="234">
        <v>45638.96</v>
      </c>
    </row>
    <row r="1664" spans="2:5">
      <c r="B1664" s="232" t="s">
        <v>2704</v>
      </c>
      <c r="C1664" s="233" t="s">
        <v>1358</v>
      </c>
      <c r="D1664" s="234">
        <v>45441.08</v>
      </c>
      <c r="E1664" s="234">
        <v>36344.51</v>
      </c>
    </row>
    <row r="1665" spans="2:5">
      <c r="B1665" s="232" t="s">
        <v>2705</v>
      </c>
      <c r="C1665" s="233" t="s">
        <v>1358</v>
      </c>
      <c r="D1665" s="234">
        <v>34396.9</v>
      </c>
      <c r="E1665" s="234">
        <v>52004.5</v>
      </c>
    </row>
    <row r="1666" spans="2:5">
      <c r="B1666" s="232" t="s">
        <v>2706</v>
      </c>
      <c r="C1666" s="233" t="s">
        <v>1358</v>
      </c>
      <c r="D1666" s="234">
        <v>43096.08</v>
      </c>
      <c r="E1666" s="234">
        <v>36207.839999999997</v>
      </c>
    </row>
    <row r="1667" spans="2:5">
      <c r="B1667" s="232" t="s">
        <v>2707</v>
      </c>
      <c r="C1667" s="233" t="s">
        <v>1358</v>
      </c>
      <c r="D1667" s="234">
        <v>49921.06</v>
      </c>
      <c r="E1667" s="234">
        <v>44686.85</v>
      </c>
    </row>
    <row r="1668" spans="2:5">
      <c r="B1668" s="232" t="s">
        <v>2708</v>
      </c>
      <c r="C1668" s="233" t="s">
        <v>1358</v>
      </c>
      <c r="D1668" s="234">
        <v>39160.03</v>
      </c>
      <c r="E1668" s="234">
        <v>26388.3</v>
      </c>
    </row>
    <row r="1669" spans="2:5">
      <c r="B1669" s="232" t="s">
        <v>2709</v>
      </c>
      <c r="C1669" s="233" t="s">
        <v>1358</v>
      </c>
      <c r="D1669" s="234">
        <v>39980.94</v>
      </c>
      <c r="E1669" s="234">
        <v>29580</v>
      </c>
    </row>
    <row r="1670" spans="2:5">
      <c r="B1670" s="232" t="s">
        <v>2710</v>
      </c>
      <c r="C1670" s="233" t="s">
        <v>1358</v>
      </c>
      <c r="D1670" s="234">
        <v>31794.78</v>
      </c>
      <c r="E1670" s="234">
        <v>35567.410000000003</v>
      </c>
    </row>
    <row r="1671" spans="2:5">
      <c r="B1671" s="232" t="s">
        <v>2711</v>
      </c>
      <c r="C1671" s="233" t="s">
        <v>1358</v>
      </c>
      <c r="D1671" s="234">
        <v>43246.61</v>
      </c>
      <c r="E1671" s="234">
        <v>40978.86</v>
      </c>
    </row>
    <row r="1672" spans="2:5">
      <c r="B1672" s="232" t="s">
        <v>2712</v>
      </c>
      <c r="C1672" s="233" t="s">
        <v>1358</v>
      </c>
      <c r="D1672" s="234">
        <v>28156.15</v>
      </c>
      <c r="E1672" s="234">
        <v>31019.87</v>
      </c>
    </row>
    <row r="1673" spans="2:5">
      <c r="B1673" s="232" t="s">
        <v>2713</v>
      </c>
      <c r="C1673" s="233" t="s">
        <v>1358</v>
      </c>
      <c r="D1673" s="234">
        <v>53643.88</v>
      </c>
      <c r="E1673" s="234">
        <v>42655.63</v>
      </c>
    </row>
    <row r="1674" spans="2:5">
      <c r="B1674" s="232" t="s">
        <v>2714</v>
      </c>
      <c r="C1674" s="233" t="s">
        <v>1358</v>
      </c>
      <c r="D1674" s="234">
        <v>38047.949999999997</v>
      </c>
      <c r="E1674" s="234">
        <v>46192.39</v>
      </c>
    </row>
    <row r="1675" spans="2:5">
      <c r="B1675" s="232" t="s">
        <v>2715</v>
      </c>
      <c r="C1675" s="233" t="s">
        <v>1358</v>
      </c>
      <c r="D1675" s="234">
        <v>53243.41</v>
      </c>
      <c r="E1675" s="234">
        <v>43525.54</v>
      </c>
    </row>
    <row r="1676" spans="2:5">
      <c r="B1676" s="232" t="s">
        <v>2716</v>
      </c>
      <c r="C1676" s="233" t="s">
        <v>1358</v>
      </c>
      <c r="D1676" s="234">
        <v>45019.47</v>
      </c>
      <c r="E1676" s="234">
        <v>40597.760000000002</v>
      </c>
    </row>
    <row r="1677" spans="2:5">
      <c r="B1677" s="232" t="s">
        <v>2717</v>
      </c>
      <c r="C1677" s="233" t="s">
        <v>1358</v>
      </c>
      <c r="D1677" s="234">
        <v>57714.62</v>
      </c>
      <c r="E1677" s="234">
        <v>38436.42</v>
      </c>
    </row>
    <row r="1678" spans="2:5">
      <c r="B1678" s="232" t="s">
        <v>2718</v>
      </c>
      <c r="C1678" s="233" t="s">
        <v>1247</v>
      </c>
      <c r="D1678" s="234">
        <v>293539.40000000002</v>
      </c>
      <c r="E1678" s="234">
        <v>325173.8</v>
      </c>
    </row>
    <row r="1679" spans="2:5">
      <c r="B1679" s="232" t="s">
        <v>2719</v>
      </c>
      <c r="C1679" s="233" t="s">
        <v>1247</v>
      </c>
      <c r="D1679" s="234">
        <v>334138.84000000003</v>
      </c>
      <c r="E1679" s="234">
        <v>315614.88</v>
      </c>
    </row>
    <row r="1680" spans="2:5">
      <c r="B1680" s="232" t="s">
        <v>2720</v>
      </c>
      <c r="C1680" s="233" t="s">
        <v>1247</v>
      </c>
      <c r="D1680" s="234">
        <v>346869.04</v>
      </c>
      <c r="E1680" s="234">
        <v>316826.15999999997</v>
      </c>
    </row>
    <row r="1681" spans="2:5">
      <c r="B1681" s="232" t="s">
        <v>2721</v>
      </c>
      <c r="C1681" s="233" t="s">
        <v>1212</v>
      </c>
      <c r="D1681" s="234">
        <v>275984.7</v>
      </c>
      <c r="E1681" s="234">
        <v>329664.65000000002</v>
      </c>
    </row>
    <row r="1682" spans="2:5">
      <c r="B1682" s="232" t="s">
        <v>2722</v>
      </c>
      <c r="C1682" s="233" t="s">
        <v>1212</v>
      </c>
      <c r="D1682" s="234">
        <v>369546.26</v>
      </c>
      <c r="E1682" s="234">
        <v>318252.67</v>
      </c>
    </row>
    <row r="1683" spans="2:5">
      <c r="B1683" s="232" t="s">
        <v>2723</v>
      </c>
      <c r="C1683" s="233" t="s">
        <v>1212</v>
      </c>
      <c r="D1683" s="234">
        <v>282765.69</v>
      </c>
      <c r="E1683" s="234">
        <v>274668.95</v>
      </c>
    </row>
    <row r="1684" spans="2:5">
      <c r="B1684" s="232" t="s">
        <v>2724</v>
      </c>
      <c r="C1684" s="233" t="s">
        <v>1212</v>
      </c>
      <c r="D1684" s="234">
        <v>295643.86</v>
      </c>
      <c r="E1684" s="234">
        <v>318532.18</v>
      </c>
    </row>
    <row r="1685" spans="2:5">
      <c r="B1685" s="232" t="s">
        <v>2725</v>
      </c>
      <c r="C1685" s="233" t="s">
        <v>1212</v>
      </c>
      <c r="D1685" s="234">
        <v>348906.95</v>
      </c>
      <c r="E1685" s="234">
        <v>333414.49</v>
      </c>
    </row>
    <row r="1686" spans="2:5">
      <c r="B1686" s="232" t="s">
        <v>2726</v>
      </c>
      <c r="C1686" s="233" t="s">
        <v>1212</v>
      </c>
      <c r="D1686" s="234">
        <v>394317.12</v>
      </c>
      <c r="E1686" s="234">
        <v>321450.18</v>
      </c>
    </row>
    <row r="1687" spans="2:5">
      <c r="B1687" s="232" t="s">
        <v>2727</v>
      </c>
      <c r="C1687" s="233" t="s">
        <v>1212</v>
      </c>
      <c r="D1687" s="234">
        <v>478486.03</v>
      </c>
      <c r="E1687" s="234">
        <v>373709.59</v>
      </c>
    </row>
    <row r="1688" spans="2:5">
      <c r="B1688" s="232" t="s">
        <v>2728</v>
      </c>
      <c r="C1688" s="233" t="s">
        <v>1212</v>
      </c>
      <c r="D1688" s="234">
        <v>332025.28000000003</v>
      </c>
      <c r="E1688" s="234">
        <v>312162.92</v>
      </c>
    </row>
    <row r="1689" spans="2:5">
      <c r="B1689" s="232" t="s">
        <v>2729</v>
      </c>
      <c r="C1689" s="233" t="s">
        <v>1212</v>
      </c>
      <c r="D1689" s="234">
        <v>157916.31</v>
      </c>
      <c r="E1689" s="234">
        <v>123846.32</v>
      </c>
    </row>
    <row r="1690" spans="2:5">
      <c r="B1690" s="232" t="s">
        <v>2730</v>
      </c>
      <c r="C1690" s="233" t="s">
        <v>1212</v>
      </c>
      <c r="D1690" s="234">
        <v>125188.26</v>
      </c>
      <c r="E1690" s="234">
        <v>220478.6</v>
      </c>
    </row>
    <row r="1691" spans="2:5">
      <c r="B1691" s="232" t="s">
        <v>2731</v>
      </c>
      <c r="C1691" s="233" t="s">
        <v>1212</v>
      </c>
      <c r="D1691" s="234">
        <v>151518.24</v>
      </c>
      <c r="E1691" s="234">
        <v>168257.49</v>
      </c>
    </row>
    <row r="1692" spans="2:5">
      <c r="B1692" s="232" t="s">
        <v>2732</v>
      </c>
      <c r="C1692" s="233" t="s">
        <v>1212</v>
      </c>
      <c r="D1692" s="234">
        <v>141647.69</v>
      </c>
      <c r="E1692" s="234">
        <v>180602.05</v>
      </c>
    </row>
    <row r="1693" spans="2:5">
      <c r="B1693" s="232" t="s">
        <v>2733</v>
      </c>
      <c r="C1693" s="233" t="s">
        <v>1212</v>
      </c>
      <c r="D1693" s="234">
        <v>162025.13</v>
      </c>
      <c r="E1693" s="234">
        <v>150493.73000000001</v>
      </c>
    </row>
    <row r="1694" spans="2:5">
      <c r="B1694" s="232" t="s">
        <v>2734</v>
      </c>
      <c r="C1694" s="233" t="s">
        <v>1212</v>
      </c>
      <c r="D1694" s="234">
        <v>221239.32</v>
      </c>
      <c r="E1694" s="234">
        <v>161580.73000000001</v>
      </c>
    </row>
    <row r="1695" spans="2:5">
      <c r="B1695" s="232" t="s">
        <v>2735</v>
      </c>
      <c r="C1695" s="233" t="s">
        <v>1212</v>
      </c>
      <c r="D1695" s="234">
        <v>158565.95000000001</v>
      </c>
      <c r="E1695" s="234">
        <v>169856.36</v>
      </c>
    </row>
    <row r="1696" spans="2:5">
      <c r="B1696" s="232" t="s">
        <v>2736</v>
      </c>
      <c r="C1696" s="233" t="s">
        <v>1212</v>
      </c>
      <c r="D1696" s="234">
        <v>314280.21999999997</v>
      </c>
      <c r="E1696" s="234">
        <v>313726.26</v>
      </c>
    </row>
    <row r="1697" spans="2:5">
      <c r="B1697" s="232" t="s">
        <v>2737</v>
      </c>
      <c r="C1697" s="233" t="s">
        <v>1212</v>
      </c>
      <c r="D1697" s="234">
        <v>338067.01</v>
      </c>
      <c r="E1697" s="234">
        <v>353820.24</v>
      </c>
    </row>
    <row r="1698" spans="2:5">
      <c r="B1698" s="232" t="s">
        <v>2738</v>
      </c>
      <c r="C1698" s="233" t="s">
        <v>1212</v>
      </c>
      <c r="D1698" s="234">
        <v>257733.08</v>
      </c>
      <c r="E1698" s="234">
        <v>290877.40999999997</v>
      </c>
    </row>
    <row r="1699" spans="2:5">
      <c r="B1699" s="232" t="s">
        <v>2739</v>
      </c>
      <c r="C1699" s="233" t="s">
        <v>1212</v>
      </c>
      <c r="D1699" s="234">
        <v>257805.08</v>
      </c>
      <c r="E1699" s="234">
        <v>355252.17</v>
      </c>
    </row>
    <row r="1700" spans="2:5">
      <c r="B1700" s="232" t="s">
        <v>2740</v>
      </c>
      <c r="C1700" s="233" t="s">
        <v>1212</v>
      </c>
      <c r="D1700" s="234">
        <v>533891.99</v>
      </c>
      <c r="E1700" s="234">
        <v>467288.26</v>
      </c>
    </row>
    <row r="1701" spans="2:5">
      <c r="B1701" s="232" t="s">
        <v>2741</v>
      </c>
      <c r="C1701" s="233" t="s">
        <v>1212</v>
      </c>
      <c r="D1701" s="234">
        <v>614112.29</v>
      </c>
      <c r="E1701" s="234">
        <v>555125.21</v>
      </c>
    </row>
    <row r="1702" spans="2:5">
      <c r="B1702" s="232" t="s">
        <v>2742</v>
      </c>
      <c r="C1702" s="233" t="s">
        <v>1212</v>
      </c>
      <c r="D1702" s="234">
        <v>563395.94999999995</v>
      </c>
      <c r="E1702" s="234">
        <v>465164.33</v>
      </c>
    </row>
    <row r="1703" spans="2:5">
      <c r="B1703" s="232" t="s">
        <v>2743</v>
      </c>
      <c r="C1703" s="233" t="s">
        <v>1212</v>
      </c>
      <c r="D1703" s="234">
        <v>560276.15</v>
      </c>
      <c r="E1703" s="234">
        <v>397804.61</v>
      </c>
    </row>
    <row r="1704" spans="2:5">
      <c r="B1704" s="232" t="s">
        <v>2744</v>
      </c>
      <c r="C1704" s="233" t="s">
        <v>1212</v>
      </c>
      <c r="D1704" s="234">
        <v>361866.84</v>
      </c>
      <c r="E1704" s="234">
        <v>286320.74</v>
      </c>
    </row>
    <row r="1705" spans="2:5">
      <c r="B1705" s="232" t="s">
        <v>2745</v>
      </c>
      <c r="C1705" s="233" t="s">
        <v>1212</v>
      </c>
      <c r="D1705" s="234">
        <v>337967.5</v>
      </c>
      <c r="E1705" s="234">
        <v>247545.75</v>
      </c>
    </row>
    <row r="1706" spans="2:5">
      <c r="B1706" s="232" t="s">
        <v>2746</v>
      </c>
      <c r="C1706" s="233" t="s">
        <v>1212</v>
      </c>
      <c r="D1706" s="234">
        <v>358730.95</v>
      </c>
      <c r="E1706" s="234">
        <v>306208.24</v>
      </c>
    </row>
    <row r="1707" spans="2:5">
      <c r="B1707" s="232" t="s">
        <v>2747</v>
      </c>
      <c r="C1707" s="233" t="s">
        <v>1212</v>
      </c>
      <c r="D1707" s="234">
        <v>366910.73</v>
      </c>
      <c r="E1707" s="234">
        <v>300092.42</v>
      </c>
    </row>
    <row r="1708" spans="2:5">
      <c r="B1708" s="232" t="s">
        <v>2748</v>
      </c>
      <c r="C1708" s="233" t="s">
        <v>1247</v>
      </c>
      <c r="D1708" s="234">
        <v>206556.79999999999</v>
      </c>
      <c r="E1708" s="234">
        <v>210872.08</v>
      </c>
    </row>
    <row r="1709" spans="2:5">
      <c r="B1709" s="232" t="s">
        <v>2749</v>
      </c>
      <c r="C1709" s="233" t="s">
        <v>1247</v>
      </c>
      <c r="D1709" s="234">
        <v>272496.40000000002</v>
      </c>
      <c r="E1709" s="234">
        <v>225970.8</v>
      </c>
    </row>
    <row r="1710" spans="2:5">
      <c r="B1710" s="232" t="s">
        <v>2750</v>
      </c>
      <c r="C1710" s="233" t="s">
        <v>1247</v>
      </c>
      <c r="D1710" s="234">
        <v>197579.44</v>
      </c>
      <c r="E1710" s="234">
        <v>250857.44</v>
      </c>
    </row>
    <row r="1711" spans="2:5">
      <c r="B1711" s="232" t="s">
        <v>2751</v>
      </c>
      <c r="C1711" s="233" t="s">
        <v>1247</v>
      </c>
      <c r="D1711" s="234">
        <v>246811.44</v>
      </c>
      <c r="E1711" s="234">
        <v>235658.08</v>
      </c>
    </row>
    <row r="1712" spans="2:5">
      <c r="B1712" s="232" t="s">
        <v>2752</v>
      </c>
      <c r="C1712" s="233" t="s">
        <v>1212</v>
      </c>
      <c r="D1712" s="234">
        <v>207782.09</v>
      </c>
      <c r="E1712" s="234">
        <v>171379.25</v>
      </c>
    </row>
    <row r="1713" spans="2:5">
      <c r="B1713" s="232" t="s">
        <v>2753</v>
      </c>
      <c r="C1713" s="233" t="s">
        <v>1212</v>
      </c>
      <c r="D1713" s="234">
        <v>159408.24</v>
      </c>
      <c r="E1713" s="234">
        <v>164093.19</v>
      </c>
    </row>
    <row r="1714" spans="2:5">
      <c r="B1714" s="232" t="s">
        <v>2754</v>
      </c>
      <c r="C1714" s="233" t="s">
        <v>1212</v>
      </c>
      <c r="D1714" s="234">
        <v>188299.68</v>
      </c>
      <c r="E1714" s="234">
        <v>168094.99</v>
      </c>
    </row>
    <row r="1715" spans="2:5">
      <c r="B1715" s="232" t="s">
        <v>2755</v>
      </c>
      <c r="C1715" s="233" t="s">
        <v>1212</v>
      </c>
      <c r="D1715" s="234">
        <v>168421.65</v>
      </c>
      <c r="E1715" s="234">
        <v>216404.38</v>
      </c>
    </row>
    <row r="1716" spans="2:5">
      <c r="B1716" s="232" t="s">
        <v>2756</v>
      </c>
      <c r="C1716" s="233" t="s">
        <v>1212</v>
      </c>
      <c r="D1716" s="234">
        <v>166034.29</v>
      </c>
      <c r="E1716" s="234">
        <v>183384.73</v>
      </c>
    </row>
    <row r="1717" spans="2:5">
      <c r="B1717" s="232" t="s">
        <v>2757</v>
      </c>
      <c r="C1717" s="233" t="s">
        <v>1212</v>
      </c>
      <c r="D1717" s="234">
        <v>175416.38</v>
      </c>
      <c r="E1717" s="234">
        <v>185667.7</v>
      </c>
    </row>
    <row r="1718" spans="2:5">
      <c r="B1718" s="232" t="s">
        <v>2758</v>
      </c>
      <c r="C1718" s="233" t="s">
        <v>1212</v>
      </c>
      <c r="D1718" s="234">
        <v>238889.75</v>
      </c>
      <c r="E1718" s="234">
        <v>246281.52</v>
      </c>
    </row>
    <row r="1719" spans="2:5">
      <c r="B1719" s="232" t="s">
        <v>2759</v>
      </c>
      <c r="C1719" s="233" t="s">
        <v>1212</v>
      </c>
      <c r="D1719" s="234">
        <v>195535.05</v>
      </c>
      <c r="E1719" s="234">
        <v>201498.47</v>
      </c>
    </row>
    <row r="1720" spans="2:5">
      <c r="B1720" s="232" t="s">
        <v>2760</v>
      </c>
      <c r="C1720" s="233" t="s">
        <v>1212</v>
      </c>
      <c r="D1720" s="234">
        <v>208270.02</v>
      </c>
      <c r="E1720" s="234">
        <v>210353.62</v>
      </c>
    </row>
    <row r="1721" spans="2:5">
      <c r="B1721" s="232" t="s">
        <v>2761</v>
      </c>
      <c r="C1721" s="233" t="s">
        <v>1212</v>
      </c>
      <c r="D1721" s="234">
        <v>191043.06</v>
      </c>
      <c r="E1721" s="234">
        <v>248732.95</v>
      </c>
    </row>
    <row r="1722" spans="2:5">
      <c r="B1722" s="232" t="s">
        <v>2762</v>
      </c>
      <c r="C1722" s="233" t="s">
        <v>1247</v>
      </c>
      <c r="D1722" s="234">
        <v>331801.56</v>
      </c>
      <c r="E1722" s="234">
        <v>340622.88</v>
      </c>
    </row>
    <row r="1723" spans="2:5">
      <c r="B1723" s="232" t="s">
        <v>2763</v>
      </c>
      <c r="C1723" s="233" t="s">
        <v>1247</v>
      </c>
      <c r="D1723" s="234">
        <v>353979.12</v>
      </c>
      <c r="E1723" s="234">
        <v>402378.96</v>
      </c>
    </row>
    <row r="1724" spans="2:5">
      <c r="B1724" s="232" t="s">
        <v>2764</v>
      </c>
      <c r="C1724" s="233" t="s">
        <v>1247</v>
      </c>
      <c r="D1724" s="234">
        <v>301370.19</v>
      </c>
      <c r="E1724" s="234">
        <v>263385.09000000003</v>
      </c>
    </row>
    <row r="1725" spans="2:5">
      <c r="B1725" s="232" t="s">
        <v>2765</v>
      </c>
      <c r="C1725" s="233" t="s">
        <v>1247</v>
      </c>
      <c r="D1725" s="234">
        <v>255419.19</v>
      </c>
      <c r="E1725" s="234">
        <v>277668.06</v>
      </c>
    </row>
    <row r="1726" spans="2:5">
      <c r="B1726" s="232" t="s">
        <v>2766</v>
      </c>
      <c r="C1726" s="233" t="s">
        <v>1247</v>
      </c>
      <c r="D1726" s="234">
        <v>242441.61</v>
      </c>
      <c r="E1726" s="234">
        <v>282277.46999999997</v>
      </c>
    </row>
    <row r="1727" spans="2:5">
      <c r="B1727" s="232" t="s">
        <v>2767</v>
      </c>
      <c r="C1727" s="233" t="s">
        <v>1247</v>
      </c>
      <c r="D1727" s="234">
        <v>260376.81</v>
      </c>
      <c r="E1727" s="234">
        <v>278909.84999999998</v>
      </c>
    </row>
    <row r="1728" spans="2:5">
      <c r="B1728" s="232" t="s">
        <v>2768</v>
      </c>
      <c r="C1728" s="233" t="s">
        <v>1247</v>
      </c>
      <c r="D1728" s="234">
        <v>351669.48</v>
      </c>
      <c r="E1728" s="234">
        <v>405406.8</v>
      </c>
    </row>
    <row r="1729" spans="2:5">
      <c r="B1729" s="232" t="s">
        <v>2769</v>
      </c>
      <c r="C1729" s="233" t="s">
        <v>1247</v>
      </c>
      <c r="D1729" s="234">
        <v>88690.98</v>
      </c>
      <c r="E1729" s="234">
        <v>81429.67</v>
      </c>
    </row>
    <row r="1730" spans="2:5">
      <c r="B1730" s="232" t="s">
        <v>2770</v>
      </c>
      <c r="C1730" s="233" t="s">
        <v>1247</v>
      </c>
      <c r="D1730" s="234">
        <v>70171.92</v>
      </c>
      <c r="E1730" s="234">
        <v>79485.84</v>
      </c>
    </row>
    <row r="1731" spans="2:5">
      <c r="B1731" s="232" t="s">
        <v>2771</v>
      </c>
      <c r="C1731" s="233" t="s">
        <v>1247</v>
      </c>
      <c r="D1731" s="234">
        <v>84861.47</v>
      </c>
      <c r="E1731" s="234">
        <v>83210.649999999994</v>
      </c>
    </row>
    <row r="1732" spans="2:5">
      <c r="B1732" s="232" t="s">
        <v>2772</v>
      </c>
      <c r="C1732" s="233" t="s">
        <v>1247</v>
      </c>
      <c r="D1732" s="234">
        <v>85103.37</v>
      </c>
      <c r="E1732" s="234">
        <v>89268.18</v>
      </c>
    </row>
    <row r="1733" spans="2:5">
      <c r="B1733" s="232" t="s">
        <v>2773</v>
      </c>
      <c r="C1733" s="233" t="s">
        <v>1247</v>
      </c>
      <c r="D1733" s="234">
        <v>103391.67</v>
      </c>
      <c r="E1733" s="234">
        <v>101884.02</v>
      </c>
    </row>
    <row r="1734" spans="2:5">
      <c r="B1734" s="232" t="s">
        <v>2774</v>
      </c>
      <c r="C1734" s="233" t="s">
        <v>1247</v>
      </c>
      <c r="D1734" s="234">
        <v>107950.5</v>
      </c>
      <c r="E1734" s="234">
        <v>110917.5</v>
      </c>
    </row>
    <row r="1735" spans="2:5">
      <c r="B1735" s="232" t="s">
        <v>2775</v>
      </c>
      <c r="C1735" s="233" t="s">
        <v>1247</v>
      </c>
      <c r="D1735" s="234">
        <v>24892.9</v>
      </c>
      <c r="E1735" s="234">
        <v>57154.92</v>
      </c>
    </row>
    <row r="1736" spans="2:5">
      <c r="B1736" s="232" t="s">
        <v>2776</v>
      </c>
      <c r="C1736" s="233" t="s">
        <v>1247</v>
      </c>
      <c r="D1736" s="234">
        <v>255729.32</v>
      </c>
      <c r="E1736" s="234">
        <v>239199.35999999999</v>
      </c>
    </row>
    <row r="1737" spans="2:5">
      <c r="B1737" s="232" t="s">
        <v>2777</v>
      </c>
      <c r="C1737" s="233" t="s">
        <v>1247</v>
      </c>
      <c r="D1737" s="234">
        <v>44598.66</v>
      </c>
      <c r="E1737" s="234">
        <v>39955.040000000001</v>
      </c>
    </row>
    <row r="1738" spans="2:5">
      <c r="B1738" s="232" t="s">
        <v>2778</v>
      </c>
      <c r="C1738" s="233" t="s">
        <v>1247</v>
      </c>
      <c r="D1738" s="234">
        <v>28515.84</v>
      </c>
      <c r="E1738" s="234">
        <v>47761.82</v>
      </c>
    </row>
    <row r="1739" spans="2:5">
      <c r="B1739" s="232" t="s">
        <v>2779</v>
      </c>
      <c r="C1739" s="233" t="s">
        <v>1212</v>
      </c>
      <c r="D1739" s="234">
        <v>45890.95</v>
      </c>
      <c r="E1739" s="234">
        <v>45627.65</v>
      </c>
    </row>
    <row r="1740" spans="2:5">
      <c r="B1740" s="232" t="s">
        <v>2780</v>
      </c>
      <c r="C1740" s="233" t="s">
        <v>1212</v>
      </c>
      <c r="D1740" s="234">
        <v>46163.26</v>
      </c>
      <c r="E1740" s="234">
        <v>46612.82</v>
      </c>
    </row>
    <row r="1741" spans="2:5">
      <c r="B1741" s="232" t="s">
        <v>2781</v>
      </c>
      <c r="C1741" s="233" t="s">
        <v>1212</v>
      </c>
      <c r="D1741" s="234">
        <v>44793.9</v>
      </c>
      <c r="E1741" s="234">
        <v>48796.4</v>
      </c>
    </row>
    <row r="1742" spans="2:5">
      <c r="B1742" s="232" t="s">
        <v>2782</v>
      </c>
      <c r="C1742" s="233" t="s">
        <v>1212</v>
      </c>
      <c r="D1742" s="234">
        <v>44120.35</v>
      </c>
      <c r="E1742" s="234">
        <v>46929.19</v>
      </c>
    </row>
    <row r="1743" spans="2:5">
      <c r="B1743" s="232" t="s">
        <v>2783</v>
      </c>
      <c r="C1743" s="233" t="s">
        <v>1212</v>
      </c>
      <c r="D1743" s="234">
        <v>51715.59</v>
      </c>
      <c r="E1743" s="234">
        <v>36259.96</v>
      </c>
    </row>
    <row r="1744" spans="2:5">
      <c r="B1744" s="232" t="s">
        <v>2784</v>
      </c>
      <c r="C1744" s="233" t="s">
        <v>1212</v>
      </c>
      <c r="D1744" s="234">
        <v>123892.88</v>
      </c>
      <c r="E1744" s="234">
        <v>99353.02</v>
      </c>
    </row>
    <row r="1745" spans="2:5">
      <c r="B1745" s="232" t="s">
        <v>2785</v>
      </c>
      <c r="C1745" s="233" t="s">
        <v>1212</v>
      </c>
      <c r="D1745" s="234">
        <v>105585.92</v>
      </c>
      <c r="E1745" s="234">
        <v>113155.57</v>
      </c>
    </row>
    <row r="1746" spans="2:5">
      <c r="B1746" s="232" t="s">
        <v>2786</v>
      </c>
      <c r="C1746" s="233" t="s">
        <v>1212</v>
      </c>
      <c r="D1746" s="234">
        <v>120699.65</v>
      </c>
      <c r="E1746" s="234">
        <v>126181.04</v>
      </c>
    </row>
    <row r="1747" spans="2:5">
      <c r="B1747" s="232" t="s">
        <v>2787</v>
      </c>
      <c r="C1747" s="233" t="s">
        <v>1212</v>
      </c>
      <c r="D1747" s="234">
        <v>101532.44</v>
      </c>
      <c r="E1747" s="234">
        <v>107430.37</v>
      </c>
    </row>
    <row r="1748" spans="2:5">
      <c r="B1748" s="232" t="s">
        <v>2788</v>
      </c>
      <c r="C1748" s="233" t="s">
        <v>1212</v>
      </c>
      <c r="D1748" s="234">
        <v>150948.75</v>
      </c>
      <c r="E1748" s="234">
        <v>124771.52</v>
      </c>
    </row>
    <row r="1749" spans="2:5">
      <c r="B1749" s="232" t="s">
        <v>2789</v>
      </c>
      <c r="C1749" s="233" t="s">
        <v>1247</v>
      </c>
      <c r="D1749" s="234">
        <v>36914.75</v>
      </c>
      <c r="E1749" s="234">
        <v>47505.67</v>
      </c>
    </row>
    <row r="1750" spans="2:5">
      <c r="B1750" s="232" t="s">
        <v>2790</v>
      </c>
      <c r="C1750" s="233" t="s">
        <v>1247</v>
      </c>
      <c r="D1750" s="234">
        <v>41585.9</v>
      </c>
      <c r="E1750" s="234">
        <v>45704.26</v>
      </c>
    </row>
    <row r="1751" spans="2:5">
      <c r="B1751" s="232" t="s">
        <v>2791</v>
      </c>
      <c r="C1751" s="233" t="s">
        <v>1247</v>
      </c>
      <c r="D1751" s="234">
        <v>61535.51</v>
      </c>
      <c r="E1751" s="234">
        <v>48943.519999999997</v>
      </c>
    </row>
    <row r="1752" spans="2:5">
      <c r="B1752" s="232" t="s">
        <v>2792</v>
      </c>
      <c r="C1752" s="233" t="s">
        <v>1247</v>
      </c>
      <c r="D1752" s="234">
        <v>43621.24</v>
      </c>
      <c r="E1752" s="234">
        <v>37106.959999999999</v>
      </c>
    </row>
    <row r="1753" spans="2:5">
      <c r="B1753" s="232" t="s">
        <v>2793</v>
      </c>
      <c r="C1753" s="233" t="s">
        <v>1247</v>
      </c>
      <c r="D1753" s="234">
        <v>128985.67</v>
      </c>
      <c r="E1753" s="234">
        <v>109831.33</v>
      </c>
    </row>
    <row r="1754" spans="2:5">
      <c r="B1754" s="232" t="s">
        <v>2794</v>
      </c>
      <c r="C1754" s="233" t="s">
        <v>1247</v>
      </c>
      <c r="D1754" s="234">
        <v>104502.78</v>
      </c>
      <c r="E1754" s="234">
        <v>103783.88</v>
      </c>
    </row>
    <row r="1755" spans="2:5">
      <c r="B1755" s="232" t="s">
        <v>2795</v>
      </c>
      <c r="C1755" s="233" t="s">
        <v>1247</v>
      </c>
      <c r="D1755" s="234">
        <v>107743.36</v>
      </c>
      <c r="E1755" s="234">
        <v>100553.57</v>
      </c>
    </row>
    <row r="1756" spans="2:5">
      <c r="B1756" s="232" t="s">
        <v>2796</v>
      </c>
      <c r="C1756" s="233" t="s">
        <v>1247</v>
      </c>
      <c r="D1756" s="234">
        <v>68034</v>
      </c>
      <c r="E1756" s="234">
        <v>46458</v>
      </c>
    </row>
    <row r="1757" spans="2:5">
      <c r="B1757" s="232" t="s">
        <v>2797</v>
      </c>
      <c r="C1757" s="233" t="s">
        <v>1247</v>
      </c>
      <c r="D1757" s="234">
        <v>57420</v>
      </c>
      <c r="E1757" s="234">
        <v>61596</v>
      </c>
    </row>
    <row r="1758" spans="2:5">
      <c r="B1758" s="232" t="s">
        <v>2798</v>
      </c>
      <c r="C1758" s="233" t="s">
        <v>1247</v>
      </c>
      <c r="D1758" s="234">
        <v>49068</v>
      </c>
      <c r="E1758" s="234">
        <v>54288</v>
      </c>
    </row>
    <row r="1759" spans="2:5">
      <c r="B1759" s="232" t="s">
        <v>2799</v>
      </c>
      <c r="C1759" s="233" t="s">
        <v>1212</v>
      </c>
      <c r="D1759" s="234">
        <v>218454.99</v>
      </c>
      <c r="E1759" s="234">
        <v>280071.63</v>
      </c>
    </row>
    <row r="1760" spans="2:5">
      <c r="B1760" s="232" t="s">
        <v>2800</v>
      </c>
      <c r="C1760" s="233" t="s">
        <v>1212</v>
      </c>
      <c r="D1760" s="234">
        <v>275705.31</v>
      </c>
      <c r="E1760" s="234">
        <v>290590.8</v>
      </c>
    </row>
    <row r="1761" spans="2:5">
      <c r="B1761" s="232" t="s">
        <v>2801</v>
      </c>
      <c r="C1761" s="233" t="s">
        <v>1212</v>
      </c>
      <c r="D1761" s="234">
        <v>240425.58</v>
      </c>
      <c r="E1761" s="234">
        <v>266657.40000000002</v>
      </c>
    </row>
    <row r="1762" spans="2:5">
      <c r="B1762" s="232" t="s">
        <v>2802</v>
      </c>
      <c r="C1762" s="233" t="s">
        <v>1212</v>
      </c>
      <c r="D1762" s="234">
        <v>303045.65999999997</v>
      </c>
      <c r="E1762" s="234">
        <v>251626.14</v>
      </c>
    </row>
    <row r="1763" spans="2:5">
      <c r="B1763" s="232" t="s">
        <v>2803</v>
      </c>
      <c r="C1763" s="233" t="s">
        <v>1212</v>
      </c>
      <c r="D1763" s="234">
        <v>227936.82</v>
      </c>
      <c r="E1763" s="234">
        <v>205281.45</v>
      </c>
    </row>
    <row r="1764" spans="2:5">
      <c r="B1764" s="232" t="s">
        <v>2804</v>
      </c>
      <c r="C1764" s="233" t="s">
        <v>1212</v>
      </c>
      <c r="D1764" s="234">
        <v>423219.47</v>
      </c>
      <c r="E1764" s="234">
        <v>450363.54</v>
      </c>
    </row>
    <row r="1765" spans="2:5">
      <c r="B1765" s="232" t="s">
        <v>2805</v>
      </c>
      <c r="C1765" s="233" t="s">
        <v>1212</v>
      </c>
      <c r="D1765" s="234">
        <v>359467.85</v>
      </c>
      <c r="E1765" s="234">
        <v>491982.69</v>
      </c>
    </row>
    <row r="1766" spans="2:5">
      <c r="B1766" s="232" t="s">
        <v>2806</v>
      </c>
      <c r="C1766" s="233" t="s">
        <v>1212</v>
      </c>
      <c r="D1766" s="234">
        <v>523038.09</v>
      </c>
      <c r="E1766" s="234">
        <v>428231.1</v>
      </c>
    </row>
    <row r="1767" spans="2:5">
      <c r="B1767" s="232" t="s">
        <v>2807</v>
      </c>
      <c r="C1767" s="233" t="s">
        <v>1212</v>
      </c>
      <c r="D1767" s="234">
        <v>457760.1</v>
      </c>
      <c r="E1767" s="234">
        <v>659947.62</v>
      </c>
    </row>
    <row r="1768" spans="2:5">
      <c r="B1768" s="232" t="s">
        <v>2808</v>
      </c>
      <c r="C1768" s="233" t="s">
        <v>1212</v>
      </c>
      <c r="D1768" s="234">
        <v>445453.69</v>
      </c>
      <c r="E1768" s="234">
        <v>477494.83</v>
      </c>
    </row>
    <row r="1769" spans="2:5">
      <c r="B1769" s="232" t="s">
        <v>2809</v>
      </c>
      <c r="C1769" s="233" t="s">
        <v>1247</v>
      </c>
      <c r="D1769" s="234">
        <v>350959.07</v>
      </c>
      <c r="E1769" s="234">
        <v>326284.53000000003</v>
      </c>
    </row>
    <row r="1770" spans="2:5">
      <c r="B1770" s="232" t="s">
        <v>2810</v>
      </c>
      <c r="C1770" s="233" t="s">
        <v>1247</v>
      </c>
      <c r="D1770" s="234">
        <v>350141.88</v>
      </c>
      <c r="E1770" s="234">
        <v>399162.83</v>
      </c>
    </row>
    <row r="1771" spans="2:5">
      <c r="B1771" s="232" t="s">
        <v>2811</v>
      </c>
      <c r="C1771" s="233" t="s">
        <v>1247</v>
      </c>
      <c r="D1771" s="234">
        <v>72050.66</v>
      </c>
      <c r="E1771" s="234">
        <v>66940.61</v>
      </c>
    </row>
    <row r="1772" spans="2:5">
      <c r="B1772" s="232" t="s">
        <v>2812</v>
      </c>
      <c r="C1772" s="233" t="s">
        <v>1247</v>
      </c>
      <c r="D1772" s="234">
        <v>339585.29</v>
      </c>
      <c r="E1772" s="234">
        <v>292568.65000000002</v>
      </c>
    </row>
    <row r="1773" spans="2:5">
      <c r="B1773" s="232" t="s">
        <v>2813</v>
      </c>
      <c r="C1773" s="233" t="s">
        <v>1247</v>
      </c>
      <c r="D1773" s="234">
        <v>490060.4</v>
      </c>
      <c r="E1773" s="234">
        <v>441174.64</v>
      </c>
    </row>
    <row r="1774" spans="2:5">
      <c r="B1774" s="232" t="s">
        <v>2814</v>
      </c>
      <c r="C1774" s="233" t="s">
        <v>1247</v>
      </c>
      <c r="D1774" s="234">
        <v>48560.88</v>
      </c>
      <c r="E1774" s="234">
        <v>60259.040000000001</v>
      </c>
    </row>
    <row r="1775" spans="2:5">
      <c r="B1775" s="232" t="s">
        <v>2815</v>
      </c>
      <c r="C1775" s="233" t="s">
        <v>1247</v>
      </c>
      <c r="D1775" s="234">
        <v>485487.28</v>
      </c>
      <c r="E1775" s="234">
        <v>345960</v>
      </c>
    </row>
    <row r="1776" spans="2:5">
      <c r="B1776" s="232" t="s">
        <v>2816</v>
      </c>
      <c r="C1776" s="233" t="s">
        <v>1247</v>
      </c>
      <c r="D1776" s="234">
        <v>419578.8</v>
      </c>
      <c r="E1776" s="234">
        <v>377733.76</v>
      </c>
    </row>
    <row r="1777" spans="2:5">
      <c r="B1777" s="232" t="s">
        <v>2817</v>
      </c>
      <c r="C1777" s="233" t="s">
        <v>1247</v>
      </c>
      <c r="D1777" s="234">
        <v>269561.76</v>
      </c>
      <c r="E1777" s="234">
        <v>288587.78000000003</v>
      </c>
    </row>
    <row r="1778" spans="2:5">
      <c r="B1778" s="232" t="s">
        <v>2818</v>
      </c>
      <c r="C1778" s="233" t="s">
        <v>1247</v>
      </c>
      <c r="D1778" s="234">
        <v>280761.39</v>
      </c>
      <c r="E1778" s="234">
        <v>309288.59000000003</v>
      </c>
    </row>
    <row r="1779" spans="2:5">
      <c r="B1779" s="232" t="s">
        <v>2819</v>
      </c>
      <c r="C1779" s="233" t="s">
        <v>1247</v>
      </c>
      <c r="D1779" s="234">
        <v>316957.81</v>
      </c>
      <c r="E1779" s="234">
        <v>278006.69</v>
      </c>
    </row>
    <row r="1780" spans="2:5">
      <c r="B1780" s="232" t="s">
        <v>2820</v>
      </c>
      <c r="C1780" s="233" t="s">
        <v>1247</v>
      </c>
      <c r="D1780" s="234">
        <v>117297.96</v>
      </c>
      <c r="E1780" s="234">
        <v>113150.7</v>
      </c>
    </row>
    <row r="1781" spans="2:5">
      <c r="B1781" s="232" t="s">
        <v>2821</v>
      </c>
      <c r="C1781" s="233" t="s">
        <v>1247</v>
      </c>
      <c r="D1781" s="234">
        <v>138740.16</v>
      </c>
      <c r="E1781" s="234">
        <v>97023.42</v>
      </c>
    </row>
    <row r="1782" spans="2:5">
      <c r="B1782" s="232" t="s">
        <v>2822</v>
      </c>
      <c r="C1782" s="233" t="s">
        <v>1247</v>
      </c>
      <c r="D1782" s="234">
        <v>111395.7</v>
      </c>
      <c r="E1782" s="234">
        <v>106962.96</v>
      </c>
    </row>
    <row r="1783" spans="2:5">
      <c r="B1783" s="232" t="s">
        <v>2823</v>
      </c>
      <c r="C1783" s="233" t="s">
        <v>1247</v>
      </c>
      <c r="D1783" s="234">
        <v>293769.59999999998</v>
      </c>
      <c r="E1783" s="234">
        <v>282337.59999999998</v>
      </c>
    </row>
    <row r="1784" spans="2:5">
      <c r="B1784" s="232" t="s">
        <v>2824</v>
      </c>
      <c r="C1784" s="233" t="s">
        <v>1247</v>
      </c>
      <c r="D1784" s="234">
        <v>60811.199999999997</v>
      </c>
      <c r="E1784" s="234">
        <v>54580.800000000003</v>
      </c>
    </row>
    <row r="1785" spans="2:5">
      <c r="B1785" s="232" t="s">
        <v>2825</v>
      </c>
      <c r="C1785" s="233" t="s">
        <v>1247</v>
      </c>
      <c r="D1785" s="234">
        <v>223876.8</v>
      </c>
      <c r="E1785" s="234">
        <v>249798.39999999999</v>
      </c>
    </row>
    <row r="1786" spans="2:5">
      <c r="B1786" s="232" t="s">
        <v>2826</v>
      </c>
      <c r="C1786" s="233" t="s">
        <v>1247</v>
      </c>
      <c r="D1786" s="234">
        <v>303193.59999999998</v>
      </c>
      <c r="E1786" s="234">
        <v>220904</v>
      </c>
    </row>
    <row r="1787" spans="2:5">
      <c r="B1787" s="232" t="s">
        <v>2827</v>
      </c>
      <c r="C1787" s="233" t="s">
        <v>1247</v>
      </c>
      <c r="D1787" s="234">
        <v>199753.92</v>
      </c>
      <c r="E1787" s="234">
        <v>245150.31</v>
      </c>
    </row>
    <row r="1788" spans="2:5">
      <c r="B1788" s="232" t="s">
        <v>2828</v>
      </c>
      <c r="C1788" s="233" t="s">
        <v>1247</v>
      </c>
      <c r="D1788" s="234">
        <v>246598.98</v>
      </c>
      <c r="E1788" s="234">
        <v>220313.94</v>
      </c>
    </row>
    <row r="1789" spans="2:5">
      <c r="B1789" s="232" t="s">
        <v>2829</v>
      </c>
      <c r="C1789" s="233" t="s">
        <v>1247</v>
      </c>
      <c r="D1789" s="234">
        <v>228224.22</v>
      </c>
      <c r="E1789" s="234">
        <v>210637.65</v>
      </c>
    </row>
    <row r="1790" spans="2:5">
      <c r="B1790" s="232" t="s">
        <v>2830</v>
      </c>
      <c r="C1790" s="233" t="s">
        <v>1247</v>
      </c>
      <c r="D1790" s="234">
        <v>260430.36</v>
      </c>
      <c r="E1790" s="234">
        <v>199623.63</v>
      </c>
    </row>
    <row r="1791" spans="2:5">
      <c r="B1791" s="232" t="s">
        <v>2831</v>
      </c>
      <c r="C1791" s="233" t="s">
        <v>1247</v>
      </c>
      <c r="D1791" s="234">
        <v>619440.59</v>
      </c>
      <c r="E1791" s="234">
        <v>596118.97</v>
      </c>
    </row>
    <row r="1792" spans="2:5">
      <c r="B1792" s="232" t="s">
        <v>2832</v>
      </c>
      <c r="C1792" s="233" t="s">
        <v>1247</v>
      </c>
      <c r="D1792" s="234">
        <v>569576.67000000004</v>
      </c>
      <c r="E1792" s="234">
        <v>614603.92000000004</v>
      </c>
    </row>
    <row r="1793" spans="2:5">
      <c r="B1793" s="232" t="s">
        <v>2833</v>
      </c>
      <c r="C1793" s="233" t="s">
        <v>1247</v>
      </c>
      <c r="D1793" s="234">
        <v>1354382.4</v>
      </c>
      <c r="E1793" s="234">
        <v>881480.94</v>
      </c>
    </row>
    <row r="1794" spans="2:5">
      <c r="B1794" s="232" t="s">
        <v>2834</v>
      </c>
      <c r="C1794" s="233" t="s">
        <v>1247</v>
      </c>
      <c r="D1794" s="234">
        <v>202542.24</v>
      </c>
      <c r="E1794" s="234">
        <v>330494.19</v>
      </c>
    </row>
    <row r="1795" spans="2:5">
      <c r="B1795" s="232" t="s">
        <v>2835</v>
      </c>
      <c r="C1795" s="233" t="s">
        <v>1247</v>
      </c>
      <c r="D1795" s="234">
        <v>250223.38</v>
      </c>
      <c r="E1795" s="234">
        <v>474113.84</v>
      </c>
    </row>
    <row r="1796" spans="2:5">
      <c r="B1796" s="232" t="s">
        <v>2836</v>
      </c>
      <c r="C1796" s="233" t="s">
        <v>1247</v>
      </c>
      <c r="D1796" s="234">
        <v>643883.1</v>
      </c>
      <c r="E1796" s="234">
        <v>569348.96</v>
      </c>
    </row>
    <row r="1797" spans="2:5">
      <c r="B1797" s="232" t="s">
        <v>2837</v>
      </c>
      <c r="C1797" s="233" t="s">
        <v>1247</v>
      </c>
      <c r="D1797" s="234">
        <v>1024098.32</v>
      </c>
      <c r="E1797" s="234">
        <v>1145030.43</v>
      </c>
    </row>
    <row r="1798" spans="2:5">
      <c r="B1798" s="232" t="s">
        <v>2838</v>
      </c>
      <c r="C1798" s="233" t="s">
        <v>1247</v>
      </c>
      <c r="D1798" s="234">
        <v>1016017.81</v>
      </c>
      <c r="E1798" s="234">
        <v>897200.17</v>
      </c>
    </row>
    <row r="1799" spans="2:5">
      <c r="B1799" s="232" t="s">
        <v>2839</v>
      </c>
      <c r="C1799" s="233" t="s">
        <v>1247</v>
      </c>
      <c r="D1799" s="234"/>
      <c r="E1799" s="234">
        <v>270282.93</v>
      </c>
    </row>
    <row r="1800" spans="2:5">
      <c r="B1800" s="232" t="s">
        <v>2840</v>
      </c>
      <c r="C1800" s="233" t="s">
        <v>1247</v>
      </c>
      <c r="D1800" s="234"/>
      <c r="E1800" s="234">
        <v>333115.56</v>
      </c>
    </row>
    <row r="1801" spans="2:5">
      <c r="B1801" s="232" t="s">
        <v>2841</v>
      </c>
      <c r="C1801" s="233" t="s">
        <v>1247</v>
      </c>
      <c r="D1801" s="234">
        <v>852548.68</v>
      </c>
      <c r="E1801" s="234">
        <v>662506.98</v>
      </c>
    </row>
    <row r="1802" spans="2:5">
      <c r="B1802" s="232" t="s">
        <v>2842</v>
      </c>
      <c r="C1802" s="233" t="s">
        <v>1247</v>
      </c>
      <c r="D1802" s="234">
        <v>791218.3</v>
      </c>
      <c r="E1802" s="234">
        <v>838331.82</v>
      </c>
    </row>
    <row r="1803" spans="2:5">
      <c r="B1803" s="232" t="s">
        <v>2843</v>
      </c>
      <c r="C1803" s="233" t="s">
        <v>1247</v>
      </c>
      <c r="D1803" s="234">
        <v>163051.07</v>
      </c>
      <c r="E1803" s="234">
        <v>121836.26</v>
      </c>
    </row>
    <row r="1804" spans="2:5">
      <c r="B1804" s="232" t="s">
        <v>2844</v>
      </c>
      <c r="C1804" s="233" t="s">
        <v>1247</v>
      </c>
      <c r="D1804" s="234">
        <v>145525.38</v>
      </c>
      <c r="E1804" s="234">
        <v>171151.89</v>
      </c>
    </row>
    <row r="1805" spans="2:5">
      <c r="B1805" s="232" t="s">
        <v>2845</v>
      </c>
      <c r="C1805" s="233" t="s">
        <v>1247</v>
      </c>
      <c r="D1805" s="234">
        <v>146706.56</v>
      </c>
      <c r="E1805" s="234">
        <v>113868.3</v>
      </c>
    </row>
    <row r="1806" spans="2:5">
      <c r="B1806" s="232" t="s">
        <v>2846</v>
      </c>
      <c r="C1806" s="233" t="s">
        <v>1247</v>
      </c>
      <c r="D1806" s="234">
        <v>44639.4</v>
      </c>
      <c r="E1806" s="234">
        <v>29088.18</v>
      </c>
    </row>
    <row r="1807" spans="2:5">
      <c r="B1807" s="232" t="s">
        <v>2847</v>
      </c>
      <c r="C1807" s="233" t="s">
        <v>1247</v>
      </c>
      <c r="D1807" s="234">
        <v>211763.98</v>
      </c>
      <c r="E1807" s="234">
        <v>216508.76</v>
      </c>
    </row>
    <row r="1808" spans="2:5">
      <c r="B1808" s="232" t="s">
        <v>2848</v>
      </c>
      <c r="C1808" s="233" t="s">
        <v>1247</v>
      </c>
      <c r="D1808" s="234">
        <v>43272.959999999999</v>
      </c>
      <c r="E1808" s="234">
        <v>33890.78</v>
      </c>
    </row>
    <row r="1809" spans="2:5">
      <c r="B1809" s="232" t="s">
        <v>2849</v>
      </c>
      <c r="C1809" s="233" t="s">
        <v>1247</v>
      </c>
      <c r="D1809" s="234">
        <v>39875.74</v>
      </c>
      <c r="E1809" s="234">
        <v>36832.519999999997</v>
      </c>
    </row>
    <row r="1810" spans="2:5">
      <c r="B1810" s="232" t="s">
        <v>2850</v>
      </c>
      <c r="C1810" s="233" t="s">
        <v>1247</v>
      </c>
      <c r="D1810" s="234">
        <v>402053.34</v>
      </c>
      <c r="E1810" s="234">
        <v>355408.53</v>
      </c>
    </row>
    <row r="1811" spans="2:5">
      <c r="B1811" s="232" t="s">
        <v>2851</v>
      </c>
      <c r="C1811" s="233" t="s">
        <v>1247</v>
      </c>
      <c r="D1811" s="234">
        <v>412131.72</v>
      </c>
      <c r="E1811" s="234">
        <v>425499.48</v>
      </c>
    </row>
    <row r="1812" spans="2:5">
      <c r="B1812" s="232" t="s">
        <v>2852</v>
      </c>
      <c r="C1812" s="233" t="s">
        <v>1247</v>
      </c>
      <c r="D1812" s="234">
        <v>404223.63</v>
      </c>
      <c r="E1812" s="234">
        <v>340755.24</v>
      </c>
    </row>
    <row r="1813" spans="2:5">
      <c r="B1813" s="232" t="s">
        <v>2853</v>
      </c>
      <c r="C1813" s="233" t="s">
        <v>1247</v>
      </c>
      <c r="D1813" s="234">
        <v>70683.8</v>
      </c>
      <c r="E1813" s="234">
        <v>62601.77</v>
      </c>
    </row>
    <row r="1814" spans="2:5">
      <c r="B1814" s="232" t="s">
        <v>2854</v>
      </c>
      <c r="C1814" s="233" t="s">
        <v>1247</v>
      </c>
      <c r="D1814" s="234">
        <v>51974.12</v>
      </c>
      <c r="E1814" s="234">
        <v>60252.61</v>
      </c>
    </row>
    <row r="1815" spans="2:5">
      <c r="B1815" s="232" t="s">
        <v>2855</v>
      </c>
      <c r="C1815" s="233" t="s">
        <v>1247</v>
      </c>
      <c r="D1815" s="234">
        <v>66426.47</v>
      </c>
      <c r="E1815" s="234">
        <v>44199.32</v>
      </c>
    </row>
    <row r="1816" spans="2:5">
      <c r="B1816" s="232" t="s">
        <v>2856</v>
      </c>
      <c r="C1816" s="233" t="s">
        <v>1247</v>
      </c>
      <c r="D1816" s="234">
        <v>120419.7</v>
      </c>
      <c r="E1816" s="234">
        <v>100742.38</v>
      </c>
    </row>
    <row r="1817" spans="2:5">
      <c r="B1817" s="232" t="s">
        <v>2857</v>
      </c>
      <c r="C1817" s="233" t="s">
        <v>1247</v>
      </c>
      <c r="D1817" s="234">
        <v>119408.5</v>
      </c>
      <c r="E1817" s="234">
        <v>119410.87</v>
      </c>
    </row>
    <row r="1818" spans="2:5">
      <c r="B1818" s="232" t="s">
        <v>2858</v>
      </c>
      <c r="C1818" s="233" t="s">
        <v>1247</v>
      </c>
      <c r="D1818" s="234">
        <v>125090.18</v>
      </c>
      <c r="E1818" s="234">
        <v>105303.84</v>
      </c>
    </row>
    <row r="1819" spans="2:5">
      <c r="B1819" s="232" t="s">
        <v>2859</v>
      </c>
      <c r="C1819" s="233" t="s">
        <v>1247</v>
      </c>
      <c r="D1819" s="234">
        <v>158292.09</v>
      </c>
      <c r="E1819" s="234">
        <v>165821.04</v>
      </c>
    </row>
    <row r="1820" spans="2:5">
      <c r="B1820" s="232" t="s">
        <v>2860</v>
      </c>
      <c r="C1820" s="233" t="s">
        <v>1247</v>
      </c>
      <c r="D1820" s="234">
        <v>149848.38</v>
      </c>
      <c r="E1820" s="234">
        <v>163308.42000000001</v>
      </c>
    </row>
    <row r="1821" spans="2:5">
      <c r="B1821" s="232" t="s">
        <v>2861</v>
      </c>
      <c r="C1821" s="233" t="s">
        <v>1247</v>
      </c>
      <c r="D1821" s="234">
        <v>154509.29999999999</v>
      </c>
      <c r="E1821" s="234">
        <v>164723.13</v>
      </c>
    </row>
    <row r="1822" spans="2:5">
      <c r="B1822" s="232" t="s">
        <v>2862</v>
      </c>
      <c r="C1822" s="233" t="s">
        <v>1247</v>
      </c>
      <c r="D1822" s="234">
        <v>193099.5</v>
      </c>
      <c r="E1822" s="234">
        <v>147163.5</v>
      </c>
    </row>
    <row r="1823" spans="2:5">
      <c r="B1823" s="232" t="s">
        <v>2863</v>
      </c>
      <c r="C1823" s="233" t="s">
        <v>1247</v>
      </c>
      <c r="D1823" s="234">
        <v>208706.52</v>
      </c>
      <c r="E1823" s="234">
        <v>206198.76</v>
      </c>
    </row>
    <row r="1824" spans="2:5">
      <c r="B1824" s="232" t="s">
        <v>2864</v>
      </c>
      <c r="C1824" s="233" t="s">
        <v>1247</v>
      </c>
      <c r="D1824" s="234">
        <v>206686.38</v>
      </c>
      <c r="E1824" s="234">
        <v>240000.63</v>
      </c>
    </row>
    <row r="1825" spans="2:5">
      <c r="B1825" s="232" t="s">
        <v>2865</v>
      </c>
      <c r="C1825" s="233" t="s">
        <v>1247</v>
      </c>
      <c r="D1825" s="234">
        <v>150603.72</v>
      </c>
      <c r="E1825" s="234">
        <v>126633.17</v>
      </c>
    </row>
    <row r="1826" spans="2:5">
      <c r="B1826" s="232" t="s">
        <v>2866</v>
      </c>
      <c r="C1826" s="233" t="s">
        <v>1247</v>
      </c>
      <c r="D1826" s="234">
        <v>174069.7</v>
      </c>
      <c r="E1826" s="234">
        <v>175623.72</v>
      </c>
    </row>
    <row r="1827" spans="2:5">
      <c r="B1827" s="232" t="s">
        <v>2867</v>
      </c>
      <c r="C1827" s="233" t="s">
        <v>1247</v>
      </c>
      <c r="D1827" s="234">
        <v>154745.5</v>
      </c>
      <c r="E1827" s="234">
        <v>120989.68</v>
      </c>
    </row>
    <row r="1828" spans="2:5">
      <c r="B1828" s="232" t="s">
        <v>2868</v>
      </c>
      <c r="C1828" s="233" t="s">
        <v>1247</v>
      </c>
      <c r="D1828" s="234">
        <v>124072.06</v>
      </c>
      <c r="E1828" s="234">
        <v>124931.26</v>
      </c>
    </row>
    <row r="1829" spans="2:5">
      <c r="B1829" s="232" t="s">
        <v>2869</v>
      </c>
      <c r="C1829" s="233" t="s">
        <v>1247</v>
      </c>
      <c r="D1829" s="234">
        <v>176757.14</v>
      </c>
      <c r="E1829" s="234">
        <v>210579.95</v>
      </c>
    </row>
    <row r="1830" spans="2:5">
      <c r="B1830" s="232" t="s">
        <v>2870</v>
      </c>
      <c r="C1830" s="233" t="s">
        <v>1247</v>
      </c>
      <c r="D1830" s="234">
        <v>162266.09</v>
      </c>
      <c r="E1830" s="234">
        <v>175381.85</v>
      </c>
    </row>
    <row r="1831" spans="2:5">
      <c r="B1831" s="232" t="s">
        <v>2871</v>
      </c>
      <c r="C1831" s="233" t="s">
        <v>1247</v>
      </c>
      <c r="D1831" s="234">
        <v>211113.72</v>
      </c>
      <c r="E1831" s="234">
        <v>199524.06</v>
      </c>
    </row>
    <row r="1832" spans="2:5">
      <c r="B1832" s="232" t="s">
        <v>2872</v>
      </c>
      <c r="C1832" s="233" t="s">
        <v>1247</v>
      </c>
      <c r="D1832" s="234">
        <v>226193.67</v>
      </c>
      <c r="E1832" s="234">
        <v>192046.86</v>
      </c>
    </row>
    <row r="1833" spans="2:5">
      <c r="B1833" s="232" t="s">
        <v>2873</v>
      </c>
      <c r="C1833" s="233" t="s">
        <v>1247</v>
      </c>
      <c r="D1833" s="234">
        <v>182790.7</v>
      </c>
      <c r="E1833" s="234">
        <v>252700.56</v>
      </c>
    </row>
    <row r="1834" spans="2:5">
      <c r="B1834" s="232" t="s">
        <v>2874</v>
      </c>
      <c r="C1834" s="233" t="s">
        <v>1247</v>
      </c>
      <c r="D1834" s="234">
        <v>204789.96</v>
      </c>
      <c r="E1834" s="234">
        <v>162549.4</v>
      </c>
    </row>
    <row r="1835" spans="2:5">
      <c r="B1835" s="232" t="s">
        <v>2875</v>
      </c>
      <c r="C1835" s="233" t="s">
        <v>1247</v>
      </c>
      <c r="D1835" s="234">
        <v>195660.64</v>
      </c>
      <c r="E1835" s="234">
        <v>192170.58</v>
      </c>
    </row>
    <row r="1836" spans="2:5">
      <c r="B1836" s="232" t="s">
        <v>2876</v>
      </c>
      <c r="C1836" s="233" t="s">
        <v>1247</v>
      </c>
      <c r="D1836" s="234">
        <v>207203.64</v>
      </c>
      <c r="E1836" s="234">
        <v>163109.38</v>
      </c>
    </row>
    <row r="1837" spans="2:5">
      <c r="B1837" s="232" t="s">
        <v>2877</v>
      </c>
      <c r="C1837" s="233" t="s">
        <v>1247</v>
      </c>
      <c r="D1837" s="234">
        <v>128533.79</v>
      </c>
      <c r="E1837" s="234">
        <v>203363.38</v>
      </c>
    </row>
    <row r="1838" spans="2:5">
      <c r="B1838" s="232" t="s">
        <v>2878</v>
      </c>
      <c r="C1838" s="233" t="s">
        <v>1247</v>
      </c>
      <c r="D1838" s="234">
        <v>159548.4</v>
      </c>
      <c r="E1838" s="234">
        <v>198279.73</v>
      </c>
    </row>
    <row r="1839" spans="2:5">
      <c r="B1839" s="232" t="s">
        <v>2879</v>
      </c>
      <c r="C1839" s="233" t="s">
        <v>1247</v>
      </c>
      <c r="D1839" s="234">
        <v>203718.04</v>
      </c>
      <c r="E1839" s="234">
        <v>174060.32</v>
      </c>
    </row>
    <row r="1840" spans="2:5">
      <c r="B1840" s="232" t="s">
        <v>2880</v>
      </c>
      <c r="C1840" s="233" t="s">
        <v>1247</v>
      </c>
      <c r="D1840" s="234">
        <v>194572.6</v>
      </c>
      <c r="E1840" s="234">
        <v>198969</v>
      </c>
    </row>
    <row r="1841" spans="2:5">
      <c r="B1841" s="232" t="s">
        <v>2881</v>
      </c>
      <c r="C1841" s="233" t="s">
        <v>1247</v>
      </c>
      <c r="D1841" s="234">
        <v>213872.68</v>
      </c>
      <c r="E1841" s="234">
        <v>198477.16</v>
      </c>
    </row>
    <row r="1842" spans="2:5">
      <c r="B1842" s="232" t="s">
        <v>2882</v>
      </c>
      <c r="C1842" s="233" t="s">
        <v>1247</v>
      </c>
      <c r="D1842" s="234">
        <v>270477.31</v>
      </c>
      <c r="E1842" s="234">
        <v>267078.76</v>
      </c>
    </row>
    <row r="1843" spans="2:5">
      <c r="B1843" s="232" t="s">
        <v>2883</v>
      </c>
      <c r="C1843" s="233" t="s">
        <v>1247</v>
      </c>
      <c r="D1843" s="234">
        <v>296541.01</v>
      </c>
      <c r="E1843" s="234">
        <v>270236.07</v>
      </c>
    </row>
    <row r="1844" spans="2:5">
      <c r="B1844" s="232" t="s">
        <v>2884</v>
      </c>
      <c r="C1844" s="233" t="s">
        <v>1247</v>
      </c>
      <c r="D1844" s="234">
        <v>309535.37</v>
      </c>
      <c r="E1844" s="234">
        <v>288514.89</v>
      </c>
    </row>
    <row r="1845" spans="2:5">
      <c r="B1845" s="232" t="s">
        <v>2885</v>
      </c>
      <c r="C1845" s="233" t="s">
        <v>1247</v>
      </c>
      <c r="D1845" s="234">
        <v>333683.7</v>
      </c>
      <c r="E1845" s="234">
        <v>298326.59999999998</v>
      </c>
    </row>
    <row r="1846" spans="2:5">
      <c r="B1846" s="232" t="s">
        <v>2886</v>
      </c>
      <c r="C1846" s="233" t="s">
        <v>1247</v>
      </c>
      <c r="D1846" s="234">
        <v>275137.09999999998</v>
      </c>
      <c r="E1846" s="234">
        <v>352527.9</v>
      </c>
    </row>
    <row r="1847" spans="2:5">
      <c r="B1847" s="232" t="s">
        <v>2887</v>
      </c>
      <c r="C1847" s="233" t="s">
        <v>1247</v>
      </c>
      <c r="D1847" s="234">
        <v>386788.7</v>
      </c>
      <c r="E1847" s="234">
        <v>322359.7</v>
      </c>
    </row>
    <row r="1848" spans="2:5">
      <c r="B1848" s="232" t="s">
        <v>2888</v>
      </c>
      <c r="C1848" s="233" t="s">
        <v>1247</v>
      </c>
      <c r="D1848" s="234">
        <v>116639.03999999999</v>
      </c>
      <c r="E1848" s="234">
        <v>105346.62</v>
      </c>
    </row>
    <row r="1849" spans="2:5">
      <c r="B1849" s="232" t="s">
        <v>2889</v>
      </c>
      <c r="C1849" s="233" t="s">
        <v>1247</v>
      </c>
      <c r="D1849" s="234">
        <v>106053.48</v>
      </c>
      <c r="E1849" s="234">
        <v>119776.56</v>
      </c>
    </row>
    <row r="1850" spans="2:5">
      <c r="B1850" s="232" t="s">
        <v>2890</v>
      </c>
      <c r="C1850" s="233" t="s">
        <v>1247</v>
      </c>
      <c r="D1850" s="234">
        <v>264755.67</v>
      </c>
      <c r="E1850" s="234">
        <v>235719.09</v>
      </c>
    </row>
    <row r="1851" spans="2:5">
      <c r="B1851" s="232" t="s">
        <v>2891</v>
      </c>
      <c r="C1851" s="233" t="s">
        <v>1247</v>
      </c>
      <c r="D1851" s="234">
        <v>292402.59000000003</v>
      </c>
      <c r="E1851" s="234">
        <v>240191.76</v>
      </c>
    </row>
    <row r="1852" spans="2:5">
      <c r="B1852" s="232" t="s">
        <v>2892</v>
      </c>
      <c r="C1852" s="233" t="s">
        <v>1247</v>
      </c>
      <c r="D1852" s="234">
        <v>89441.76</v>
      </c>
      <c r="E1852" s="234">
        <v>117038.88</v>
      </c>
    </row>
    <row r="1853" spans="2:5">
      <c r="B1853" s="232" t="s">
        <v>2893</v>
      </c>
      <c r="C1853" s="233" t="s">
        <v>1247</v>
      </c>
      <c r="D1853" s="234">
        <v>162318.72</v>
      </c>
      <c r="E1853" s="234">
        <v>143461.98000000001</v>
      </c>
    </row>
    <row r="1854" spans="2:5">
      <c r="B1854" s="232" t="s">
        <v>2894</v>
      </c>
      <c r="C1854" s="233" t="s">
        <v>1247</v>
      </c>
      <c r="D1854" s="234">
        <v>265326.48</v>
      </c>
      <c r="E1854" s="234">
        <v>259133.43</v>
      </c>
    </row>
    <row r="1855" spans="2:5">
      <c r="B1855" s="232" t="s">
        <v>2895</v>
      </c>
      <c r="C1855" s="233" t="s">
        <v>1247</v>
      </c>
      <c r="D1855" s="234">
        <v>107833.32</v>
      </c>
      <c r="E1855" s="234">
        <v>98688.45</v>
      </c>
    </row>
    <row r="1856" spans="2:5">
      <c r="B1856" s="232" t="s">
        <v>2896</v>
      </c>
      <c r="C1856" s="233" t="s">
        <v>1247</v>
      </c>
      <c r="D1856" s="234">
        <v>100259.88</v>
      </c>
      <c r="E1856" s="234">
        <v>89728.8</v>
      </c>
    </row>
    <row r="1857" spans="2:5">
      <c r="B1857" s="232" t="s">
        <v>2897</v>
      </c>
      <c r="C1857" s="233" t="s">
        <v>1247</v>
      </c>
      <c r="D1857" s="234">
        <v>91131.18</v>
      </c>
      <c r="E1857" s="234">
        <v>147077.91</v>
      </c>
    </row>
    <row r="1858" spans="2:5">
      <c r="B1858" s="232" t="s">
        <v>2898</v>
      </c>
      <c r="C1858" s="233" t="s">
        <v>1247</v>
      </c>
      <c r="D1858" s="234">
        <v>199862.04</v>
      </c>
      <c r="E1858" s="234">
        <v>306665.34999999998</v>
      </c>
    </row>
    <row r="1859" spans="2:5">
      <c r="B1859" s="232" t="s">
        <v>2899</v>
      </c>
      <c r="C1859" s="233" t="s">
        <v>1247</v>
      </c>
      <c r="D1859" s="234"/>
      <c r="E1859" s="234">
        <v>45197.73</v>
      </c>
    </row>
    <row r="1860" spans="2:5">
      <c r="B1860" s="232" t="s">
        <v>2900</v>
      </c>
      <c r="C1860" s="233" t="s">
        <v>1247</v>
      </c>
      <c r="D1860" s="234">
        <v>157013.85</v>
      </c>
      <c r="E1860" s="234">
        <v>353761.49</v>
      </c>
    </row>
    <row r="1861" spans="2:5">
      <c r="B1861" s="232" t="s">
        <v>2901</v>
      </c>
      <c r="C1861" s="233" t="s">
        <v>1247</v>
      </c>
      <c r="D1861" s="234">
        <v>175223.93</v>
      </c>
      <c r="E1861" s="234">
        <v>330572.95</v>
      </c>
    </row>
    <row r="1862" spans="2:5">
      <c r="B1862" s="232" t="s">
        <v>2902</v>
      </c>
      <c r="C1862" s="233" t="s">
        <v>1247</v>
      </c>
      <c r="D1862" s="234">
        <v>3901613.73</v>
      </c>
      <c r="E1862" s="234">
        <v>3917357.43</v>
      </c>
    </row>
    <row r="1863" spans="2:5">
      <c r="B1863" s="232" t="s">
        <v>2903</v>
      </c>
      <c r="C1863" s="233" t="s">
        <v>1247</v>
      </c>
      <c r="D1863" s="234">
        <v>4158286.02</v>
      </c>
      <c r="E1863" s="234">
        <v>4587614.22</v>
      </c>
    </row>
    <row r="1864" spans="2:5">
      <c r="B1864" s="232" t="s">
        <v>2904</v>
      </c>
      <c r="C1864" s="233" t="s">
        <v>1247</v>
      </c>
      <c r="D1864" s="234">
        <v>5027388.24</v>
      </c>
      <c r="E1864" s="234">
        <v>4405362.1500000004</v>
      </c>
    </row>
    <row r="1865" spans="2:5">
      <c r="B1865" s="232" t="s">
        <v>2905</v>
      </c>
      <c r="C1865" s="233" t="s">
        <v>1247</v>
      </c>
      <c r="D1865" s="234">
        <v>3809700</v>
      </c>
      <c r="E1865" s="234">
        <v>4186975.05</v>
      </c>
    </row>
    <row r="1866" spans="2:5">
      <c r="B1866" s="232" t="s">
        <v>2906</v>
      </c>
      <c r="C1866" s="233" t="s">
        <v>1247</v>
      </c>
      <c r="D1866" s="234">
        <v>3913181.55</v>
      </c>
      <c r="E1866" s="234">
        <v>3770547.3</v>
      </c>
    </row>
    <row r="1867" spans="2:5">
      <c r="B1867" s="232" t="s">
        <v>2907</v>
      </c>
      <c r="C1867" s="233" t="s">
        <v>1247</v>
      </c>
      <c r="D1867" s="234">
        <v>4017053.25</v>
      </c>
      <c r="E1867" s="234">
        <v>3834049.95</v>
      </c>
    </row>
    <row r="1868" spans="2:5">
      <c r="B1868" s="232" t="s">
        <v>2908</v>
      </c>
      <c r="C1868" s="233" t="s">
        <v>1247</v>
      </c>
      <c r="D1868" s="234">
        <v>958134.89</v>
      </c>
      <c r="E1868" s="234">
        <v>929637</v>
      </c>
    </row>
    <row r="1869" spans="2:5">
      <c r="B1869" s="232" t="s">
        <v>2909</v>
      </c>
      <c r="C1869" s="233" t="s">
        <v>1247</v>
      </c>
      <c r="D1869" s="234">
        <v>876318.85</v>
      </c>
      <c r="E1869" s="234">
        <v>883509.44</v>
      </c>
    </row>
    <row r="1870" spans="2:5">
      <c r="B1870" s="232" t="s">
        <v>2910</v>
      </c>
      <c r="C1870" s="233" t="s">
        <v>1247</v>
      </c>
      <c r="D1870" s="234">
        <v>879647.18</v>
      </c>
      <c r="E1870" s="234">
        <v>849402.79</v>
      </c>
    </row>
    <row r="1871" spans="2:5">
      <c r="B1871" s="232" t="s">
        <v>2911</v>
      </c>
      <c r="C1871" s="233" t="s">
        <v>1247</v>
      </c>
      <c r="D1871" s="234">
        <v>423478.25</v>
      </c>
      <c r="E1871" s="234">
        <v>434165.68</v>
      </c>
    </row>
    <row r="1872" spans="2:5">
      <c r="B1872" s="232" t="s">
        <v>2912</v>
      </c>
      <c r="C1872" s="233" t="s">
        <v>1247</v>
      </c>
      <c r="D1872" s="234">
        <v>429833</v>
      </c>
      <c r="E1872" s="234">
        <v>424744.62</v>
      </c>
    </row>
    <row r="1873" spans="2:5">
      <c r="B1873" s="232" t="s">
        <v>2913</v>
      </c>
      <c r="C1873" s="233" t="s">
        <v>1247</v>
      </c>
      <c r="D1873" s="234">
        <v>371820.43</v>
      </c>
      <c r="E1873" s="234">
        <v>370203.69</v>
      </c>
    </row>
    <row r="1874" spans="2:5">
      <c r="B1874" s="232" t="s">
        <v>2914</v>
      </c>
      <c r="C1874" s="233" t="s">
        <v>1247</v>
      </c>
      <c r="D1874" s="234">
        <v>730998.27</v>
      </c>
      <c r="E1874" s="234">
        <v>1416062.52</v>
      </c>
    </row>
    <row r="1875" spans="2:5">
      <c r="B1875" s="232" t="s">
        <v>2915</v>
      </c>
      <c r="C1875" s="233" t="s">
        <v>1247</v>
      </c>
      <c r="D1875" s="234">
        <v>629719.65</v>
      </c>
      <c r="E1875" s="234">
        <v>1592156.25</v>
      </c>
    </row>
    <row r="1876" spans="2:5">
      <c r="B1876" s="232" t="s">
        <v>2916</v>
      </c>
      <c r="C1876" s="233" t="s">
        <v>1247</v>
      </c>
      <c r="D1876" s="234">
        <v>845323.83</v>
      </c>
      <c r="E1876" s="234">
        <v>1475143.38</v>
      </c>
    </row>
    <row r="1877" spans="2:5">
      <c r="B1877" s="232" t="s">
        <v>2917</v>
      </c>
      <c r="C1877" s="233" t="s">
        <v>1247</v>
      </c>
      <c r="D1877" s="234">
        <v>470762.52</v>
      </c>
      <c r="E1877" s="234">
        <v>993698.4</v>
      </c>
    </row>
    <row r="1878" spans="2:5">
      <c r="B1878" s="232" t="s">
        <v>2918</v>
      </c>
      <c r="C1878" s="233" t="s">
        <v>1247</v>
      </c>
      <c r="D1878" s="234">
        <v>555404.43000000005</v>
      </c>
      <c r="E1878" s="234">
        <v>945781.95</v>
      </c>
    </row>
    <row r="1879" spans="2:5">
      <c r="B1879" s="232" t="s">
        <v>2919</v>
      </c>
      <c r="C1879" s="233" t="s">
        <v>1247</v>
      </c>
      <c r="D1879" s="234">
        <v>610884.06000000006</v>
      </c>
      <c r="E1879" s="234">
        <v>828014.43</v>
      </c>
    </row>
    <row r="1880" spans="2:5">
      <c r="B1880" s="232" t="s">
        <v>2920</v>
      </c>
      <c r="C1880" s="233" t="s">
        <v>1247</v>
      </c>
      <c r="D1880" s="234">
        <v>246670.6</v>
      </c>
      <c r="E1880" s="234">
        <v>175543.17</v>
      </c>
    </row>
    <row r="1881" spans="2:5">
      <c r="B1881" s="232" t="s">
        <v>2921</v>
      </c>
      <c r="C1881" s="233" t="s">
        <v>1247</v>
      </c>
      <c r="D1881" s="234">
        <v>220077.22</v>
      </c>
      <c r="E1881" s="234">
        <v>201111.67999999999</v>
      </c>
    </row>
    <row r="1882" spans="2:5">
      <c r="B1882" s="232" t="s">
        <v>2922</v>
      </c>
      <c r="C1882" s="233" t="s">
        <v>1247</v>
      </c>
      <c r="D1882" s="234">
        <v>166135.42000000001</v>
      </c>
      <c r="E1882" s="234">
        <v>230681.66</v>
      </c>
    </row>
    <row r="1883" spans="2:5">
      <c r="B1883" s="232" t="s">
        <v>2923</v>
      </c>
      <c r="C1883" s="233" t="s">
        <v>1247</v>
      </c>
      <c r="D1883" s="234">
        <v>203733.75</v>
      </c>
      <c r="E1883" s="234">
        <v>165652.63</v>
      </c>
    </row>
    <row r="1884" spans="2:5">
      <c r="B1884" s="232" t="s">
        <v>2924</v>
      </c>
      <c r="C1884" s="233" t="s">
        <v>1247</v>
      </c>
      <c r="D1884" s="234">
        <v>295902.2</v>
      </c>
      <c r="E1884" s="234">
        <v>295995.3</v>
      </c>
    </row>
    <row r="1885" spans="2:5">
      <c r="B1885" s="232" t="s">
        <v>2925</v>
      </c>
      <c r="C1885" s="233" t="s">
        <v>1247</v>
      </c>
      <c r="D1885" s="234">
        <v>265319.8</v>
      </c>
      <c r="E1885" s="234">
        <v>287420.59999999998</v>
      </c>
    </row>
    <row r="1886" spans="2:5">
      <c r="B1886" s="232" t="s">
        <v>2926</v>
      </c>
      <c r="C1886" s="233" t="s">
        <v>1247</v>
      </c>
      <c r="D1886" s="234">
        <v>301758</v>
      </c>
      <c r="E1886" s="234">
        <v>321455.3</v>
      </c>
    </row>
    <row r="1887" spans="2:5">
      <c r="B1887" s="232" t="s">
        <v>2927</v>
      </c>
      <c r="C1887" s="233" t="s">
        <v>1247</v>
      </c>
      <c r="D1887" s="234">
        <v>178320.44</v>
      </c>
      <c r="E1887" s="234">
        <v>179372.13</v>
      </c>
    </row>
    <row r="1888" spans="2:5">
      <c r="B1888" s="232" t="s">
        <v>2928</v>
      </c>
      <c r="C1888" s="233" t="s">
        <v>1247</v>
      </c>
      <c r="D1888" s="234">
        <v>133885.91</v>
      </c>
      <c r="E1888" s="234">
        <v>169397.39</v>
      </c>
    </row>
    <row r="1889" spans="2:5">
      <c r="B1889" s="232" t="s">
        <v>2929</v>
      </c>
      <c r="C1889" s="233" t="s">
        <v>1247</v>
      </c>
      <c r="D1889" s="234">
        <v>232036.95</v>
      </c>
      <c r="E1889" s="234">
        <v>159191.73000000001</v>
      </c>
    </row>
    <row r="1890" spans="2:5">
      <c r="B1890" s="232" t="s">
        <v>2930</v>
      </c>
      <c r="C1890" s="233" t="s">
        <v>1247</v>
      </c>
      <c r="D1890" s="234">
        <v>95889.3</v>
      </c>
      <c r="E1890" s="234">
        <v>241008.95</v>
      </c>
    </row>
    <row r="1891" spans="2:5">
      <c r="B1891" s="232" t="s">
        <v>2931</v>
      </c>
      <c r="C1891" s="233" t="s">
        <v>1247</v>
      </c>
      <c r="D1891" s="234">
        <v>76887.850000000006</v>
      </c>
      <c r="E1891" s="234">
        <v>176673.12</v>
      </c>
    </row>
    <row r="1892" spans="2:5">
      <c r="B1892" s="232" t="s">
        <v>2932</v>
      </c>
      <c r="C1892" s="233" t="s">
        <v>1247</v>
      </c>
      <c r="D1892" s="234">
        <v>96681.65</v>
      </c>
      <c r="E1892" s="234">
        <v>170779.83</v>
      </c>
    </row>
    <row r="1893" spans="2:5">
      <c r="B1893" s="232" t="s">
        <v>2933</v>
      </c>
      <c r="C1893" s="233" t="s">
        <v>1247</v>
      </c>
      <c r="D1893" s="234">
        <v>161991.44</v>
      </c>
      <c r="E1893" s="234">
        <v>182855.13</v>
      </c>
    </row>
    <row r="1894" spans="2:5">
      <c r="B1894" s="232" t="s">
        <v>2934</v>
      </c>
      <c r="C1894" s="233" t="s">
        <v>1247</v>
      </c>
      <c r="D1894" s="234">
        <v>210276.26</v>
      </c>
      <c r="E1894" s="234">
        <v>171439.56</v>
      </c>
    </row>
    <row r="1895" spans="2:5">
      <c r="B1895" s="232" t="s">
        <v>2935</v>
      </c>
      <c r="C1895" s="233" t="s">
        <v>1247</v>
      </c>
      <c r="D1895" s="234">
        <v>170091.23</v>
      </c>
      <c r="E1895" s="234">
        <v>184586.05</v>
      </c>
    </row>
    <row r="1896" spans="2:5">
      <c r="B1896" s="232" t="s">
        <v>2936</v>
      </c>
      <c r="C1896" s="233" t="s">
        <v>1247</v>
      </c>
      <c r="D1896" s="234">
        <v>230701.08</v>
      </c>
      <c r="E1896" s="234">
        <v>216625.94</v>
      </c>
    </row>
    <row r="1897" spans="2:5">
      <c r="B1897" s="232" t="s">
        <v>2937</v>
      </c>
      <c r="C1897" s="233" t="s">
        <v>1247</v>
      </c>
      <c r="D1897" s="234">
        <v>246277.42</v>
      </c>
      <c r="E1897" s="234">
        <v>220426.2</v>
      </c>
    </row>
    <row r="1898" spans="2:5">
      <c r="B1898" s="232" t="s">
        <v>2938</v>
      </c>
      <c r="C1898" s="233" t="s">
        <v>1247</v>
      </c>
      <c r="D1898" s="234">
        <v>176727.38</v>
      </c>
      <c r="E1898" s="234">
        <v>218516.34</v>
      </c>
    </row>
    <row r="1899" spans="2:5">
      <c r="B1899" s="232" t="s">
        <v>2939</v>
      </c>
      <c r="C1899" s="233" t="s">
        <v>1247</v>
      </c>
      <c r="D1899" s="234">
        <v>393655.08</v>
      </c>
      <c r="E1899" s="234">
        <v>381536.48</v>
      </c>
    </row>
    <row r="1900" spans="2:5">
      <c r="B1900" s="232" t="s">
        <v>2940</v>
      </c>
      <c r="C1900" s="233" t="s">
        <v>1247</v>
      </c>
      <c r="D1900" s="234">
        <v>382473.4</v>
      </c>
      <c r="E1900" s="234">
        <v>439429.64</v>
      </c>
    </row>
    <row r="1901" spans="2:5">
      <c r="B1901" s="232" t="s">
        <v>2941</v>
      </c>
      <c r="C1901" s="233" t="s">
        <v>1247</v>
      </c>
      <c r="D1901" s="234">
        <v>390367.6</v>
      </c>
      <c r="E1901" s="234">
        <v>389810.64</v>
      </c>
    </row>
    <row r="1902" spans="2:5">
      <c r="B1902" s="232" t="s">
        <v>2942</v>
      </c>
      <c r="C1902" s="233" t="s">
        <v>1247</v>
      </c>
      <c r="D1902" s="234">
        <v>436234.2</v>
      </c>
      <c r="E1902" s="234">
        <v>354944</v>
      </c>
    </row>
    <row r="1903" spans="2:5">
      <c r="B1903" s="232" t="s">
        <v>2943</v>
      </c>
      <c r="C1903" s="233" t="s">
        <v>1212</v>
      </c>
      <c r="D1903" s="234">
        <v>138083.23000000001</v>
      </c>
      <c r="E1903" s="234">
        <v>195644.83</v>
      </c>
    </row>
    <row r="1904" spans="2:5">
      <c r="B1904" s="232" t="s">
        <v>2944</v>
      </c>
      <c r="C1904" s="233" t="s">
        <v>1212</v>
      </c>
      <c r="D1904" s="234">
        <v>102118.63</v>
      </c>
      <c r="E1904" s="234">
        <v>178605.07</v>
      </c>
    </row>
    <row r="1905" spans="2:5">
      <c r="B1905" s="232" t="s">
        <v>2945</v>
      </c>
      <c r="C1905" s="233" t="s">
        <v>1212</v>
      </c>
      <c r="D1905" s="234">
        <v>96696.33</v>
      </c>
      <c r="E1905" s="234">
        <v>181439.19</v>
      </c>
    </row>
    <row r="1906" spans="2:5">
      <c r="B1906" s="232" t="s">
        <v>2946</v>
      </c>
      <c r="C1906" s="233" t="s">
        <v>1212</v>
      </c>
      <c r="D1906" s="234">
        <v>126254.63</v>
      </c>
      <c r="E1906" s="234">
        <v>159163.07999999999</v>
      </c>
    </row>
    <row r="1907" spans="2:5">
      <c r="B1907" s="232" t="s">
        <v>2947</v>
      </c>
      <c r="C1907" s="233" t="s">
        <v>1212</v>
      </c>
      <c r="D1907" s="234">
        <v>118258.48</v>
      </c>
      <c r="E1907" s="234">
        <v>144497.9</v>
      </c>
    </row>
    <row r="1908" spans="2:5">
      <c r="B1908" s="232" t="s">
        <v>2948</v>
      </c>
      <c r="C1908" s="233" t="s">
        <v>1212</v>
      </c>
      <c r="D1908" s="234">
        <v>160838.15</v>
      </c>
      <c r="E1908" s="234">
        <v>171470.62</v>
      </c>
    </row>
    <row r="1909" spans="2:5">
      <c r="B1909" s="232" t="s">
        <v>2949</v>
      </c>
      <c r="C1909" s="233" t="s">
        <v>1212</v>
      </c>
      <c r="D1909" s="234">
        <v>141167.35999999999</v>
      </c>
      <c r="E1909" s="234">
        <v>140814.49</v>
      </c>
    </row>
    <row r="1910" spans="2:5">
      <c r="B1910" s="232" t="s">
        <v>2950</v>
      </c>
      <c r="C1910" s="233" t="s">
        <v>1212</v>
      </c>
      <c r="D1910" s="234">
        <v>214997.91</v>
      </c>
      <c r="E1910" s="234">
        <v>165770.44</v>
      </c>
    </row>
    <row r="1911" spans="2:5">
      <c r="B1911" s="232" t="s">
        <v>2951</v>
      </c>
      <c r="C1911" s="233" t="s">
        <v>1212</v>
      </c>
      <c r="D1911" s="234">
        <v>159471.51</v>
      </c>
      <c r="E1911" s="234">
        <v>140495.26</v>
      </c>
    </row>
    <row r="1912" spans="2:5">
      <c r="B1912" s="232" t="s">
        <v>2952</v>
      </c>
      <c r="C1912" s="233" t="s">
        <v>1212</v>
      </c>
      <c r="D1912" s="234">
        <v>150736.07</v>
      </c>
      <c r="E1912" s="234">
        <v>125940.28</v>
      </c>
    </row>
    <row r="1913" spans="2:5">
      <c r="B1913" s="232" t="s">
        <v>2953</v>
      </c>
      <c r="C1913" s="233" t="s">
        <v>1247</v>
      </c>
      <c r="D1913" s="234">
        <v>324604.56</v>
      </c>
      <c r="E1913" s="234">
        <v>276813.08</v>
      </c>
    </row>
    <row r="1914" spans="2:5">
      <c r="B1914" s="232" t="s">
        <v>2954</v>
      </c>
      <c r="C1914" s="233" t="s">
        <v>1247</v>
      </c>
      <c r="D1914" s="234">
        <v>317657.96000000002</v>
      </c>
      <c r="E1914" s="234">
        <v>355395.2</v>
      </c>
    </row>
    <row r="1915" spans="2:5">
      <c r="B1915" s="232" t="s">
        <v>2955</v>
      </c>
      <c r="C1915" s="233" t="s">
        <v>1247</v>
      </c>
      <c r="D1915" s="234">
        <v>310015.76</v>
      </c>
      <c r="E1915" s="234">
        <v>347390.16</v>
      </c>
    </row>
    <row r="1916" spans="2:5">
      <c r="B1916" s="232" t="s">
        <v>2956</v>
      </c>
      <c r="C1916" s="233" t="s">
        <v>1354</v>
      </c>
      <c r="D1916" s="234">
        <v>60564</v>
      </c>
      <c r="E1916" s="234">
        <v>69325.2</v>
      </c>
    </row>
    <row r="1917" spans="2:5">
      <c r="B1917" s="232" t="s">
        <v>2957</v>
      </c>
      <c r="C1917" s="233" t="s">
        <v>1247</v>
      </c>
      <c r="D1917" s="234">
        <v>35408.18</v>
      </c>
      <c r="E1917" s="234">
        <v>22047.4</v>
      </c>
    </row>
    <row r="1918" spans="2:5">
      <c r="B1918" s="232" t="s">
        <v>2958</v>
      </c>
      <c r="C1918" s="233" t="s">
        <v>1247</v>
      </c>
      <c r="D1918" s="234">
        <v>31788.92</v>
      </c>
      <c r="E1918" s="234">
        <v>20804.53</v>
      </c>
    </row>
    <row r="1919" spans="2:5">
      <c r="B1919" s="232" t="s">
        <v>2959</v>
      </c>
      <c r="C1919" s="233" t="s">
        <v>1247</v>
      </c>
      <c r="D1919" s="234">
        <v>23676.74</v>
      </c>
      <c r="E1919" s="234">
        <v>33880.5</v>
      </c>
    </row>
    <row r="1920" spans="2:5">
      <c r="B1920" s="232" t="s">
        <v>2960</v>
      </c>
      <c r="C1920" s="233" t="s">
        <v>1247</v>
      </c>
      <c r="D1920" s="234">
        <v>26259.32</v>
      </c>
      <c r="E1920" s="234">
        <v>30807.87</v>
      </c>
    </row>
    <row r="1921" spans="2:5">
      <c r="B1921" s="232" t="s">
        <v>2961</v>
      </c>
      <c r="C1921" s="233" t="s">
        <v>1165</v>
      </c>
      <c r="D1921" s="234">
        <v>113250.06</v>
      </c>
      <c r="E1921" s="234">
        <v>99417.78</v>
      </c>
    </row>
    <row r="1922" spans="2:5">
      <c r="B1922" s="232" t="s">
        <v>2962</v>
      </c>
      <c r="C1922" s="233" t="s">
        <v>1165</v>
      </c>
      <c r="D1922" s="234">
        <v>89500.95</v>
      </c>
      <c r="E1922" s="234">
        <v>115717.14</v>
      </c>
    </row>
    <row r="1923" spans="2:5">
      <c r="B1923" s="232" t="s">
        <v>2963</v>
      </c>
      <c r="C1923" s="233" t="s">
        <v>1165</v>
      </c>
      <c r="D1923" s="234">
        <v>100964.43</v>
      </c>
      <c r="E1923" s="234">
        <v>115042.2</v>
      </c>
    </row>
    <row r="1924" spans="2:5">
      <c r="B1924" s="232" t="s">
        <v>2964</v>
      </c>
      <c r="C1924" s="233" t="s">
        <v>1165</v>
      </c>
      <c r="D1924" s="234">
        <v>78433.289999999994</v>
      </c>
      <c r="E1924" s="234">
        <v>85830.15</v>
      </c>
    </row>
    <row r="1925" spans="2:5">
      <c r="B1925" s="232" t="s">
        <v>2965</v>
      </c>
      <c r="C1925" s="233" t="s">
        <v>1165</v>
      </c>
      <c r="D1925" s="234">
        <v>172729.69</v>
      </c>
      <c r="E1925" s="234">
        <v>187279.82</v>
      </c>
    </row>
    <row r="1926" spans="2:5">
      <c r="B1926" s="232" t="s">
        <v>2966</v>
      </c>
      <c r="C1926" s="233" t="s">
        <v>1165</v>
      </c>
      <c r="D1926" s="234">
        <v>193853.38</v>
      </c>
      <c r="E1926" s="234">
        <v>208573.68</v>
      </c>
    </row>
    <row r="1927" spans="2:5">
      <c r="B1927" s="232" t="s">
        <v>2967</v>
      </c>
      <c r="C1927" s="233" t="s">
        <v>1165</v>
      </c>
      <c r="D1927" s="234">
        <v>213863.45</v>
      </c>
      <c r="E1927" s="234">
        <v>199594.26</v>
      </c>
    </row>
    <row r="1928" spans="2:5">
      <c r="B1928" s="232" t="s">
        <v>2968</v>
      </c>
      <c r="C1928" s="233" t="s">
        <v>1165</v>
      </c>
      <c r="D1928" s="234">
        <v>201936.67</v>
      </c>
      <c r="E1928" s="234">
        <v>197069.82</v>
      </c>
    </row>
    <row r="1929" spans="2:5">
      <c r="B1929" s="232" t="s">
        <v>2969</v>
      </c>
      <c r="C1929" s="233" t="s">
        <v>1165</v>
      </c>
      <c r="D1929" s="234">
        <v>244028.59</v>
      </c>
      <c r="E1929" s="234">
        <v>197788.76</v>
      </c>
    </row>
    <row r="1930" spans="2:5">
      <c r="B1930" s="232" t="s">
        <v>2970</v>
      </c>
      <c r="C1930" s="233" t="s">
        <v>1165</v>
      </c>
      <c r="D1930" s="234">
        <v>221567.3</v>
      </c>
      <c r="E1930" s="234">
        <v>217628.32</v>
      </c>
    </row>
    <row r="1931" spans="2:5">
      <c r="B1931" s="232" t="s">
        <v>2971</v>
      </c>
      <c r="C1931" s="233" t="s">
        <v>1165</v>
      </c>
      <c r="D1931" s="234">
        <v>38824.49</v>
      </c>
      <c r="E1931" s="234">
        <v>39437.620000000003</v>
      </c>
    </row>
    <row r="1932" spans="2:5">
      <c r="B1932" s="232" t="s">
        <v>2972</v>
      </c>
      <c r="C1932" s="233" t="s">
        <v>1165</v>
      </c>
      <c r="D1932" s="234">
        <v>42837.11</v>
      </c>
      <c r="E1932" s="234">
        <v>36864.300000000003</v>
      </c>
    </row>
    <row r="1933" spans="2:5">
      <c r="B1933" s="232" t="s">
        <v>2973</v>
      </c>
      <c r="C1933" s="233" t="s">
        <v>1165</v>
      </c>
      <c r="D1933" s="234">
        <v>16734.38</v>
      </c>
      <c r="E1933" s="234">
        <v>47301.41</v>
      </c>
    </row>
    <row r="1934" spans="2:5">
      <c r="B1934" s="232" t="s">
        <v>2974</v>
      </c>
      <c r="C1934" s="233" t="s">
        <v>1165</v>
      </c>
      <c r="D1934" s="234">
        <v>22576.71</v>
      </c>
      <c r="E1934" s="234">
        <v>49846.55</v>
      </c>
    </row>
    <row r="1935" spans="2:5">
      <c r="B1935" s="232" t="s">
        <v>2975</v>
      </c>
      <c r="C1935" s="233" t="s">
        <v>1247</v>
      </c>
      <c r="D1935" s="234">
        <v>69654.75</v>
      </c>
      <c r="E1935" s="234">
        <v>71201.899999999994</v>
      </c>
    </row>
    <row r="1936" spans="2:5">
      <c r="B1936" s="232" t="s">
        <v>2976</v>
      </c>
      <c r="C1936" s="233" t="s">
        <v>1247</v>
      </c>
      <c r="D1936" s="234">
        <v>95603.75</v>
      </c>
      <c r="E1936" s="234">
        <v>84004.800000000003</v>
      </c>
    </row>
    <row r="1937" spans="2:5">
      <c r="B1937" s="232" t="s">
        <v>2977</v>
      </c>
      <c r="C1937" s="233" t="s">
        <v>1247</v>
      </c>
      <c r="D1937" s="234">
        <v>95255.6</v>
      </c>
      <c r="E1937" s="234">
        <v>88859.1</v>
      </c>
    </row>
    <row r="1938" spans="2:5">
      <c r="B1938" s="232" t="s">
        <v>2978</v>
      </c>
      <c r="C1938" s="233" t="s">
        <v>1247</v>
      </c>
      <c r="D1938" s="234">
        <v>115790.46</v>
      </c>
      <c r="E1938" s="234">
        <v>129907.11</v>
      </c>
    </row>
    <row r="1939" spans="2:5">
      <c r="B1939" s="232" t="s">
        <v>2979</v>
      </c>
      <c r="C1939" s="233" t="s">
        <v>1247</v>
      </c>
      <c r="D1939" s="234">
        <v>117702.38</v>
      </c>
      <c r="E1939" s="234">
        <v>130237.68</v>
      </c>
    </row>
    <row r="1940" spans="2:5">
      <c r="B1940" s="232" t="s">
        <v>2980</v>
      </c>
      <c r="C1940" s="233" t="s">
        <v>1247</v>
      </c>
      <c r="D1940" s="234">
        <v>106610.13</v>
      </c>
      <c r="E1940" s="234">
        <v>109390.58</v>
      </c>
    </row>
    <row r="1941" spans="2:5">
      <c r="B1941" s="232" t="s">
        <v>2981</v>
      </c>
      <c r="C1941" s="233" t="s">
        <v>1247</v>
      </c>
      <c r="D1941" s="234">
        <v>125601.52</v>
      </c>
      <c r="E1941" s="234">
        <v>111388.37</v>
      </c>
    </row>
    <row r="1942" spans="2:5">
      <c r="B1942" s="232" t="s">
        <v>2982</v>
      </c>
      <c r="C1942" s="233" t="s">
        <v>1247</v>
      </c>
      <c r="D1942" s="234">
        <v>75018.399999999994</v>
      </c>
      <c r="E1942" s="234">
        <v>60209.06</v>
      </c>
    </row>
    <row r="1943" spans="2:5">
      <c r="B1943" s="232" t="s">
        <v>2983</v>
      </c>
      <c r="C1943" s="233" t="s">
        <v>1247</v>
      </c>
      <c r="D1943" s="234">
        <v>56044.97</v>
      </c>
      <c r="E1943" s="234">
        <v>46366.68</v>
      </c>
    </row>
    <row r="1944" spans="2:5">
      <c r="B1944" s="232" t="s">
        <v>2984</v>
      </c>
      <c r="C1944" s="233" t="s">
        <v>1247</v>
      </c>
      <c r="D1944" s="234">
        <v>75821.83</v>
      </c>
      <c r="E1944" s="234">
        <v>61333.23</v>
      </c>
    </row>
    <row r="1945" spans="2:5">
      <c r="B1945" s="232" t="s">
        <v>2985</v>
      </c>
      <c r="C1945" s="233" t="s">
        <v>1247</v>
      </c>
      <c r="D1945" s="234">
        <v>56670.65</v>
      </c>
      <c r="E1945" s="234">
        <v>57350.84</v>
      </c>
    </row>
    <row r="1946" spans="2:5">
      <c r="B1946" s="232" t="s">
        <v>2986</v>
      </c>
      <c r="C1946" s="233" t="s">
        <v>1247</v>
      </c>
      <c r="D1946" s="234">
        <v>59973.24</v>
      </c>
      <c r="E1946" s="234">
        <v>52234.09</v>
      </c>
    </row>
    <row r="1947" spans="2:5">
      <c r="B1947" s="232" t="s">
        <v>2987</v>
      </c>
      <c r="C1947" s="233" t="s">
        <v>1247</v>
      </c>
      <c r="D1947" s="234">
        <v>47413.62</v>
      </c>
      <c r="E1947" s="234">
        <v>46690.98</v>
      </c>
    </row>
    <row r="1948" spans="2:5">
      <c r="B1948" s="232" t="s">
        <v>2988</v>
      </c>
      <c r="C1948" s="233" t="s">
        <v>1247</v>
      </c>
      <c r="D1948" s="234">
        <v>55900.59</v>
      </c>
      <c r="E1948" s="234">
        <v>46395.25</v>
      </c>
    </row>
    <row r="1949" spans="2:5">
      <c r="B1949" s="232" t="s">
        <v>2989</v>
      </c>
      <c r="C1949" s="233" t="s">
        <v>1247</v>
      </c>
      <c r="D1949" s="234">
        <v>56586.82</v>
      </c>
      <c r="E1949" s="234">
        <v>51800.36</v>
      </c>
    </row>
    <row r="1950" spans="2:5">
      <c r="B1950" s="232" t="s">
        <v>2990</v>
      </c>
      <c r="C1950" s="233" t="s">
        <v>1247</v>
      </c>
      <c r="D1950" s="234">
        <v>167824.68</v>
      </c>
      <c r="E1950" s="234">
        <v>127509.18</v>
      </c>
    </row>
    <row r="1951" spans="2:5">
      <c r="B1951" s="232" t="s">
        <v>2991</v>
      </c>
      <c r="C1951" s="233" t="s">
        <v>1247</v>
      </c>
      <c r="D1951" s="234">
        <v>195561.54</v>
      </c>
      <c r="E1951" s="234">
        <v>160959.06</v>
      </c>
    </row>
    <row r="1952" spans="2:5">
      <c r="B1952" s="232" t="s">
        <v>2992</v>
      </c>
      <c r="C1952" s="233" t="s">
        <v>1247</v>
      </c>
      <c r="D1952" s="234">
        <v>145895.70000000001</v>
      </c>
      <c r="E1952" s="234">
        <v>167871.6</v>
      </c>
    </row>
    <row r="1953" spans="2:5">
      <c r="B1953" s="232" t="s">
        <v>2993</v>
      </c>
      <c r="C1953" s="233" t="s">
        <v>1247</v>
      </c>
      <c r="D1953" s="234">
        <v>177147.48</v>
      </c>
      <c r="E1953" s="234">
        <v>186160.2</v>
      </c>
    </row>
    <row r="1954" spans="2:5">
      <c r="B1954" s="232" t="s">
        <v>2994</v>
      </c>
      <c r="C1954" s="233" t="s">
        <v>1165</v>
      </c>
      <c r="D1954" s="234">
        <v>114071.49</v>
      </c>
      <c r="E1954" s="234">
        <v>97432.14</v>
      </c>
    </row>
    <row r="1955" spans="2:5">
      <c r="B1955" s="232" t="s">
        <v>2995</v>
      </c>
      <c r="C1955" s="233" t="s">
        <v>1165</v>
      </c>
      <c r="D1955" s="234">
        <v>111883.5</v>
      </c>
      <c r="E1955" s="234">
        <v>98546.49</v>
      </c>
    </row>
    <row r="1956" spans="2:5">
      <c r="B1956" s="232" t="s">
        <v>2996</v>
      </c>
      <c r="C1956" s="233" t="s">
        <v>1165</v>
      </c>
      <c r="D1956" s="234">
        <v>114610.78</v>
      </c>
      <c r="E1956" s="234">
        <v>96080.61</v>
      </c>
    </row>
    <row r="1957" spans="2:5">
      <c r="B1957" s="232" t="s">
        <v>2997</v>
      </c>
      <c r="C1957" s="233" t="s">
        <v>1165</v>
      </c>
      <c r="D1957" s="234">
        <v>91234.09</v>
      </c>
      <c r="E1957" s="234">
        <v>87091.51</v>
      </c>
    </row>
    <row r="1958" spans="2:5">
      <c r="B1958" s="232" t="s">
        <v>2998</v>
      </c>
      <c r="C1958" s="233" t="s">
        <v>1165</v>
      </c>
      <c r="D1958" s="234">
        <v>109459.64</v>
      </c>
      <c r="E1958" s="234">
        <v>89233.38</v>
      </c>
    </row>
    <row r="1959" spans="2:5">
      <c r="B1959" s="232" t="s">
        <v>2999</v>
      </c>
      <c r="C1959" s="233" t="s">
        <v>1165</v>
      </c>
      <c r="D1959" s="234">
        <v>87863.84</v>
      </c>
      <c r="E1959" s="234">
        <v>95374.63</v>
      </c>
    </row>
    <row r="1960" spans="2:5">
      <c r="B1960" s="232" t="s">
        <v>3000</v>
      </c>
      <c r="C1960" s="233" t="s">
        <v>1165</v>
      </c>
      <c r="D1960" s="234">
        <v>114067.14</v>
      </c>
      <c r="E1960" s="234">
        <v>100477.08</v>
      </c>
    </row>
    <row r="1961" spans="2:5">
      <c r="B1961" s="232" t="s">
        <v>3001</v>
      </c>
      <c r="C1961" s="233" t="s">
        <v>1165</v>
      </c>
      <c r="D1961" s="234">
        <v>111459.48</v>
      </c>
      <c r="E1961" s="234">
        <v>109953.36</v>
      </c>
    </row>
    <row r="1962" spans="2:5">
      <c r="B1962" s="232" t="s">
        <v>3002</v>
      </c>
      <c r="C1962" s="233" t="s">
        <v>1165</v>
      </c>
      <c r="D1962" s="234">
        <v>362828.74</v>
      </c>
      <c r="E1962" s="234">
        <v>306262.99</v>
      </c>
    </row>
    <row r="1963" spans="2:5">
      <c r="B1963" s="232" t="s">
        <v>3003</v>
      </c>
      <c r="C1963" s="233" t="s">
        <v>1165</v>
      </c>
      <c r="D1963" s="234">
        <v>358719.39</v>
      </c>
      <c r="E1963" s="234">
        <v>291895.19</v>
      </c>
    </row>
    <row r="1964" spans="2:5">
      <c r="B1964" s="232" t="s">
        <v>3004</v>
      </c>
      <c r="C1964" s="233" t="s">
        <v>1165</v>
      </c>
      <c r="D1964" s="234">
        <v>300551.69</v>
      </c>
      <c r="E1964" s="234">
        <v>306569.45</v>
      </c>
    </row>
    <row r="1965" spans="2:5">
      <c r="B1965" s="232" t="s">
        <v>3005</v>
      </c>
      <c r="C1965" s="233" t="s">
        <v>1165</v>
      </c>
      <c r="D1965" s="234">
        <v>369301.89</v>
      </c>
      <c r="E1965" s="234">
        <v>287244.78000000003</v>
      </c>
    </row>
    <row r="1966" spans="2:5">
      <c r="B1966" s="232" t="s">
        <v>3006</v>
      </c>
      <c r="C1966" s="233" t="s">
        <v>1165</v>
      </c>
      <c r="D1966" s="234">
        <v>364107.21</v>
      </c>
      <c r="E1966" s="234">
        <v>347754.48</v>
      </c>
    </row>
    <row r="1967" spans="2:5">
      <c r="B1967" s="232" t="s">
        <v>3007</v>
      </c>
      <c r="C1967" s="233" t="s">
        <v>1165</v>
      </c>
      <c r="D1967" s="234">
        <v>317094.48</v>
      </c>
      <c r="E1967" s="234">
        <v>305993.37</v>
      </c>
    </row>
    <row r="1968" spans="2:5">
      <c r="B1968" s="232" t="s">
        <v>3008</v>
      </c>
      <c r="C1968" s="233" t="s">
        <v>1165</v>
      </c>
      <c r="D1968" s="234">
        <v>261758.98</v>
      </c>
      <c r="E1968" s="234">
        <v>254721.67</v>
      </c>
    </row>
    <row r="1969" spans="2:5">
      <c r="B1969" s="232" t="s">
        <v>3009</v>
      </c>
      <c r="C1969" s="233" t="s">
        <v>1165</v>
      </c>
      <c r="D1969" s="234">
        <v>237317.57</v>
      </c>
      <c r="E1969" s="234">
        <v>274823.57</v>
      </c>
    </row>
    <row r="1970" spans="2:5">
      <c r="B1970" s="232" t="s">
        <v>3010</v>
      </c>
      <c r="C1970" s="233" t="s">
        <v>1165</v>
      </c>
      <c r="D1970" s="234">
        <v>299097.19</v>
      </c>
      <c r="E1970" s="234">
        <v>243538.96</v>
      </c>
    </row>
    <row r="1971" spans="2:5">
      <c r="B1971" s="232" t="s">
        <v>3011</v>
      </c>
      <c r="C1971" s="233" t="s">
        <v>1165</v>
      </c>
      <c r="D1971" s="234">
        <v>271362.59999999998</v>
      </c>
      <c r="E1971" s="234">
        <v>313207.2</v>
      </c>
    </row>
    <row r="1972" spans="2:5">
      <c r="B1972" s="232" t="s">
        <v>3012</v>
      </c>
      <c r="C1972" s="233" t="s">
        <v>1165</v>
      </c>
      <c r="D1972" s="234">
        <v>274192.83</v>
      </c>
      <c r="E1972" s="234">
        <v>331240.23</v>
      </c>
    </row>
    <row r="1973" spans="2:5">
      <c r="B1973" s="232" t="s">
        <v>3013</v>
      </c>
      <c r="C1973" s="233" t="s">
        <v>1165</v>
      </c>
      <c r="D1973" s="234">
        <v>492707.25</v>
      </c>
      <c r="E1973" s="234">
        <v>621890.46</v>
      </c>
    </row>
    <row r="1974" spans="2:5">
      <c r="B1974" s="232" t="s">
        <v>3014</v>
      </c>
      <c r="C1974" s="233" t="s">
        <v>1165</v>
      </c>
      <c r="D1974" s="234">
        <v>421482.87</v>
      </c>
      <c r="E1974" s="234">
        <v>657727.74</v>
      </c>
    </row>
    <row r="1975" spans="2:5">
      <c r="B1975" s="232" t="s">
        <v>3015</v>
      </c>
      <c r="C1975" s="233" t="s">
        <v>1165</v>
      </c>
      <c r="D1975" s="234">
        <v>860760</v>
      </c>
      <c r="E1975" s="234">
        <v>901385</v>
      </c>
    </row>
    <row r="1976" spans="2:5">
      <c r="B1976" s="232" t="s">
        <v>3016</v>
      </c>
      <c r="C1976" s="233" t="s">
        <v>1165</v>
      </c>
      <c r="D1976" s="234">
        <v>774205</v>
      </c>
      <c r="E1976" s="234">
        <v>861425</v>
      </c>
    </row>
    <row r="1977" spans="2:5">
      <c r="B1977" s="232" t="s">
        <v>3017</v>
      </c>
      <c r="C1977" s="233" t="s">
        <v>1165</v>
      </c>
      <c r="D1977" s="234">
        <v>977815</v>
      </c>
      <c r="E1977" s="234">
        <v>960160</v>
      </c>
    </row>
    <row r="1978" spans="2:5">
      <c r="B1978" s="232" t="s">
        <v>3018</v>
      </c>
      <c r="C1978" s="233" t="s">
        <v>1165</v>
      </c>
      <c r="D1978" s="234">
        <v>912581.18</v>
      </c>
      <c r="E1978" s="234">
        <v>862870.8</v>
      </c>
    </row>
    <row r="1979" spans="2:5">
      <c r="B1979" s="232" t="s">
        <v>3019</v>
      </c>
      <c r="C1979" s="233" t="s">
        <v>1165</v>
      </c>
      <c r="D1979" s="234">
        <v>792591.64</v>
      </c>
      <c r="E1979" s="234">
        <v>864477.58</v>
      </c>
    </row>
    <row r="1980" spans="2:5">
      <c r="B1980" s="232" t="s">
        <v>3020</v>
      </c>
      <c r="C1980" s="233" t="s">
        <v>1165</v>
      </c>
      <c r="D1980" s="234">
        <v>864692.15</v>
      </c>
      <c r="E1980" s="234">
        <v>883823.81</v>
      </c>
    </row>
    <row r="1981" spans="2:5">
      <c r="B1981" s="232" t="s">
        <v>3021</v>
      </c>
      <c r="C1981" s="233" t="s">
        <v>1165</v>
      </c>
      <c r="D1981" s="234">
        <v>454077.39</v>
      </c>
      <c r="E1981" s="234">
        <v>444570.99</v>
      </c>
    </row>
    <row r="1982" spans="2:5">
      <c r="B1982" s="232" t="s">
        <v>3022</v>
      </c>
      <c r="C1982" s="233" t="s">
        <v>1165</v>
      </c>
      <c r="D1982" s="234">
        <v>581602.94999999995</v>
      </c>
      <c r="E1982" s="234">
        <v>446863.71</v>
      </c>
    </row>
    <row r="1983" spans="2:5">
      <c r="B1983" s="232" t="s">
        <v>3023</v>
      </c>
      <c r="C1983" s="233" t="s">
        <v>1165</v>
      </c>
      <c r="D1983" s="234">
        <v>667034.73</v>
      </c>
      <c r="E1983" s="234">
        <v>466372.8</v>
      </c>
    </row>
    <row r="1984" spans="2:5">
      <c r="B1984" s="232" t="s">
        <v>3024</v>
      </c>
      <c r="C1984" s="233" t="s">
        <v>1165</v>
      </c>
      <c r="D1984" s="234">
        <v>329211.96000000002</v>
      </c>
      <c r="E1984" s="234">
        <v>584993.42000000004</v>
      </c>
    </row>
    <row r="1985" spans="2:5">
      <c r="B1985" s="232" t="s">
        <v>3025</v>
      </c>
      <c r="C1985" s="233" t="s">
        <v>1165</v>
      </c>
      <c r="D1985" s="234">
        <v>386783.21</v>
      </c>
      <c r="E1985" s="234">
        <v>607561.35</v>
      </c>
    </row>
    <row r="1986" spans="2:5">
      <c r="B1986" s="232" t="s">
        <v>3026</v>
      </c>
      <c r="C1986" s="233" t="s">
        <v>1165</v>
      </c>
      <c r="D1986" s="234">
        <v>260978.08</v>
      </c>
      <c r="E1986" s="234">
        <v>550111.76</v>
      </c>
    </row>
    <row r="1987" spans="2:5">
      <c r="B1987" s="232" t="s">
        <v>3027</v>
      </c>
      <c r="C1987" s="233" t="s">
        <v>1165</v>
      </c>
      <c r="D1987" s="234">
        <v>466973.46</v>
      </c>
      <c r="E1987" s="234">
        <v>382034.7</v>
      </c>
    </row>
    <row r="1988" spans="2:5">
      <c r="B1988" s="232" t="s">
        <v>3028</v>
      </c>
      <c r="C1988" s="233" t="s">
        <v>1165</v>
      </c>
      <c r="D1988" s="234">
        <v>465196.23</v>
      </c>
      <c r="E1988" s="234">
        <v>457331.22</v>
      </c>
    </row>
    <row r="1989" spans="2:5">
      <c r="B1989" s="232" t="s">
        <v>3029</v>
      </c>
      <c r="C1989" s="233" t="s">
        <v>1165</v>
      </c>
      <c r="D1989" s="234">
        <v>379512.54</v>
      </c>
      <c r="E1989" s="234">
        <v>365054.76</v>
      </c>
    </row>
    <row r="1990" spans="2:5">
      <c r="B1990" s="232" t="s">
        <v>3030</v>
      </c>
      <c r="C1990" s="233" t="s">
        <v>1165</v>
      </c>
      <c r="D1990" s="234">
        <v>336031.78</v>
      </c>
      <c r="E1990" s="234">
        <v>528784.76</v>
      </c>
    </row>
    <row r="1991" spans="2:5">
      <c r="B1991" s="232" t="s">
        <v>3031</v>
      </c>
      <c r="C1991" s="233" t="s">
        <v>1165</v>
      </c>
      <c r="D1991" s="234">
        <v>416637.76</v>
      </c>
      <c r="E1991" s="234">
        <v>413724.01</v>
      </c>
    </row>
    <row r="1992" spans="2:5">
      <c r="B1992" s="232" t="s">
        <v>3032</v>
      </c>
      <c r="C1992" s="233" t="s">
        <v>1165</v>
      </c>
      <c r="D1992" s="234">
        <v>387782.57</v>
      </c>
      <c r="E1992" s="234">
        <v>320300.12</v>
      </c>
    </row>
    <row r="1993" spans="2:5">
      <c r="B1993" s="232" t="s">
        <v>3033</v>
      </c>
      <c r="C1993" s="233" t="s">
        <v>1165</v>
      </c>
      <c r="D1993" s="234">
        <v>414956.71</v>
      </c>
      <c r="E1993" s="234">
        <v>396414.54</v>
      </c>
    </row>
    <row r="1994" spans="2:5">
      <c r="B1994" s="232" t="s">
        <v>3034</v>
      </c>
      <c r="C1994" s="233" t="s">
        <v>1165</v>
      </c>
      <c r="D1994" s="234">
        <v>395690.93</v>
      </c>
      <c r="E1994" s="234">
        <v>383989.43</v>
      </c>
    </row>
    <row r="1995" spans="2:5">
      <c r="B1995" s="232" t="s">
        <v>3035</v>
      </c>
      <c r="C1995" s="233" t="s">
        <v>1165</v>
      </c>
      <c r="D1995" s="234">
        <v>371300.7</v>
      </c>
      <c r="E1995" s="234">
        <v>383311.55</v>
      </c>
    </row>
    <row r="1996" spans="2:5">
      <c r="B1996" s="232" t="s">
        <v>3036</v>
      </c>
      <c r="C1996" s="233" t="s">
        <v>1165</v>
      </c>
      <c r="D1996" s="234">
        <v>519192.57</v>
      </c>
      <c r="E1996" s="234">
        <v>544117.21</v>
      </c>
    </row>
    <row r="1997" spans="2:5">
      <c r="B1997" s="232" t="s">
        <v>3037</v>
      </c>
      <c r="C1997" s="233" t="s">
        <v>1165</v>
      </c>
      <c r="D1997" s="234">
        <v>468885.82</v>
      </c>
      <c r="E1997" s="234">
        <v>498585.49</v>
      </c>
    </row>
    <row r="1998" spans="2:5">
      <c r="B1998" s="232" t="s">
        <v>3038</v>
      </c>
      <c r="C1998" s="233" t="s">
        <v>1165</v>
      </c>
      <c r="D1998" s="234">
        <v>497069.56</v>
      </c>
      <c r="E1998" s="234">
        <v>529358.56999999995</v>
      </c>
    </row>
    <row r="1999" spans="2:5">
      <c r="B1999" s="232" t="s">
        <v>3039</v>
      </c>
      <c r="C1999" s="233" t="s">
        <v>1165</v>
      </c>
      <c r="D1999" s="234">
        <v>465632.1</v>
      </c>
      <c r="E1999" s="234">
        <v>538729.14</v>
      </c>
    </row>
    <row r="2000" spans="2:5">
      <c r="B2000" s="232" t="s">
        <v>3040</v>
      </c>
      <c r="C2000" s="233" t="s">
        <v>1165</v>
      </c>
      <c r="D2000" s="234">
        <v>526563.81000000006</v>
      </c>
      <c r="E2000" s="234">
        <v>475161.66</v>
      </c>
    </row>
    <row r="2001" spans="2:5">
      <c r="B2001" s="232" t="s">
        <v>3041</v>
      </c>
      <c r="C2001" s="233" t="s">
        <v>1165</v>
      </c>
      <c r="D2001" s="234">
        <v>578052.48</v>
      </c>
      <c r="E2001" s="234">
        <v>601585.92000000004</v>
      </c>
    </row>
    <row r="2002" spans="2:5">
      <c r="B2002" s="232" t="s">
        <v>3042</v>
      </c>
      <c r="C2002" s="233" t="s">
        <v>1165</v>
      </c>
      <c r="D2002" s="234">
        <v>544265.04</v>
      </c>
      <c r="E2002" s="234">
        <v>514100.4</v>
      </c>
    </row>
    <row r="2003" spans="2:5">
      <c r="B2003" s="232" t="s">
        <v>3043</v>
      </c>
      <c r="C2003" s="233" t="s">
        <v>1165</v>
      </c>
      <c r="D2003" s="234">
        <v>543939.66</v>
      </c>
      <c r="E2003" s="234">
        <v>551879.56999999995</v>
      </c>
    </row>
    <row r="2004" spans="2:5">
      <c r="B2004" s="232" t="s">
        <v>3044</v>
      </c>
      <c r="C2004" s="233" t="s">
        <v>1165</v>
      </c>
      <c r="D2004" s="234">
        <v>582462.1</v>
      </c>
      <c r="E2004" s="234">
        <v>592449.99</v>
      </c>
    </row>
    <row r="2005" spans="2:5">
      <c r="B2005" s="232" t="s">
        <v>3045</v>
      </c>
      <c r="C2005" s="233" t="s">
        <v>1550</v>
      </c>
      <c r="D2005" s="234">
        <v>332810.33</v>
      </c>
      <c r="E2005" s="234">
        <v>310713</v>
      </c>
    </row>
    <row r="2006" spans="2:5">
      <c r="B2006" s="232" t="s">
        <v>3046</v>
      </c>
      <c r="C2006" s="233" t="s">
        <v>1550</v>
      </c>
      <c r="D2006" s="234">
        <v>344500.66</v>
      </c>
      <c r="E2006" s="234">
        <v>375309.53</v>
      </c>
    </row>
    <row r="2007" spans="2:5">
      <c r="B2007" s="232" t="s">
        <v>3047</v>
      </c>
      <c r="C2007" s="233" t="s">
        <v>1550</v>
      </c>
      <c r="D2007" s="234">
        <v>282292.53999999998</v>
      </c>
      <c r="E2007" s="234">
        <v>294562.48</v>
      </c>
    </row>
    <row r="2008" spans="2:5">
      <c r="B2008" s="232" t="s">
        <v>3048</v>
      </c>
      <c r="C2008" s="233" t="s">
        <v>1550</v>
      </c>
      <c r="D2008" s="234">
        <v>372412.11</v>
      </c>
      <c r="E2008" s="234">
        <v>454204.94</v>
      </c>
    </row>
    <row r="2009" spans="2:5">
      <c r="B2009" s="232" t="s">
        <v>3049</v>
      </c>
      <c r="C2009" s="233" t="s">
        <v>1550</v>
      </c>
      <c r="D2009" s="234">
        <v>406408.4</v>
      </c>
      <c r="E2009" s="234">
        <v>424571.27</v>
      </c>
    </row>
    <row r="2010" spans="2:5">
      <c r="B2010" s="232" t="s">
        <v>3050</v>
      </c>
      <c r="C2010" s="233" t="s">
        <v>1550</v>
      </c>
      <c r="D2010" s="234">
        <v>442796.6</v>
      </c>
      <c r="E2010" s="234">
        <v>430779.91</v>
      </c>
    </row>
    <row r="2011" spans="2:5">
      <c r="B2011" s="232" t="s">
        <v>3051</v>
      </c>
      <c r="C2011" s="233" t="s">
        <v>1550</v>
      </c>
      <c r="D2011" s="234">
        <v>519737.33</v>
      </c>
      <c r="E2011" s="234">
        <v>516854.78</v>
      </c>
    </row>
    <row r="2012" spans="2:5">
      <c r="B2012" s="232" t="s">
        <v>3052</v>
      </c>
      <c r="C2012" s="233" t="s">
        <v>1550</v>
      </c>
      <c r="D2012" s="234">
        <v>545894.37</v>
      </c>
      <c r="E2012" s="234">
        <v>550241.31000000006</v>
      </c>
    </row>
    <row r="2013" spans="2:5">
      <c r="B2013" s="232" t="s">
        <v>3053</v>
      </c>
      <c r="C2013" s="233" t="s">
        <v>1550</v>
      </c>
      <c r="D2013" s="234">
        <v>501670.88</v>
      </c>
      <c r="E2013" s="234">
        <v>542397.07999999996</v>
      </c>
    </row>
    <row r="2014" spans="2:5">
      <c r="B2014" s="232" t="s">
        <v>3054</v>
      </c>
      <c r="C2014" s="233" t="s">
        <v>1550</v>
      </c>
      <c r="D2014" s="234">
        <v>15875.35</v>
      </c>
      <c r="E2014" s="234">
        <v>14540.16</v>
      </c>
    </row>
    <row r="2015" spans="2:5">
      <c r="B2015" s="232" t="s">
        <v>3055</v>
      </c>
      <c r="C2015" s="233" t="s">
        <v>1550</v>
      </c>
      <c r="D2015" s="234">
        <v>14005.45</v>
      </c>
      <c r="E2015" s="234">
        <v>15806.83</v>
      </c>
    </row>
    <row r="2016" spans="2:5">
      <c r="B2016" s="232" t="s">
        <v>3056</v>
      </c>
      <c r="C2016" s="233" t="s">
        <v>1550</v>
      </c>
      <c r="D2016" s="234">
        <v>16585.93</v>
      </c>
      <c r="E2016" s="234">
        <v>15417.21</v>
      </c>
    </row>
    <row r="2017" spans="2:5">
      <c r="B2017" s="232" t="s">
        <v>3057</v>
      </c>
      <c r="C2017" s="233" t="s">
        <v>1550</v>
      </c>
      <c r="D2017" s="234">
        <v>28685.23</v>
      </c>
      <c r="E2017" s="234">
        <v>32116.11</v>
      </c>
    </row>
    <row r="2018" spans="2:5">
      <c r="B2018" s="232" t="s">
        <v>3058</v>
      </c>
      <c r="C2018" s="233" t="s">
        <v>1550</v>
      </c>
      <c r="D2018" s="234">
        <v>29553.200000000001</v>
      </c>
      <c r="E2018" s="234">
        <v>30080.65</v>
      </c>
    </row>
    <row r="2019" spans="2:5">
      <c r="B2019" s="232" t="s">
        <v>3059</v>
      </c>
      <c r="C2019" s="233" t="s">
        <v>1550</v>
      </c>
      <c r="D2019" s="234">
        <v>32248.71</v>
      </c>
      <c r="E2019" s="234">
        <v>29423.360000000001</v>
      </c>
    </row>
    <row r="2020" spans="2:5">
      <c r="B2020" s="232" t="s">
        <v>3060</v>
      </c>
      <c r="C2020" s="233" t="s">
        <v>1550</v>
      </c>
      <c r="D2020" s="234">
        <v>19622.18</v>
      </c>
      <c r="E2020" s="234">
        <v>17898.13</v>
      </c>
    </row>
    <row r="2021" spans="2:5">
      <c r="B2021" s="232" t="s">
        <v>3061</v>
      </c>
      <c r="C2021" s="233" t="s">
        <v>1550</v>
      </c>
      <c r="D2021" s="234">
        <v>23005.4</v>
      </c>
      <c r="E2021" s="234">
        <v>21854.86</v>
      </c>
    </row>
    <row r="2022" spans="2:5">
      <c r="B2022" s="232" t="s">
        <v>3062</v>
      </c>
      <c r="C2022" s="233" t="s">
        <v>1550</v>
      </c>
      <c r="D2022" s="234">
        <v>20877.59</v>
      </c>
      <c r="E2022" s="234">
        <v>20967.580000000002</v>
      </c>
    </row>
    <row r="2023" spans="2:5">
      <c r="B2023" s="232" t="s">
        <v>3063</v>
      </c>
      <c r="C2023" s="233" t="s">
        <v>1550</v>
      </c>
      <c r="D2023" s="234">
        <v>20856.599999999999</v>
      </c>
      <c r="E2023" s="234">
        <v>18746.12</v>
      </c>
    </row>
    <row r="2024" spans="2:5">
      <c r="B2024" s="232" t="s">
        <v>3064</v>
      </c>
      <c r="C2024" s="233" t="s">
        <v>1550</v>
      </c>
      <c r="D2024" s="234">
        <v>24452.37</v>
      </c>
      <c r="E2024" s="234">
        <v>26789.41</v>
      </c>
    </row>
    <row r="2025" spans="2:5">
      <c r="B2025" s="232" t="s">
        <v>3065</v>
      </c>
      <c r="C2025" s="233" t="s">
        <v>1550</v>
      </c>
      <c r="D2025" s="234">
        <v>24763.59</v>
      </c>
      <c r="E2025" s="234">
        <v>22215.03</v>
      </c>
    </row>
    <row r="2026" spans="2:5">
      <c r="B2026" s="232" t="s">
        <v>3066</v>
      </c>
      <c r="C2026" s="233" t="s">
        <v>1550</v>
      </c>
      <c r="D2026" s="234">
        <v>37388.230000000003</v>
      </c>
      <c r="E2026" s="234">
        <v>33528.99</v>
      </c>
    </row>
    <row r="2027" spans="2:5">
      <c r="B2027" s="232" t="s">
        <v>3067</v>
      </c>
      <c r="C2027" s="233" t="s">
        <v>1550</v>
      </c>
      <c r="D2027" s="234">
        <v>35127.410000000003</v>
      </c>
      <c r="E2027" s="234">
        <v>43829.01</v>
      </c>
    </row>
    <row r="2028" spans="2:5">
      <c r="B2028" s="232" t="s">
        <v>3068</v>
      </c>
      <c r="C2028" s="233" t="s">
        <v>1550</v>
      </c>
      <c r="D2028" s="234">
        <v>41092.06</v>
      </c>
      <c r="E2028" s="234">
        <v>34860.04</v>
      </c>
    </row>
    <row r="2029" spans="2:5">
      <c r="B2029" s="232" t="s">
        <v>3069</v>
      </c>
      <c r="C2029" s="233" t="s">
        <v>1550</v>
      </c>
      <c r="D2029" s="234">
        <v>177235.64</v>
      </c>
      <c r="E2029" s="234">
        <v>149387.25</v>
      </c>
    </row>
    <row r="2030" spans="2:5">
      <c r="B2030" s="232" t="s">
        <v>3070</v>
      </c>
      <c r="C2030" s="233" t="s">
        <v>1550</v>
      </c>
      <c r="D2030" s="234">
        <v>149008.89000000001</v>
      </c>
      <c r="E2030" s="234">
        <v>144675.29</v>
      </c>
    </row>
    <row r="2031" spans="2:5">
      <c r="B2031" s="232" t="s">
        <v>3071</v>
      </c>
      <c r="C2031" s="233" t="s">
        <v>1550</v>
      </c>
      <c r="D2031" s="234">
        <v>194428.17</v>
      </c>
      <c r="E2031" s="234">
        <v>169264.66</v>
      </c>
    </row>
    <row r="2032" spans="2:5">
      <c r="B2032" s="232" t="s">
        <v>3072</v>
      </c>
      <c r="C2032" s="233" t="s">
        <v>1550</v>
      </c>
      <c r="D2032" s="234">
        <v>279300.78999999998</v>
      </c>
      <c r="E2032" s="234">
        <v>325006.73</v>
      </c>
    </row>
    <row r="2033" spans="2:5">
      <c r="B2033" s="232" t="s">
        <v>3073</v>
      </c>
      <c r="C2033" s="233" t="s">
        <v>1550</v>
      </c>
      <c r="D2033" s="234">
        <v>278121.64</v>
      </c>
      <c r="E2033" s="234">
        <v>269678.87</v>
      </c>
    </row>
    <row r="2034" spans="2:5">
      <c r="B2034" s="232" t="s">
        <v>3074</v>
      </c>
      <c r="C2034" s="233" t="s">
        <v>1550</v>
      </c>
      <c r="D2034" s="234">
        <v>240815.25</v>
      </c>
      <c r="E2034" s="234">
        <v>280887.83</v>
      </c>
    </row>
    <row r="2035" spans="2:5">
      <c r="B2035" s="232" t="s">
        <v>3075</v>
      </c>
      <c r="C2035" s="233" t="s">
        <v>1550</v>
      </c>
      <c r="D2035" s="234">
        <v>18495</v>
      </c>
      <c r="E2035" s="234">
        <v>21955.63</v>
      </c>
    </row>
    <row r="2036" spans="2:5">
      <c r="B2036" s="232" t="s">
        <v>3076</v>
      </c>
      <c r="C2036" s="233" t="s">
        <v>1550</v>
      </c>
      <c r="D2036" s="234">
        <v>24637.21</v>
      </c>
      <c r="E2036" s="234">
        <v>9970.99</v>
      </c>
    </row>
    <row r="2037" spans="2:5">
      <c r="B2037" s="232" t="s">
        <v>3077</v>
      </c>
      <c r="C2037" s="233" t="s">
        <v>1550</v>
      </c>
      <c r="D2037" s="234">
        <v>22822.66</v>
      </c>
      <c r="E2037" s="234">
        <v>14491.41</v>
      </c>
    </row>
    <row r="2038" spans="2:5">
      <c r="B2038" s="232" t="s">
        <v>3078</v>
      </c>
      <c r="C2038" s="233" t="s">
        <v>1550</v>
      </c>
      <c r="D2038" s="234">
        <v>16496.95</v>
      </c>
      <c r="E2038" s="234">
        <v>15570.28</v>
      </c>
    </row>
    <row r="2039" spans="2:5">
      <c r="B2039" s="232" t="s">
        <v>3079</v>
      </c>
      <c r="C2039" s="233" t="s">
        <v>1550</v>
      </c>
      <c r="D2039" s="234">
        <v>17735.2</v>
      </c>
      <c r="E2039" s="234">
        <v>19174.39</v>
      </c>
    </row>
    <row r="2040" spans="2:5">
      <c r="B2040" s="232" t="s">
        <v>3080</v>
      </c>
      <c r="C2040" s="233" t="s">
        <v>1550</v>
      </c>
      <c r="D2040" s="234">
        <v>10741.47</v>
      </c>
      <c r="E2040" s="234">
        <v>19486.52</v>
      </c>
    </row>
    <row r="2041" spans="2:5">
      <c r="B2041" s="232" t="s">
        <v>3081</v>
      </c>
      <c r="C2041" s="233" t="s">
        <v>1550</v>
      </c>
      <c r="D2041" s="234">
        <v>15480.97</v>
      </c>
      <c r="E2041" s="234">
        <v>19969.37</v>
      </c>
    </row>
    <row r="2042" spans="2:5">
      <c r="B2042" s="232" t="s">
        <v>3082</v>
      </c>
      <c r="C2042" s="233" t="s">
        <v>1550</v>
      </c>
      <c r="D2042" s="234">
        <v>9452.5400000000009</v>
      </c>
      <c r="E2042" s="234">
        <v>14005.97</v>
      </c>
    </row>
    <row r="2043" spans="2:5">
      <c r="B2043" s="232" t="s">
        <v>3083</v>
      </c>
      <c r="C2043" s="233" t="s">
        <v>1550</v>
      </c>
      <c r="D2043" s="234">
        <v>11737.02</v>
      </c>
      <c r="E2043" s="234">
        <v>22531.01</v>
      </c>
    </row>
    <row r="2044" spans="2:5">
      <c r="B2044" s="232" t="s">
        <v>3084</v>
      </c>
      <c r="C2044" s="233" t="s">
        <v>1550</v>
      </c>
      <c r="D2044" s="234">
        <v>9616.9</v>
      </c>
      <c r="E2044" s="234">
        <v>12014.4</v>
      </c>
    </row>
    <row r="2045" spans="2:5">
      <c r="B2045" s="232" t="s">
        <v>3085</v>
      </c>
      <c r="C2045" s="233" t="s">
        <v>1550</v>
      </c>
      <c r="D2045" s="234">
        <v>185383.5</v>
      </c>
      <c r="E2045" s="234">
        <v>119701.02</v>
      </c>
    </row>
    <row r="2046" spans="2:5">
      <c r="B2046" s="232" t="s">
        <v>3086</v>
      </c>
      <c r="C2046" s="233" t="s">
        <v>1550</v>
      </c>
      <c r="D2046" s="234">
        <v>156617.85</v>
      </c>
      <c r="E2046" s="234">
        <v>160958.43</v>
      </c>
    </row>
    <row r="2047" spans="2:5">
      <c r="B2047" s="232" t="s">
        <v>3087</v>
      </c>
      <c r="C2047" s="233" t="s">
        <v>1550</v>
      </c>
      <c r="D2047" s="234">
        <v>173235.57</v>
      </c>
      <c r="E2047" s="234">
        <v>186020.79</v>
      </c>
    </row>
    <row r="2048" spans="2:5">
      <c r="B2048" s="232" t="s">
        <v>3088</v>
      </c>
      <c r="C2048" s="233" t="s">
        <v>1550</v>
      </c>
      <c r="D2048" s="234">
        <v>169959.33</v>
      </c>
      <c r="E2048" s="234">
        <v>188188.89</v>
      </c>
    </row>
    <row r="2049" spans="2:5">
      <c r="B2049" s="232" t="s">
        <v>3089</v>
      </c>
      <c r="C2049" s="233" t="s">
        <v>1550</v>
      </c>
      <c r="D2049" s="234">
        <v>139093.47</v>
      </c>
      <c r="E2049" s="234">
        <v>143048.60999999999</v>
      </c>
    </row>
    <row r="2050" spans="2:5">
      <c r="B2050" s="232" t="s">
        <v>3090</v>
      </c>
      <c r="C2050" s="233" t="s">
        <v>2527</v>
      </c>
      <c r="D2050" s="234">
        <v>36304.199999999997</v>
      </c>
      <c r="E2050" s="234">
        <v>43126.8</v>
      </c>
    </row>
    <row r="2051" spans="2:5">
      <c r="B2051" s="232" t="s">
        <v>3091</v>
      </c>
      <c r="C2051" s="233" t="s">
        <v>2527</v>
      </c>
      <c r="D2051" s="234">
        <v>40437.599999999999</v>
      </c>
      <c r="E2051" s="234">
        <v>39615.9</v>
      </c>
    </row>
    <row r="2052" spans="2:5">
      <c r="B2052" s="232" t="s">
        <v>3092</v>
      </c>
      <c r="C2052" s="233" t="s">
        <v>2527</v>
      </c>
      <c r="D2052" s="234">
        <v>34511.4</v>
      </c>
      <c r="E2052" s="234">
        <v>35084.1</v>
      </c>
    </row>
    <row r="2053" spans="2:5">
      <c r="B2053" s="232" t="s">
        <v>3093</v>
      </c>
      <c r="C2053" s="233" t="s">
        <v>2527</v>
      </c>
      <c r="D2053" s="234">
        <v>35520.1</v>
      </c>
      <c r="E2053" s="234">
        <v>27489</v>
      </c>
    </row>
    <row r="2054" spans="2:5">
      <c r="B2054" s="232" t="s">
        <v>3094</v>
      </c>
      <c r="C2054" s="233" t="s">
        <v>2527</v>
      </c>
      <c r="D2054" s="234">
        <v>34603.800000000003</v>
      </c>
      <c r="E2054" s="234">
        <v>37271.85</v>
      </c>
    </row>
    <row r="2055" spans="2:5">
      <c r="B2055" s="232" t="s">
        <v>3095</v>
      </c>
      <c r="C2055" s="233" t="s">
        <v>2527</v>
      </c>
      <c r="D2055" s="234">
        <v>31477.599999999999</v>
      </c>
      <c r="E2055" s="234">
        <v>30480.45</v>
      </c>
    </row>
    <row r="2056" spans="2:5">
      <c r="B2056" s="232" t="s">
        <v>3096</v>
      </c>
      <c r="C2056" s="233" t="s">
        <v>2527</v>
      </c>
      <c r="D2056" s="234">
        <v>25872</v>
      </c>
      <c r="E2056" s="234">
        <v>31127.25</v>
      </c>
    </row>
    <row r="2057" spans="2:5">
      <c r="B2057" s="232" t="s">
        <v>3097</v>
      </c>
      <c r="C2057" s="233" t="s">
        <v>2527</v>
      </c>
      <c r="D2057" s="234">
        <v>160215.70000000001</v>
      </c>
      <c r="E2057" s="234">
        <v>149851.79999999999</v>
      </c>
    </row>
    <row r="2058" spans="2:5">
      <c r="B2058" s="232" t="s">
        <v>3098</v>
      </c>
      <c r="C2058" s="233" t="s">
        <v>2527</v>
      </c>
      <c r="D2058" s="234">
        <v>143055.79999999999</v>
      </c>
      <c r="E2058" s="234">
        <v>155458.5</v>
      </c>
    </row>
    <row r="2059" spans="2:5">
      <c r="B2059" s="232" t="s">
        <v>3099</v>
      </c>
      <c r="C2059" s="233" t="s">
        <v>2527</v>
      </c>
      <c r="D2059" s="234">
        <v>164972.9</v>
      </c>
      <c r="E2059" s="234">
        <v>109840.35</v>
      </c>
    </row>
    <row r="2060" spans="2:5">
      <c r="B2060" s="232" t="s">
        <v>3100</v>
      </c>
      <c r="C2060" s="233" t="s">
        <v>2527</v>
      </c>
      <c r="D2060" s="234">
        <v>52180.35</v>
      </c>
      <c r="E2060" s="234">
        <v>45050.55</v>
      </c>
    </row>
    <row r="2061" spans="2:5">
      <c r="B2061" s="232" t="s">
        <v>3101</v>
      </c>
      <c r="C2061" s="233" t="s">
        <v>2527</v>
      </c>
      <c r="D2061" s="234">
        <v>64762.35</v>
      </c>
      <c r="E2061" s="234">
        <v>44701.05</v>
      </c>
    </row>
    <row r="2062" spans="2:5">
      <c r="B2062" s="232" t="s">
        <v>3102</v>
      </c>
      <c r="C2062" s="233" t="s">
        <v>2527</v>
      </c>
      <c r="D2062" s="234">
        <v>55465.65</v>
      </c>
      <c r="E2062" s="234">
        <v>54067.65</v>
      </c>
    </row>
    <row r="2063" spans="2:5">
      <c r="B2063" s="232" t="s">
        <v>3103</v>
      </c>
      <c r="C2063" s="233" t="s">
        <v>2527</v>
      </c>
      <c r="D2063" s="234">
        <v>57108.3</v>
      </c>
      <c r="E2063" s="234">
        <v>55989.9</v>
      </c>
    </row>
    <row r="2064" spans="2:5">
      <c r="B2064" s="232" t="s">
        <v>3104</v>
      </c>
      <c r="C2064" s="233" t="s">
        <v>2527</v>
      </c>
      <c r="D2064" s="234">
        <v>8187.2</v>
      </c>
      <c r="E2064" s="234">
        <v>8152.8</v>
      </c>
    </row>
    <row r="2065" spans="2:5">
      <c r="B2065" s="232" t="s">
        <v>3105</v>
      </c>
      <c r="C2065" s="233" t="s">
        <v>2527</v>
      </c>
      <c r="D2065" s="234">
        <v>4609.6000000000004</v>
      </c>
      <c r="E2065" s="234">
        <v>11042.4</v>
      </c>
    </row>
    <row r="2066" spans="2:5">
      <c r="B2066" s="232" t="s">
        <v>3106</v>
      </c>
      <c r="C2066" s="233" t="s">
        <v>2527</v>
      </c>
      <c r="D2066" s="234">
        <v>3302.4</v>
      </c>
      <c r="E2066" s="234">
        <v>7430.4</v>
      </c>
    </row>
    <row r="2067" spans="2:5">
      <c r="B2067" s="232" t="s">
        <v>3107</v>
      </c>
      <c r="C2067" s="233" t="s">
        <v>2527</v>
      </c>
      <c r="D2067" s="234">
        <v>8875.2000000000007</v>
      </c>
      <c r="E2067" s="234">
        <v>16512</v>
      </c>
    </row>
    <row r="2068" spans="2:5">
      <c r="B2068" s="232" t="s">
        <v>3108</v>
      </c>
      <c r="C2068" s="233" t="s">
        <v>2527</v>
      </c>
      <c r="D2068" s="234">
        <v>88178.4</v>
      </c>
      <c r="E2068" s="234">
        <v>83916</v>
      </c>
    </row>
    <row r="2069" spans="2:5">
      <c r="B2069" s="232" t="s">
        <v>3109</v>
      </c>
      <c r="C2069" s="233" t="s">
        <v>2527</v>
      </c>
      <c r="D2069" s="234">
        <v>73304.399999999994</v>
      </c>
      <c r="E2069" s="234">
        <v>89110.8</v>
      </c>
    </row>
    <row r="2070" spans="2:5">
      <c r="B2070" s="232" t="s">
        <v>3110</v>
      </c>
      <c r="C2070" s="233" t="s">
        <v>2527</v>
      </c>
      <c r="D2070" s="234">
        <v>77034</v>
      </c>
      <c r="E2070" s="234">
        <v>74458.8</v>
      </c>
    </row>
    <row r="2071" spans="2:5">
      <c r="B2071" s="232" t="s">
        <v>3111</v>
      </c>
      <c r="C2071" s="233" t="s">
        <v>2527</v>
      </c>
      <c r="D2071" s="234">
        <v>79387.199999999997</v>
      </c>
      <c r="E2071" s="234">
        <v>70329.600000000006</v>
      </c>
    </row>
    <row r="2072" spans="2:5">
      <c r="B2072" s="232" t="s">
        <v>3112</v>
      </c>
      <c r="C2072" s="233" t="s">
        <v>1247</v>
      </c>
      <c r="D2072" s="234">
        <v>71849.8</v>
      </c>
      <c r="E2072" s="234">
        <v>57207.48</v>
      </c>
    </row>
    <row r="2073" spans="2:5">
      <c r="B2073" s="232" t="s">
        <v>3113</v>
      </c>
      <c r="C2073" s="233" t="s">
        <v>1247</v>
      </c>
      <c r="D2073" s="234">
        <v>68863.520000000004</v>
      </c>
      <c r="E2073" s="234">
        <v>63378.48</v>
      </c>
    </row>
    <row r="2074" spans="2:5">
      <c r="B2074" s="232" t="s">
        <v>3114</v>
      </c>
      <c r="C2074" s="233" t="s">
        <v>1247</v>
      </c>
      <c r="D2074" s="234">
        <v>63609.919999999998</v>
      </c>
      <c r="E2074" s="234">
        <v>70391.64</v>
      </c>
    </row>
    <row r="2075" spans="2:5">
      <c r="B2075" s="232" t="s">
        <v>3115</v>
      </c>
      <c r="C2075" s="233" t="s">
        <v>1247</v>
      </c>
      <c r="D2075" s="234">
        <v>71298.92</v>
      </c>
      <c r="E2075" s="234">
        <v>85901.2</v>
      </c>
    </row>
    <row r="2076" spans="2:5">
      <c r="B2076" s="232" t="s">
        <v>3116</v>
      </c>
      <c r="C2076" s="233" t="s">
        <v>1247</v>
      </c>
      <c r="D2076" s="234">
        <v>60452.15</v>
      </c>
      <c r="E2076" s="234">
        <v>75192.89</v>
      </c>
    </row>
    <row r="2077" spans="2:5">
      <c r="B2077" s="232" t="s">
        <v>3117</v>
      </c>
      <c r="C2077" s="233" t="s">
        <v>1247</v>
      </c>
      <c r="D2077" s="234">
        <v>56977.71</v>
      </c>
      <c r="E2077" s="234">
        <v>67532.91</v>
      </c>
    </row>
    <row r="2078" spans="2:5">
      <c r="B2078" s="232" t="s">
        <v>3118</v>
      </c>
      <c r="C2078" s="233" t="s">
        <v>1247</v>
      </c>
      <c r="D2078" s="234">
        <v>57917.02</v>
      </c>
      <c r="E2078" s="234">
        <v>64190.33</v>
      </c>
    </row>
    <row r="2079" spans="2:5">
      <c r="B2079" s="232" t="s">
        <v>3119</v>
      </c>
      <c r="C2079" s="233" t="s">
        <v>1247</v>
      </c>
      <c r="D2079" s="234">
        <v>67506.61</v>
      </c>
      <c r="E2079" s="234">
        <v>56332.61</v>
      </c>
    </row>
    <row r="2080" spans="2:5">
      <c r="B2080" s="232" t="s">
        <v>3120</v>
      </c>
      <c r="C2080" s="233" t="s">
        <v>1247</v>
      </c>
      <c r="D2080" s="234">
        <v>70047.679999999993</v>
      </c>
      <c r="E2080" s="234">
        <v>59335.22</v>
      </c>
    </row>
    <row r="2081" spans="2:5">
      <c r="B2081" s="232" t="s">
        <v>3121</v>
      </c>
      <c r="C2081" s="233" t="s">
        <v>1247</v>
      </c>
      <c r="D2081" s="234">
        <v>73895.19</v>
      </c>
      <c r="E2081" s="234">
        <v>67395.97</v>
      </c>
    </row>
    <row r="2082" spans="2:5">
      <c r="B2082" s="232" t="s">
        <v>3122</v>
      </c>
      <c r="C2082" s="233" t="s">
        <v>1247</v>
      </c>
      <c r="D2082" s="234">
        <v>60452.94</v>
      </c>
      <c r="E2082" s="234">
        <v>75592.86</v>
      </c>
    </row>
    <row r="2083" spans="2:5">
      <c r="B2083" s="232" t="s">
        <v>3123</v>
      </c>
      <c r="C2083" s="233" t="s">
        <v>1247</v>
      </c>
      <c r="D2083" s="234">
        <v>19316.78</v>
      </c>
      <c r="E2083" s="234">
        <v>46432.26</v>
      </c>
    </row>
    <row r="2084" spans="2:5">
      <c r="B2084" s="232" t="s">
        <v>3124</v>
      </c>
      <c r="C2084" s="233" t="s">
        <v>1247</v>
      </c>
      <c r="D2084" s="234">
        <v>8278.6200000000008</v>
      </c>
      <c r="E2084" s="234">
        <v>37793.699999999997</v>
      </c>
    </row>
    <row r="2085" spans="2:5">
      <c r="B2085" s="232" t="s">
        <v>3125</v>
      </c>
      <c r="C2085" s="233" t="s">
        <v>1247</v>
      </c>
      <c r="D2085" s="234">
        <v>15717.38</v>
      </c>
      <c r="E2085" s="234">
        <v>27715.38</v>
      </c>
    </row>
    <row r="2086" spans="2:5">
      <c r="B2086" s="232" t="s">
        <v>3126</v>
      </c>
      <c r="C2086" s="233" t="s">
        <v>1247</v>
      </c>
      <c r="D2086" s="234">
        <v>16677.22</v>
      </c>
      <c r="E2086" s="234">
        <v>34914.18</v>
      </c>
    </row>
    <row r="2087" spans="2:5">
      <c r="B2087" s="232" t="s">
        <v>3127</v>
      </c>
      <c r="C2087" s="233" t="s">
        <v>1247</v>
      </c>
      <c r="D2087" s="234">
        <v>1147.1500000000001</v>
      </c>
      <c r="E2087" s="234">
        <v>985.92</v>
      </c>
    </row>
    <row r="2088" spans="2:5">
      <c r="B2088" s="232" t="s">
        <v>3128</v>
      </c>
      <c r="C2088" s="233" t="s">
        <v>1247</v>
      </c>
      <c r="D2088" s="234">
        <v>1066.7</v>
      </c>
      <c r="E2088" s="234">
        <v>924.24</v>
      </c>
    </row>
    <row r="2089" spans="2:5">
      <c r="B2089" s="232" t="s">
        <v>3129</v>
      </c>
      <c r="C2089" s="233" t="s">
        <v>1247</v>
      </c>
      <c r="D2089" s="234">
        <v>1010.78</v>
      </c>
      <c r="E2089" s="234">
        <v>1159.79</v>
      </c>
    </row>
    <row r="2090" spans="2:5">
      <c r="B2090" s="232" t="s">
        <v>3130</v>
      </c>
      <c r="C2090" s="233" t="s">
        <v>1247</v>
      </c>
      <c r="D2090" s="234">
        <v>1238.9000000000001</v>
      </c>
      <c r="E2090" s="234">
        <v>1123.6600000000001</v>
      </c>
    </row>
    <row r="2091" spans="2:5">
      <c r="B2091" s="232" t="s">
        <v>3131</v>
      </c>
      <c r="C2091" s="233" t="s">
        <v>1247</v>
      </c>
      <c r="D2091" s="234">
        <v>1038.78</v>
      </c>
      <c r="E2091" s="234">
        <v>1492.5</v>
      </c>
    </row>
    <row r="2092" spans="2:5">
      <c r="B2092" s="232" t="s">
        <v>3132</v>
      </c>
      <c r="C2092" s="233" t="s">
        <v>1247</v>
      </c>
      <c r="D2092" s="234">
        <v>1058.68</v>
      </c>
      <c r="E2092" s="234">
        <v>1289.52</v>
      </c>
    </row>
    <row r="2093" spans="2:5">
      <c r="B2093" s="232" t="s">
        <v>3133</v>
      </c>
      <c r="C2093" s="233" t="s">
        <v>1247</v>
      </c>
      <c r="D2093" s="234">
        <v>847.74</v>
      </c>
      <c r="E2093" s="234">
        <v>1337.28</v>
      </c>
    </row>
    <row r="2094" spans="2:5">
      <c r="B2094" s="232" t="s">
        <v>3134</v>
      </c>
      <c r="C2094" s="233" t="s">
        <v>1247</v>
      </c>
      <c r="D2094" s="234">
        <v>1727.32</v>
      </c>
      <c r="E2094" s="234">
        <v>1253.7</v>
      </c>
    </row>
    <row r="2095" spans="2:5">
      <c r="B2095" s="232" t="s">
        <v>3135</v>
      </c>
      <c r="C2095" s="233" t="s">
        <v>1247</v>
      </c>
      <c r="D2095" s="234">
        <v>120023.64</v>
      </c>
      <c r="E2095" s="234">
        <v>111218.58</v>
      </c>
    </row>
    <row r="2096" spans="2:5">
      <c r="B2096" s="232" t="s">
        <v>3136</v>
      </c>
      <c r="C2096" s="233" t="s">
        <v>1247</v>
      </c>
      <c r="D2096" s="234">
        <v>99948.42</v>
      </c>
      <c r="E2096" s="234">
        <v>100329.57</v>
      </c>
    </row>
    <row r="2097" spans="2:5">
      <c r="B2097" s="232" t="s">
        <v>3137</v>
      </c>
      <c r="C2097" s="233" t="s">
        <v>1247</v>
      </c>
      <c r="D2097" s="234">
        <v>137563.47</v>
      </c>
      <c r="E2097" s="234">
        <v>115598.34</v>
      </c>
    </row>
    <row r="2098" spans="2:5">
      <c r="B2098" s="232" t="s">
        <v>3138</v>
      </c>
      <c r="C2098" s="233" t="s">
        <v>1354</v>
      </c>
      <c r="D2098" s="234">
        <v>325219.73</v>
      </c>
      <c r="E2098" s="234">
        <v>252903.13</v>
      </c>
    </row>
    <row r="2099" spans="2:5">
      <c r="B2099" s="232" t="s">
        <v>3139</v>
      </c>
      <c r="C2099" s="233" t="s">
        <v>1354</v>
      </c>
      <c r="D2099" s="234">
        <v>269217.15000000002</v>
      </c>
      <c r="E2099" s="234">
        <v>329060.43</v>
      </c>
    </row>
    <row r="2100" spans="2:5">
      <c r="B2100" s="232" t="s">
        <v>3140</v>
      </c>
      <c r="C2100" s="233" t="s">
        <v>1354</v>
      </c>
      <c r="D2100" s="234">
        <v>279967.13</v>
      </c>
      <c r="E2100" s="234">
        <v>319430.82</v>
      </c>
    </row>
    <row r="2101" spans="2:5">
      <c r="B2101" s="232" t="s">
        <v>3141</v>
      </c>
      <c r="C2101" s="233" t="s">
        <v>1354</v>
      </c>
      <c r="D2101" s="234"/>
      <c r="E2101" s="234">
        <v>21310.74</v>
      </c>
    </row>
    <row r="2102" spans="2:5">
      <c r="B2102" s="232" t="s">
        <v>3142</v>
      </c>
      <c r="C2102" s="233" t="s">
        <v>1354</v>
      </c>
      <c r="D2102" s="234"/>
      <c r="E2102" s="234">
        <v>28077.69</v>
      </c>
    </row>
    <row r="2103" spans="2:5">
      <c r="B2103" s="232" t="s">
        <v>3143</v>
      </c>
      <c r="C2103" s="233" t="s">
        <v>1354</v>
      </c>
      <c r="D2103" s="234"/>
      <c r="E2103" s="234">
        <v>51502.1</v>
      </c>
    </row>
    <row r="2104" spans="2:5">
      <c r="B2104" s="232" t="s">
        <v>3144</v>
      </c>
      <c r="C2104" s="233" t="s">
        <v>1354</v>
      </c>
      <c r="D2104" s="234"/>
      <c r="E2104" s="234">
        <v>50240.31</v>
      </c>
    </row>
    <row r="2105" spans="2:5">
      <c r="B2105" s="232" t="s">
        <v>3145</v>
      </c>
      <c r="C2105" s="233" t="s">
        <v>1354</v>
      </c>
      <c r="D2105" s="234"/>
      <c r="E2105" s="234">
        <v>40141.410000000003</v>
      </c>
    </row>
    <row r="2106" spans="2:5">
      <c r="B2106" s="232" t="s">
        <v>3146</v>
      </c>
      <c r="C2106" s="233" t="s">
        <v>1354</v>
      </c>
      <c r="D2106" s="234">
        <v>407979.08</v>
      </c>
      <c r="E2106" s="234">
        <v>433256.84</v>
      </c>
    </row>
    <row r="2107" spans="2:5">
      <c r="B2107" s="232" t="s">
        <v>3147</v>
      </c>
      <c r="C2107" s="233" t="s">
        <v>1354</v>
      </c>
      <c r="D2107" s="234">
        <v>448058.48</v>
      </c>
      <c r="E2107" s="234">
        <v>347893.48</v>
      </c>
    </row>
    <row r="2108" spans="2:5">
      <c r="B2108" s="232" t="s">
        <v>3148</v>
      </c>
      <c r="C2108" s="233" t="s">
        <v>1354</v>
      </c>
      <c r="D2108" s="234">
        <v>501036.34</v>
      </c>
      <c r="E2108" s="234">
        <v>461759.94</v>
      </c>
    </row>
    <row r="2109" spans="2:5">
      <c r="B2109" s="232" t="s">
        <v>3149</v>
      </c>
      <c r="C2109" s="233" t="s">
        <v>1354</v>
      </c>
      <c r="D2109" s="234">
        <v>608966.40000000002</v>
      </c>
      <c r="E2109" s="234">
        <v>521720.96</v>
      </c>
    </row>
    <row r="2110" spans="2:5">
      <c r="B2110" s="232" t="s">
        <v>3150</v>
      </c>
      <c r="C2110" s="233" t="s">
        <v>1354</v>
      </c>
      <c r="D2110" s="234">
        <v>104526.72</v>
      </c>
      <c r="E2110" s="234">
        <v>77169.600000000006</v>
      </c>
    </row>
    <row r="2111" spans="2:5">
      <c r="B2111" s="232" t="s">
        <v>3151</v>
      </c>
      <c r="C2111" s="233" t="s">
        <v>1354</v>
      </c>
      <c r="D2111" s="234">
        <v>481967.85</v>
      </c>
      <c r="E2111" s="234">
        <v>384721.05</v>
      </c>
    </row>
    <row r="2112" spans="2:5">
      <c r="B2112" s="232" t="s">
        <v>3152</v>
      </c>
      <c r="C2112" s="233" t="s">
        <v>1354</v>
      </c>
      <c r="D2112" s="234">
        <v>492093.9</v>
      </c>
      <c r="E2112" s="234">
        <v>439059</v>
      </c>
    </row>
    <row r="2113" spans="2:5">
      <c r="B2113" s="232" t="s">
        <v>3153</v>
      </c>
      <c r="C2113" s="233" t="s">
        <v>1354</v>
      </c>
      <c r="D2113" s="234">
        <v>79725.75</v>
      </c>
      <c r="E2113" s="234">
        <v>63405.75</v>
      </c>
    </row>
    <row r="2114" spans="2:5">
      <c r="B2114" s="232" t="s">
        <v>3154</v>
      </c>
      <c r="C2114" s="233" t="s">
        <v>1354</v>
      </c>
      <c r="D2114" s="234">
        <v>417955.16</v>
      </c>
      <c r="E2114" s="234">
        <v>514667.44</v>
      </c>
    </row>
    <row r="2115" spans="2:5">
      <c r="B2115" s="232" t="s">
        <v>3155</v>
      </c>
      <c r="C2115" s="233" t="s">
        <v>1354</v>
      </c>
      <c r="D2115" s="234">
        <v>736065.8</v>
      </c>
      <c r="E2115" s="234">
        <v>654134.62</v>
      </c>
    </row>
    <row r="2116" spans="2:5">
      <c r="B2116" s="232" t="s">
        <v>3156</v>
      </c>
      <c r="C2116" s="233" t="s">
        <v>1354</v>
      </c>
      <c r="D2116" s="234">
        <v>594605.94999999995</v>
      </c>
      <c r="E2116" s="234">
        <v>594454.24</v>
      </c>
    </row>
    <row r="2117" spans="2:5">
      <c r="B2117" s="232" t="s">
        <v>3157</v>
      </c>
      <c r="C2117" s="233" t="s">
        <v>1354</v>
      </c>
      <c r="D2117" s="234">
        <v>575206.52</v>
      </c>
      <c r="E2117" s="234">
        <v>617164.06000000006</v>
      </c>
    </row>
    <row r="2118" spans="2:5">
      <c r="B2118" s="232" t="s">
        <v>3158</v>
      </c>
      <c r="C2118" s="233" t="s">
        <v>1354</v>
      </c>
      <c r="D2118" s="234">
        <v>521528</v>
      </c>
      <c r="E2118" s="234">
        <v>515729.2</v>
      </c>
    </row>
    <row r="2119" spans="2:5">
      <c r="B2119" s="232" t="s">
        <v>3159</v>
      </c>
      <c r="C2119" s="233" t="s">
        <v>1354</v>
      </c>
      <c r="D2119" s="234">
        <v>430256.4</v>
      </c>
      <c r="E2119" s="234">
        <v>551751.19999999995</v>
      </c>
    </row>
    <row r="2120" spans="2:5">
      <c r="B2120" s="232" t="s">
        <v>3160</v>
      </c>
      <c r="C2120" s="233" t="s">
        <v>1354</v>
      </c>
      <c r="D2120" s="234">
        <v>520290.4</v>
      </c>
      <c r="E2120" s="234">
        <v>429525.6</v>
      </c>
    </row>
    <row r="2121" spans="2:5">
      <c r="B2121" s="232" t="s">
        <v>3161</v>
      </c>
      <c r="C2121" s="233" t="s">
        <v>1354</v>
      </c>
      <c r="D2121" s="234">
        <v>107263.26</v>
      </c>
      <c r="E2121" s="234">
        <v>161995.21</v>
      </c>
    </row>
    <row r="2122" spans="2:5">
      <c r="B2122" s="232" t="s">
        <v>3162</v>
      </c>
      <c r="C2122" s="233" t="s">
        <v>1354</v>
      </c>
      <c r="D2122" s="234">
        <v>255190.52</v>
      </c>
      <c r="E2122" s="234">
        <v>225505.8</v>
      </c>
    </row>
    <row r="2123" spans="2:5">
      <c r="B2123" s="232" t="s">
        <v>3163</v>
      </c>
      <c r="C2123" s="233" t="s">
        <v>1354</v>
      </c>
      <c r="D2123" s="234">
        <v>721932.2</v>
      </c>
      <c r="E2123" s="234">
        <v>601481.48</v>
      </c>
    </row>
    <row r="2124" spans="2:5">
      <c r="B2124" s="232" t="s">
        <v>3164</v>
      </c>
      <c r="C2124" s="233" t="s">
        <v>1354</v>
      </c>
      <c r="D2124" s="234">
        <v>640445.68000000005</v>
      </c>
      <c r="E2124" s="234">
        <v>636835.81999999995</v>
      </c>
    </row>
    <row r="2125" spans="2:5">
      <c r="B2125" s="232" t="s">
        <v>3165</v>
      </c>
      <c r="C2125" s="233" t="s">
        <v>1354</v>
      </c>
      <c r="D2125" s="234">
        <v>522355.99</v>
      </c>
      <c r="E2125" s="234">
        <v>428179.96</v>
      </c>
    </row>
    <row r="2126" spans="2:5">
      <c r="B2126" s="232" t="s">
        <v>3166</v>
      </c>
      <c r="C2126" s="233" t="s">
        <v>1354</v>
      </c>
      <c r="D2126" s="234">
        <v>231572.51</v>
      </c>
      <c r="E2126" s="234">
        <v>241929.87</v>
      </c>
    </row>
    <row r="2127" spans="2:5">
      <c r="B2127" s="232" t="s">
        <v>3167</v>
      </c>
      <c r="C2127" s="233" t="s">
        <v>1354</v>
      </c>
      <c r="D2127" s="234">
        <v>510416.92</v>
      </c>
      <c r="E2127" s="234">
        <v>603669.04</v>
      </c>
    </row>
    <row r="2128" spans="2:5">
      <c r="B2128" s="232" t="s">
        <v>3168</v>
      </c>
      <c r="C2128" s="233" t="s">
        <v>1354</v>
      </c>
      <c r="D2128" s="234">
        <v>565999.5</v>
      </c>
      <c r="E2128" s="234">
        <v>528165</v>
      </c>
    </row>
    <row r="2129" spans="2:5">
      <c r="B2129" s="232" t="s">
        <v>3169</v>
      </c>
      <c r="C2129" s="233" t="s">
        <v>1354</v>
      </c>
      <c r="D2129" s="234">
        <v>526112.4</v>
      </c>
      <c r="E2129" s="234">
        <v>479268.9</v>
      </c>
    </row>
    <row r="2130" spans="2:5">
      <c r="B2130" s="232" t="s">
        <v>3170</v>
      </c>
      <c r="C2130" s="233" t="s">
        <v>1354</v>
      </c>
      <c r="D2130" s="234">
        <v>646524.54</v>
      </c>
      <c r="E2130" s="234">
        <v>616032.84</v>
      </c>
    </row>
    <row r="2131" spans="2:5">
      <c r="B2131" s="232" t="s">
        <v>3171</v>
      </c>
      <c r="C2131" s="233" t="s">
        <v>1354</v>
      </c>
      <c r="D2131" s="234">
        <v>675677.58</v>
      </c>
      <c r="E2131" s="234">
        <v>665840.64000000001</v>
      </c>
    </row>
    <row r="2132" spans="2:5">
      <c r="B2132" s="232" t="s">
        <v>3172</v>
      </c>
      <c r="C2132" s="233" t="s">
        <v>1354</v>
      </c>
      <c r="D2132" s="234">
        <v>447503.72</v>
      </c>
      <c r="E2132" s="234">
        <v>408386.44</v>
      </c>
    </row>
    <row r="2133" spans="2:5">
      <c r="B2133" s="232" t="s">
        <v>3173</v>
      </c>
      <c r="C2133" s="233" t="s">
        <v>1354</v>
      </c>
      <c r="D2133" s="234">
        <v>487593.84</v>
      </c>
      <c r="E2133" s="234">
        <v>414614.76</v>
      </c>
    </row>
    <row r="2134" spans="2:5">
      <c r="B2134" s="232" t="s">
        <v>3174</v>
      </c>
      <c r="C2134" s="233" t="s">
        <v>1354</v>
      </c>
      <c r="D2134" s="234">
        <v>61449.72</v>
      </c>
      <c r="E2134" s="234">
        <v>83055.88</v>
      </c>
    </row>
    <row r="2135" spans="2:5">
      <c r="B2135" s="232" t="s">
        <v>3175</v>
      </c>
      <c r="C2135" s="233" t="s">
        <v>1354</v>
      </c>
      <c r="D2135" s="234">
        <v>63296.1</v>
      </c>
      <c r="E2135" s="234">
        <v>172321.52</v>
      </c>
    </row>
    <row r="2136" spans="2:5">
      <c r="B2136" s="232" t="s">
        <v>3176</v>
      </c>
      <c r="C2136" s="233" t="s">
        <v>1354</v>
      </c>
      <c r="D2136" s="234">
        <v>100983.4</v>
      </c>
      <c r="E2136" s="234">
        <v>58769.34</v>
      </c>
    </row>
    <row r="2137" spans="2:5">
      <c r="B2137" s="232" t="s">
        <v>3177</v>
      </c>
      <c r="C2137" s="233" t="s">
        <v>1354</v>
      </c>
      <c r="D2137" s="234">
        <v>356609.68</v>
      </c>
      <c r="E2137" s="234">
        <v>427302.82</v>
      </c>
    </row>
    <row r="2138" spans="2:5">
      <c r="B2138" s="232" t="s">
        <v>3178</v>
      </c>
      <c r="C2138" s="233" t="s">
        <v>1354</v>
      </c>
      <c r="D2138" s="234">
        <v>512303.74</v>
      </c>
      <c r="E2138" s="234">
        <v>470419.36</v>
      </c>
    </row>
    <row r="2139" spans="2:5">
      <c r="B2139" s="232" t="s">
        <v>3179</v>
      </c>
      <c r="C2139" s="233" t="s">
        <v>1354</v>
      </c>
      <c r="D2139" s="234">
        <v>212487.2</v>
      </c>
      <c r="E2139" s="234">
        <v>274409.28000000003</v>
      </c>
    </row>
    <row r="2140" spans="2:5">
      <c r="B2140" s="232" t="s">
        <v>3180</v>
      </c>
      <c r="C2140" s="233" t="s">
        <v>1354</v>
      </c>
      <c r="D2140" s="234">
        <v>405305.14</v>
      </c>
      <c r="E2140" s="234">
        <v>518691.04</v>
      </c>
    </row>
    <row r="2141" spans="2:5">
      <c r="B2141" s="232" t="s">
        <v>3181</v>
      </c>
      <c r="C2141" s="233" t="s">
        <v>1354</v>
      </c>
      <c r="D2141" s="234">
        <v>533898.4</v>
      </c>
      <c r="E2141" s="234">
        <v>457102.8</v>
      </c>
    </row>
    <row r="2142" spans="2:5">
      <c r="B2142" s="232" t="s">
        <v>3182</v>
      </c>
      <c r="C2142" s="233" t="s">
        <v>1354</v>
      </c>
      <c r="D2142" s="234">
        <v>79413.600000000006</v>
      </c>
      <c r="E2142" s="234">
        <v>59878</v>
      </c>
    </row>
    <row r="2143" spans="2:5">
      <c r="B2143" s="232" t="s">
        <v>3183</v>
      </c>
      <c r="C2143" s="233" t="s">
        <v>1354</v>
      </c>
      <c r="D2143" s="234">
        <v>529783.80000000005</v>
      </c>
      <c r="E2143" s="234">
        <v>483593.8</v>
      </c>
    </row>
    <row r="2144" spans="2:5">
      <c r="B2144" s="232" t="s">
        <v>3184</v>
      </c>
      <c r="C2144" s="233" t="s">
        <v>1354</v>
      </c>
      <c r="D2144" s="234">
        <v>64151.4</v>
      </c>
      <c r="E2144" s="234">
        <v>96992.8</v>
      </c>
    </row>
    <row r="2145" spans="2:5">
      <c r="B2145" s="232" t="s">
        <v>3185</v>
      </c>
      <c r="C2145" s="233" t="s">
        <v>1354</v>
      </c>
      <c r="D2145" s="234">
        <v>226690.6</v>
      </c>
      <c r="E2145" s="234">
        <v>251692.1</v>
      </c>
    </row>
    <row r="2146" spans="2:5">
      <c r="B2146" s="232" t="s">
        <v>3186</v>
      </c>
      <c r="C2146" s="233" t="s">
        <v>1354</v>
      </c>
      <c r="D2146" s="234">
        <v>658042.19999999995</v>
      </c>
      <c r="E2146" s="234">
        <v>713263.8</v>
      </c>
    </row>
    <row r="2147" spans="2:5">
      <c r="B2147" s="232" t="s">
        <v>3187</v>
      </c>
      <c r="C2147" s="233" t="s">
        <v>1354</v>
      </c>
      <c r="D2147" s="234"/>
      <c r="E2147" s="234">
        <v>43517.599999999999</v>
      </c>
    </row>
    <row r="2148" spans="2:5">
      <c r="B2148" s="232" t="s">
        <v>3188</v>
      </c>
      <c r="C2148" s="233" t="s">
        <v>1354</v>
      </c>
      <c r="D2148" s="234">
        <v>648337</v>
      </c>
      <c r="E2148" s="234">
        <v>694043.4</v>
      </c>
    </row>
    <row r="2149" spans="2:5">
      <c r="B2149" s="232" t="s">
        <v>3189</v>
      </c>
      <c r="C2149" s="233" t="s">
        <v>1354</v>
      </c>
      <c r="D2149" s="234">
        <v>561147.1</v>
      </c>
      <c r="E2149" s="234">
        <v>467926.6</v>
      </c>
    </row>
    <row r="2150" spans="2:5">
      <c r="B2150" s="232" t="s">
        <v>3190</v>
      </c>
      <c r="C2150" s="233" t="s">
        <v>1354</v>
      </c>
      <c r="D2150" s="234">
        <v>514663</v>
      </c>
      <c r="E2150" s="234">
        <v>581653</v>
      </c>
    </row>
    <row r="2151" spans="2:5">
      <c r="B2151" s="232" t="s">
        <v>3191</v>
      </c>
      <c r="C2151" s="233" t="s">
        <v>1354</v>
      </c>
      <c r="D2151" s="234">
        <v>436571.8</v>
      </c>
      <c r="E2151" s="234">
        <v>485184.5</v>
      </c>
    </row>
    <row r="2152" spans="2:5">
      <c r="B2152" s="232" t="s">
        <v>3192</v>
      </c>
      <c r="C2152" s="233" t="s">
        <v>1354</v>
      </c>
      <c r="D2152" s="234">
        <v>557072.74</v>
      </c>
      <c r="E2152" s="234">
        <v>576141.09</v>
      </c>
    </row>
    <row r="2153" spans="2:5">
      <c r="B2153" s="232" t="s">
        <v>3193</v>
      </c>
      <c r="C2153" s="233" t="s">
        <v>1354</v>
      </c>
      <c r="D2153" s="234">
        <v>576643.76</v>
      </c>
      <c r="E2153" s="234">
        <v>531966.32999999996</v>
      </c>
    </row>
    <row r="2154" spans="2:5">
      <c r="B2154" s="232" t="s">
        <v>3194</v>
      </c>
      <c r="C2154" s="233" t="s">
        <v>1354</v>
      </c>
      <c r="D2154" s="234">
        <v>505761.27</v>
      </c>
      <c r="E2154" s="234">
        <v>428918.98</v>
      </c>
    </row>
    <row r="2155" spans="2:5">
      <c r="B2155" s="232" t="s">
        <v>3195</v>
      </c>
      <c r="C2155" s="233" t="s">
        <v>1354</v>
      </c>
      <c r="D2155" s="234">
        <v>374088</v>
      </c>
      <c r="E2155" s="234">
        <v>413660</v>
      </c>
    </row>
    <row r="2156" spans="2:5">
      <c r="B2156" s="232" t="s">
        <v>3196</v>
      </c>
      <c r="C2156" s="233" t="s">
        <v>1354</v>
      </c>
      <c r="D2156" s="234">
        <v>422477.12</v>
      </c>
      <c r="E2156" s="234">
        <v>346228.47999999998</v>
      </c>
    </row>
    <row r="2157" spans="2:5">
      <c r="B2157" s="232" t="s">
        <v>3197</v>
      </c>
      <c r="C2157" s="233" t="s">
        <v>1354</v>
      </c>
      <c r="D2157" s="234">
        <v>388500.32</v>
      </c>
      <c r="E2157" s="234">
        <v>328269.76</v>
      </c>
    </row>
    <row r="2158" spans="2:5">
      <c r="B2158" s="232" t="s">
        <v>3198</v>
      </c>
      <c r="C2158" s="233" t="s">
        <v>1354</v>
      </c>
      <c r="D2158" s="234">
        <v>302429.92</v>
      </c>
      <c r="E2158" s="234">
        <v>407557.28</v>
      </c>
    </row>
    <row r="2159" spans="2:5">
      <c r="B2159" s="232" t="s">
        <v>3199</v>
      </c>
      <c r="C2159" s="233" t="s">
        <v>1354</v>
      </c>
      <c r="D2159" s="234">
        <v>353641.6</v>
      </c>
      <c r="E2159" s="234">
        <v>378797.12</v>
      </c>
    </row>
    <row r="2160" spans="2:5">
      <c r="B2160" s="232" t="s">
        <v>3200</v>
      </c>
      <c r="C2160" s="233" t="s">
        <v>1354</v>
      </c>
      <c r="D2160" s="234">
        <v>65660.47</v>
      </c>
      <c r="E2160" s="234">
        <v>80394.820000000007</v>
      </c>
    </row>
    <row r="2161" spans="2:5">
      <c r="B2161" s="232" t="s">
        <v>3201</v>
      </c>
      <c r="C2161" s="233" t="s">
        <v>1354</v>
      </c>
      <c r="D2161" s="234">
        <v>71231.56</v>
      </c>
      <c r="E2161" s="234">
        <v>81948.320000000007</v>
      </c>
    </row>
    <row r="2162" spans="2:5">
      <c r="B2162" s="232" t="s">
        <v>3202</v>
      </c>
      <c r="C2162" s="233" t="s">
        <v>1354</v>
      </c>
      <c r="D2162" s="234">
        <v>65956.83</v>
      </c>
      <c r="E2162" s="234">
        <v>49989.24</v>
      </c>
    </row>
    <row r="2163" spans="2:5">
      <c r="B2163" s="232" t="s">
        <v>3203</v>
      </c>
      <c r="C2163" s="233" t="s">
        <v>1354</v>
      </c>
      <c r="D2163" s="234">
        <v>78172.12</v>
      </c>
      <c r="E2163" s="234">
        <v>49709.61</v>
      </c>
    </row>
    <row r="2164" spans="2:5">
      <c r="B2164" s="232" t="s">
        <v>3204</v>
      </c>
      <c r="C2164" s="233" t="s">
        <v>1354</v>
      </c>
      <c r="D2164" s="234">
        <v>81463.149999999994</v>
      </c>
      <c r="E2164" s="234">
        <v>75653.06</v>
      </c>
    </row>
    <row r="2165" spans="2:5">
      <c r="B2165" s="232" t="s">
        <v>3205</v>
      </c>
      <c r="C2165" s="233" t="s">
        <v>1354</v>
      </c>
      <c r="D2165" s="234">
        <v>451455.5</v>
      </c>
      <c r="E2165" s="234">
        <v>287955.40000000002</v>
      </c>
    </row>
    <row r="2166" spans="2:5">
      <c r="B2166" s="232" t="s">
        <v>3206</v>
      </c>
      <c r="C2166" s="233" t="s">
        <v>1354</v>
      </c>
      <c r="D2166" s="234">
        <v>396773</v>
      </c>
      <c r="E2166" s="234">
        <v>380686.8</v>
      </c>
    </row>
    <row r="2167" spans="2:5">
      <c r="B2167" s="232" t="s">
        <v>3207</v>
      </c>
      <c r="C2167" s="233" t="s">
        <v>1354</v>
      </c>
      <c r="D2167" s="234">
        <v>318878.90000000002</v>
      </c>
      <c r="E2167" s="234">
        <v>359312.9</v>
      </c>
    </row>
    <row r="2168" spans="2:5">
      <c r="B2168" s="232" t="s">
        <v>3208</v>
      </c>
      <c r="C2168" s="233" t="s">
        <v>1354</v>
      </c>
      <c r="D2168" s="234">
        <v>402909.4</v>
      </c>
      <c r="E2168" s="234">
        <v>418353.9</v>
      </c>
    </row>
    <row r="2169" spans="2:5">
      <c r="B2169" s="232" t="s">
        <v>3209</v>
      </c>
      <c r="C2169" s="233" t="s">
        <v>1354</v>
      </c>
      <c r="D2169" s="234">
        <v>390098.4</v>
      </c>
      <c r="E2169" s="234">
        <v>366150.8</v>
      </c>
    </row>
    <row r="2170" spans="2:5">
      <c r="B2170" s="232" t="s">
        <v>3210</v>
      </c>
      <c r="C2170" s="233" t="s">
        <v>1354</v>
      </c>
      <c r="D2170" s="234">
        <v>215463.62</v>
      </c>
      <c r="E2170" s="234">
        <v>186293.26</v>
      </c>
    </row>
    <row r="2171" spans="2:5">
      <c r="B2171" s="232" t="s">
        <v>3211</v>
      </c>
      <c r="C2171" s="233" t="s">
        <v>1354</v>
      </c>
      <c r="D2171" s="234">
        <v>207479.7</v>
      </c>
      <c r="E2171" s="234">
        <v>217306.27</v>
      </c>
    </row>
    <row r="2172" spans="2:5">
      <c r="B2172" s="232" t="s">
        <v>3212</v>
      </c>
      <c r="C2172" s="233" t="s">
        <v>1354</v>
      </c>
      <c r="D2172" s="234">
        <v>240722.72</v>
      </c>
      <c r="E2172" s="234">
        <v>203700.25</v>
      </c>
    </row>
    <row r="2173" spans="2:5">
      <c r="B2173" s="232" t="s">
        <v>3213</v>
      </c>
      <c r="C2173" s="233" t="s">
        <v>1354</v>
      </c>
      <c r="D2173" s="234">
        <v>195576.45</v>
      </c>
      <c r="E2173" s="234">
        <v>210659.28</v>
      </c>
    </row>
    <row r="2174" spans="2:5">
      <c r="B2174" s="232" t="s">
        <v>3214</v>
      </c>
      <c r="C2174" s="233" t="s">
        <v>1354</v>
      </c>
      <c r="D2174" s="234">
        <v>220157.67</v>
      </c>
      <c r="E2174" s="234">
        <v>148175.96</v>
      </c>
    </row>
    <row r="2175" spans="2:5">
      <c r="B2175" s="232" t="s">
        <v>3215</v>
      </c>
      <c r="C2175" s="233" t="s">
        <v>1354</v>
      </c>
      <c r="D2175" s="234">
        <v>521646</v>
      </c>
      <c r="E2175" s="234">
        <v>444174</v>
      </c>
    </row>
    <row r="2176" spans="2:5">
      <c r="B2176" s="232" t="s">
        <v>3216</v>
      </c>
      <c r="C2176" s="233" t="s">
        <v>1354</v>
      </c>
      <c r="D2176" s="234">
        <v>430914</v>
      </c>
      <c r="E2176" s="234">
        <v>527916</v>
      </c>
    </row>
    <row r="2177" spans="2:5">
      <c r="B2177" s="232" t="s">
        <v>3217</v>
      </c>
      <c r="C2177" s="233" t="s">
        <v>1354</v>
      </c>
      <c r="D2177" s="234">
        <v>462030</v>
      </c>
      <c r="E2177" s="234">
        <v>505644</v>
      </c>
    </row>
    <row r="2178" spans="2:5">
      <c r="B2178" s="232" t="s">
        <v>3218</v>
      </c>
      <c r="C2178" s="233" t="s">
        <v>1354</v>
      </c>
      <c r="D2178" s="234">
        <v>519423</v>
      </c>
      <c r="E2178" s="234">
        <v>532812</v>
      </c>
    </row>
    <row r="2179" spans="2:5">
      <c r="B2179" s="232" t="s">
        <v>3219</v>
      </c>
      <c r="C2179" s="233" t="s">
        <v>1354</v>
      </c>
      <c r="D2179" s="234">
        <v>590937</v>
      </c>
      <c r="E2179" s="234">
        <v>534849</v>
      </c>
    </row>
    <row r="2180" spans="2:5">
      <c r="B2180" s="232" t="s">
        <v>3220</v>
      </c>
      <c r="C2180" s="233" t="s">
        <v>1354</v>
      </c>
      <c r="D2180" s="234">
        <v>585481.5</v>
      </c>
      <c r="E2180" s="234">
        <v>502730.1</v>
      </c>
    </row>
    <row r="2181" spans="2:5">
      <c r="B2181" s="232" t="s">
        <v>3221</v>
      </c>
      <c r="C2181" s="233" t="s">
        <v>1354</v>
      </c>
      <c r="D2181" s="234">
        <v>491700.3</v>
      </c>
      <c r="E2181" s="234">
        <v>482400.3</v>
      </c>
    </row>
    <row r="2182" spans="2:5">
      <c r="B2182" s="232" t="s">
        <v>3222</v>
      </c>
      <c r="C2182" s="233" t="s">
        <v>1354</v>
      </c>
      <c r="D2182" s="234">
        <v>517727.9</v>
      </c>
      <c r="E2182" s="234">
        <v>563514.9</v>
      </c>
    </row>
    <row r="2183" spans="2:5">
      <c r="B2183" s="232" t="s">
        <v>3223</v>
      </c>
      <c r="C2183" s="233" t="s">
        <v>1354</v>
      </c>
      <c r="D2183" s="234">
        <v>533026.4</v>
      </c>
      <c r="E2183" s="234">
        <v>466776.3</v>
      </c>
    </row>
    <row r="2184" spans="2:5">
      <c r="B2184" s="232" t="s">
        <v>3224</v>
      </c>
      <c r="C2184" s="233" t="s">
        <v>1354</v>
      </c>
      <c r="D2184" s="234">
        <v>555513.80000000005</v>
      </c>
      <c r="E2184" s="234">
        <v>465108.5</v>
      </c>
    </row>
    <row r="2185" spans="2:5">
      <c r="B2185" s="232" t="s">
        <v>3225</v>
      </c>
      <c r="C2185" s="233" t="s">
        <v>1354</v>
      </c>
      <c r="D2185" s="234">
        <v>211712.31</v>
      </c>
      <c r="E2185" s="234">
        <v>198931.02</v>
      </c>
    </row>
    <row r="2186" spans="2:5">
      <c r="B2186" s="232" t="s">
        <v>3226</v>
      </c>
      <c r="C2186" s="233" t="s">
        <v>1354</v>
      </c>
      <c r="D2186" s="234">
        <v>179907.27</v>
      </c>
      <c r="E2186" s="234">
        <v>169892.1</v>
      </c>
    </row>
    <row r="2187" spans="2:5">
      <c r="B2187" s="232" t="s">
        <v>3227</v>
      </c>
      <c r="C2187" s="233" t="s">
        <v>1354</v>
      </c>
      <c r="D2187" s="234">
        <v>198196.77</v>
      </c>
      <c r="E2187" s="234">
        <v>185172.51</v>
      </c>
    </row>
    <row r="2188" spans="2:5">
      <c r="B2188" s="232" t="s">
        <v>3228</v>
      </c>
      <c r="C2188" s="233" t="s">
        <v>1354</v>
      </c>
      <c r="D2188" s="234">
        <v>230917.62</v>
      </c>
      <c r="E2188" s="234">
        <v>165574.71</v>
      </c>
    </row>
    <row r="2189" spans="2:5">
      <c r="B2189" s="232" t="s">
        <v>3229</v>
      </c>
      <c r="C2189" s="233" t="s">
        <v>1354</v>
      </c>
      <c r="D2189" s="234">
        <v>192539.04</v>
      </c>
      <c r="E2189" s="234">
        <v>229884.33</v>
      </c>
    </row>
    <row r="2190" spans="2:5">
      <c r="B2190" s="232" t="s">
        <v>3230</v>
      </c>
      <c r="C2190" s="233" t="s">
        <v>1354</v>
      </c>
      <c r="D2190" s="234">
        <v>227415.39</v>
      </c>
      <c r="E2190" s="234">
        <v>189958.95</v>
      </c>
    </row>
    <row r="2191" spans="2:5">
      <c r="B2191" s="232" t="s">
        <v>3231</v>
      </c>
      <c r="C2191" s="233" t="s">
        <v>1354</v>
      </c>
      <c r="D2191" s="234">
        <v>214201.92</v>
      </c>
      <c r="E2191" s="234">
        <v>217206.33</v>
      </c>
    </row>
    <row r="2192" spans="2:5">
      <c r="B2192" s="232" t="s">
        <v>3232</v>
      </c>
      <c r="C2192" s="233" t="s">
        <v>1354</v>
      </c>
      <c r="D2192" s="234">
        <v>200115.12</v>
      </c>
      <c r="E2192" s="234">
        <v>176657.76</v>
      </c>
    </row>
    <row r="2193" spans="2:5">
      <c r="B2193" s="232" t="s">
        <v>3233</v>
      </c>
      <c r="C2193" s="233" t="s">
        <v>1354</v>
      </c>
      <c r="D2193" s="234">
        <v>202293.93</v>
      </c>
      <c r="E2193" s="234">
        <v>192670.53</v>
      </c>
    </row>
    <row r="2194" spans="2:5">
      <c r="B2194" s="232" t="s">
        <v>3234</v>
      </c>
      <c r="C2194" s="233" t="s">
        <v>1354</v>
      </c>
      <c r="D2194" s="234">
        <v>218475.69</v>
      </c>
      <c r="E2194" s="234">
        <v>192363.51</v>
      </c>
    </row>
    <row r="2195" spans="2:5">
      <c r="B2195" s="232" t="s">
        <v>3235</v>
      </c>
      <c r="C2195" s="233" t="s">
        <v>1354</v>
      </c>
      <c r="D2195" s="234">
        <v>363377.66</v>
      </c>
      <c r="E2195" s="234">
        <v>404324.94</v>
      </c>
    </row>
    <row r="2196" spans="2:5">
      <c r="B2196" s="232" t="s">
        <v>3236</v>
      </c>
      <c r="C2196" s="233" t="s">
        <v>1354</v>
      </c>
      <c r="D2196" s="234">
        <v>454065.99</v>
      </c>
      <c r="E2196" s="234">
        <v>513961.4</v>
      </c>
    </row>
    <row r="2197" spans="2:5">
      <c r="B2197" s="232" t="s">
        <v>3237</v>
      </c>
      <c r="C2197" s="233" t="s">
        <v>1354</v>
      </c>
      <c r="D2197" s="234">
        <v>393222.29</v>
      </c>
      <c r="E2197" s="234">
        <v>396997.78</v>
      </c>
    </row>
    <row r="2198" spans="2:5">
      <c r="B2198" s="232" t="s">
        <v>3238</v>
      </c>
      <c r="C2198" s="233" t="s">
        <v>1354</v>
      </c>
      <c r="D2198" s="234">
        <v>125611.05</v>
      </c>
      <c r="E2198" s="234">
        <v>113893.7</v>
      </c>
    </row>
    <row r="2199" spans="2:5">
      <c r="B2199" s="232" t="s">
        <v>3239</v>
      </c>
      <c r="C2199" s="233" t="s">
        <v>1354</v>
      </c>
      <c r="D2199" s="234">
        <v>129795.44</v>
      </c>
      <c r="E2199" s="234">
        <v>134799.78</v>
      </c>
    </row>
    <row r="2200" spans="2:5">
      <c r="B2200" s="232" t="s">
        <v>3240</v>
      </c>
      <c r="C2200" s="233" t="s">
        <v>1354</v>
      </c>
      <c r="D2200" s="234">
        <v>202797.44</v>
      </c>
      <c r="E2200" s="234">
        <v>192423.75</v>
      </c>
    </row>
    <row r="2201" spans="2:5">
      <c r="B2201" s="232" t="s">
        <v>3241</v>
      </c>
      <c r="C2201" s="233" t="s">
        <v>1354</v>
      </c>
      <c r="D2201" s="234">
        <v>259935.48</v>
      </c>
      <c r="E2201" s="234">
        <v>258414.03</v>
      </c>
    </row>
    <row r="2202" spans="2:5">
      <c r="B2202" s="232" t="s">
        <v>3242</v>
      </c>
      <c r="C2202" s="233" t="s">
        <v>1354</v>
      </c>
      <c r="D2202" s="234">
        <v>279175.67999999999</v>
      </c>
      <c r="E2202" s="234">
        <v>241695.09</v>
      </c>
    </row>
    <row r="2203" spans="2:5">
      <c r="B2203" s="232" t="s">
        <v>3243</v>
      </c>
      <c r="C2203" s="233" t="s">
        <v>1354</v>
      </c>
      <c r="D2203" s="234">
        <v>266578.83</v>
      </c>
      <c r="E2203" s="234">
        <v>286845.3</v>
      </c>
    </row>
    <row r="2204" spans="2:5">
      <c r="B2204" s="232" t="s">
        <v>3244</v>
      </c>
      <c r="C2204" s="233" t="s">
        <v>1354</v>
      </c>
      <c r="D2204" s="234">
        <v>339926</v>
      </c>
      <c r="E2204" s="234">
        <v>381238</v>
      </c>
    </row>
    <row r="2205" spans="2:5">
      <c r="B2205" s="232" t="s">
        <v>3245</v>
      </c>
      <c r="C2205" s="233" t="s">
        <v>1354</v>
      </c>
      <c r="D2205" s="234">
        <v>294928</v>
      </c>
      <c r="E2205" s="234">
        <v>249168</v>
      </c>
    </row>
    <row r="2206" spans="2:5">
      <c r="B2206" s="232" t="s">
        <v>3246</v>
      </c>
      <c r="C2206" s="233" t="s">
        <v>1354</v>
      </c>
      <c r="D2206" s="234">
        <v>297692</v>
      </c>
      <c r="E2206" s="234">
        <v>308290</v>
      </c>
    </row>
    <row r="2207" spans="2:5">
      <c r="B2207" s="232" t="s">
        <v>3247</v>
      </c>
      <c r="C2207" s="233" t="s">
        <v>1354</v>
      </c>
      <c r="D2207" s="234">
        <v>466708.6</v>
      </c>
      <c r="E2207" s="234">
        <v>494336.72</v>
      </c>
    </row>
    <row r="2208" spans="2:5">
      <c r="B2208" s="232" t="s">
        <v>3248</v>
      </c>
      <c r="C2208" s="233" t="s">
        <v>1354</v>
      </c>
      <c r="D2208" s="234">
        <v>442837.84</v>
      </c>
      <c r="E2208" s="234">
        <v>403415.03999999998</v>
      </c>
    </row>
    <row r="2209" spans="2:5">
      <c r="B2209" s="232" t="s">
        <v>3249</v>
      </c>
      <c r="C2209" s="233" t="s">
        <v>1354</v>
      </c>
      <c r="D2209" s="234">
        <v>373324</v>
      </c>
      <c r="E2209" s="234">
        <v>436939.16</v>
      </c>
    </row>
    <row r="2210" spans="2:5">
      <c r="B2210" s="232" t="s">
        <v>3250</v>
      </c>
      <c r="C2210" s="233" t="s">
        <v>1354</v>
      </c>
      <c r="D2210" s="234">
        <v>340080.3</v>
      </c>
      <c r="E2210" s="234">
        <v>412861.5</v>
      </c>
    </row>
    <row r="2211" spans="2:5">
      <c r="B2211" s="232" t="s">
        <v>3251</v>
      </c>
      <c r="C2211" s="233" t="s">
        <v>1354</v>
      </c>
      <c r="D2211" s="234">
        <v>454008.5</v>
      </c>
      <c r="E2211" s="234">
        <v>364087.7</v>
      </c>
    </row>
    <row r="2212" spans="2:5">
      <c r="B2212" s="232" t="s">
        <v>3252</v>
      </c>
      <c r="C2212" s="233" t="s">
        <v>1354</v>
      </c>
      <c r="D2212" s="234">
        <v>369219</v>
      </c>
      <c r="E2212" s="234">
        <v>361343.8</v>
      </c>
    </row>
    <row r="2213" spans="2:5">
      <c r="B2213" s="232" t="s">
        <v>3253</v>
      </c>
      <c r="C2213" s="233" t="s">
        <v>1354</v>
      </c>
      <c r="D2213" s="234">
        <v>64612.12</v>
      </c>
      <c r="E2213" s="234">
        <v>87338.52</v>
      </c>
    </row>
    <row r="2214" spans="2:5">
      <c r="B2214" s="232" t="s">
        <v>3254</v>
      </c>
      <c r="C2214" s="233" t="s">
        <v>1354</v>
      </c>
      <c r="D2214" s="234">
        <v>142345.51999999999</v>
      </c>
      <c r="E2214" s="234">
        <v>77896.88</v>
      </c>
    </row>
    <row r="2215" spans="2:5">
      <c r="B2215" s="232" t="s">
        <v>3255</v>
      </c>
      <c r="C2215" s="233" t="s">
        <v>1354</v>
      </c>
      <c r="D2215" s="234">
        <v>134980.88</v>
      </c>
      <c r="E2215" s="234">
        <v>101657.76</v>
      </c>
    </row>
    <row r="2216" spans="2:5">
      <c r="B2216" s="232" t="s">
        <v>3256</v>
      </c>
      <c r="C2216" s="233" t="s">
        <v>1354</v>
      </c>
      <c r="D2216" s="234">
        <v>460660.22</v>
      </c>
      <c r="E2216" s="234">
        <v>504068.02</v>
      </c>
    </row>
    <row r="2217" spans="2:5">
      <c r="B2217" s="232" t="s">
        <v>3257</v>
      </c>
      <c r="C2217" s="233" t="s">
        <v>1354</v>
      </c>
      <c r="D2217" s="234">
        <v>574202.54</v>
      </c>
      <c r="E2217" s="234">
        <v>434297.64</v>
      </c>
    </row>
    <row r="2218" spans="2:5">
      <c r="B2218" s="232" t="s">
        <v>3258</v>
      </c>
      <c r="C2218" s="233" t="s">
        <v>1354</v>
      </c>
      <c r="D2218" s="234">
        <v>554160.39</v>
      </c>
      <c r="E2218" s="234">
        <v>477821.04</v>
      </c>
    </row>
    <row r="2219" spans="2:5">
      <c r="B2219" s="232" t="s">
        <v>3259</v>
      </c>
      <c r="C2219" s="233" t="s">
        <v>1354</v>
      </c>
      <c r="D2219" s="234">
        <v>51891.199999999997</v>
      </c>
      <c r="E2219" s="234">
        <v>79096.320000000007</v>
      </c>
    </row>
    <row r="2220" spans="2:5">
      <c r="B2220" s="232" t="s">
        <v>3260</v>
      </c>
      <c r="C2220" s="233" t="s">
        <v>1354</v>
      </c>
      <c r="D2220" s="234">
        <v>76055.039999999994</v>
      </c>
      <c r="E2220" s="234">
        <v>100518.39999999999</v>
      </c>
    </row>
    <row r="2221" spans="2:5">
      <c r="B2221" s="232" t="s">
        <v>3261</v>
      </c>
      <c r="C2221" s="233" t="s">
        <v>1354</v>
      </c>
      <c r="D2221" s="234">
        <v>58357.760000000002</v>
      </c>
      <c r="E2221" s="234">
        <v>63744</v>
      </c>
    </row>
    <row r="2222" spans="2:5">
      <c r="B2222" s="232" t="s">
        <v>3262</v>
      </c>
      <c r="C2222" s="233" t="s">
        <v>1354</v>
      </c>
      <c r="D2222" s="234">
        <v>186097.98</v>
      </c>
      <c r="E2222" s="234">
        <v>198239.46</v>
      </c>
    </row>
    <row r="2223" spans="2:5">
      <c r="B2223" s="232" t="s">
        <v>3263</v>
      </c>
      <c r="C2223" s="233" t="s">
        <v>1354</v>
      </c>
      <c r="D2223" s="234">
        <v>175380.66</v>
      </c>
      <c r="E2223" s="234">
        <v>188154.23999999999</v>
      </c>
    </row>
    <row r="2224" spans="2:5">
      <c r="B2224" s="232" t="s">
        <v>3264</v>
      </c>
      <c r="C2224" s="233" t="s">
        <v>1354</v>
      </c>
      <c r="D2224" s="234">
        <v>189297.18</v>
      </c>
      <c r="E2224" s="234">
        <v>179568</v>
      </c>
    </row>
    <row r="2225" spans="2:5">
      <c r="B2225" s="232" t="s">
        <v>3265</v>
      </c>
      <c r="C2225" s="233" t="s">
        <v>1354</v>
      </c>
      <c r="D2225" s="234">
        <v>478170</v>
      </c>
      <c r="E2225" s="234">
        <v>474193.72</v>
      </c>
    </row>
    <row r="2226" spans="2:5">
      <c r="B2226" s="232" t="s">
        <v>3266</v>
      </c>
      <c r="C2226" s="233" t="s">
        <v>1354</v>
      </c>
      <c r="D2226" s="234">
        <v>566442.80000000005</v>
      </c>
      <c r="E2226" s="234">
        <v>519217.16</v>
      </c>
    </row>
    <row r="2227" spans="2:5">
      <c r="B2227" s="232" t="s">
        <v>3267</v>
      </c>
      <c r="C2227" s="233" t="s">
        <v>1354</v>
      </c>
      <c r="D2227" s="234">
        <v>488318.6</v>
      </c>
      <c r="E2227" s="234">
        <v>553260.4</v>
      </c>
    </row>
    <row r="2228" spans="2:5">
      <c r="B2228" s="232" t="s">
        <v>3268</v>
      </c>
      <c r="C2228" s="233" t="s">
        <v>1354</v>
      </c>
      <c r="D2228" s="234">
        <v>495165</v>
      </c>
      <c r="E2228" s="234">
        <v>572268</v>
      </c>
    </row>
    <row r="2229" spans="2:5">
      <c r="B2229" s="232" t="s">
        <v>3269</v>
      </c>
      <c r="C2229" s="233" t="s">
        <v>1354</v>
      </c>
      <c r="D2229" s="234">
        <v>465780</v>
      </c>
      <c r="E2229" s="234">
        <v>552054</v>
      </c>
    </row>
    <row r="2230" spans="2:5">
      <c r="B2230" s="232" t="s">
        <v>3270</v>
      </c>
      <c r="C2230" s="233" t="s">
        <v>1354</v>
      </c>
      <c r="D2230" s="234">
        <v>547821</v>
      </c>
      <c r="E2230" s="234">
        <v>505329</v>
      </c>
    </row>
    <row r="2231" spans="2:5">
      <c r="B2231" s="232" t="s">
        <v>3271</v>
      </c>
      <c r="C2231" s="233" t="s">
        <v>1354</v>
      </c>
      <c r="D2231" s="234">
        <v>95144.79</v>
      </c>
      <c r="E2231" s="234">
        <v>261535.3</v>
      </c>
    </row>
    <row r="2232" spans="2:5">
      <c r="B2232" s="232" t="s">
        <v>3272</v>
      </c>
      <c r="C2232" s="233" t="s">
        <v>1354</v>
      </c>
      <c r="D2232" s="234">
        <v>90964.77</v>
      </c>
      <c r="E2232" s="234">
        <v>199597.45</v>
      </c>
    </row>
    <row r="2233" spans="2:5">
      <c r="B2233" s="232" t="s">
        <v>3273</v>
      </c>
      <c r="C2233" s="233" t="s">
        <v>1354</v>
      </c>
      <c r="D2233" s="234">
        <v>92534.52</v>
      </c>
      <c r="E2233" s="234">
        <v>221986.57</v>
      </c>
    </row>
    <row r="2234" spans="2:5">
      <c r="B2234" s="232" t="s">
        <v>3274</v>
      </c>
      <c r="C2234" s="233" t="s">
        <v>1354</v>
      </c>
      <c r="D2234" s="234">
        <v>430144.51</v>
      </c>
      <c r="E2234" s="234">
        <v>460103.76</v>
      </c>
    </row>
    <row r="2235" spans="2:5">
      <c r="B2235" s="232" t="s">
        <v>3275</v>
      </c>
      <c r="C2235" s="233" t="s">
        <v>1354</v>
      </c>
      <c r="D2235" s="234">
        <v>540350.6</v>
      </c>
      <c r="E2235" s="234">
        <v>542518.80000000005</v>
      </c>
    </row>
    <row r="2236" spans="2:5">
      <c r="B2236" s="232" t="s">
        <v>3276</v>
      </c>
      <c r="C2236" s="233" t="s">
        <v>1354</v>
      </c>
      <c r="D2236" s="234">
        <v>470915.46</v>
      </c>
      <c r="E2236" s="234">
        <v>512289.99</v>
      </c>
    </row>
    <row r="2237" spans="2:5">
      <c r="B2237" s="232" t="s">
        <v>3277</v>
      </c>
      <c r="C2237" s="233" t="s">
        <v>1358</v>
      </c>
      <c r="D2237" s="234">
        <v>105713.4</v>
      </c>
      <c r="E2237" s="234">
        <v>185700.84</v>
      </c>
    </row>
    <row r="2238" spans="2:5">
      <c r="B2238" s="232" t="s">
        <v>3278</v>
      </c>
      <c r="C2238" s="233" t="s">
        <v>1358</v>
      </c>
      <c r="D2238" s="234">
        <v>112440.12</v>
      </c>
      <c r="E2238" s="234">
        <v>153836.28</v>
      </c>
    </row>
    <row r="2239" spans="2:5">
      <c r="B2239" s="232" t="s">
        <v>3279</v>
      </c>
      <c r="C2239" s="233" t="s">
        <v>1358</v>
      </c>
      <c r="D2239" s="234">
        <v>171729.48</v>
      </c>
      <c r="E2239" s="234">
        <v>158570.88</v>
      </c>
    </row>
    <row r="2240" spans="2:5">
      <c r="B2240" s="232" t="s">
        <v>3280</v>
      </c>
      <c r="C2240" s="233" t="s">
        <v>1358</v>
      </c>
      <c r="D2240" s="234">
        <v>157822.07999999999</v>
      </c>
      <c r="E2240" s="234">
        <v>221364</v>
      </c>
    </row>
    <row r="2241" spans="2:5">
      <c r="B2241" s="232" t="s">
        <v>3281</v>
      </c>
      <c r="C2241" s="233" t="s">
        <v>1358</v>
      </c>
      <c r="D2241" s="234">
        <v>263895.46000000002</v>
      </c>
      <c r="E2241" s="234">
        <v>206137.72</v>
      </c>
    </row>
    <row r="2242" spans="2:5">
      <c r="B2242" s="232" t="s">
        <v>3282</v>
      </c>
      <c r="C2242" s="233" t="s">
        <v>1358</v>
      </c>
      <c r="D2242" s="234">
        <v>221440.11</v>
      </c>
      <c r="E2242" s="234">
        <v>247943.79</v>
      </c>
    </row>
    <row r="2243" spans="2:5">
      <c r="B2243" s="232" t="s">
        <v>3283</v>
      </c>
      <c r="C2243" s="233" t="s">
        <v>1358</v>
      </c>
      <c r="D2243" s="234">
        <v>224151.21</v>
      </c>
      <c r="E2243" s="234">
        <v>239900.47</v>
      </c>
    </row>
    <row r="2244" spans="2:5">
      <c r="B2244" s="232" t="s">
        <v>3284</v>
      </c>
      <c r="C2244" s="233" t="s">
        <v>1358</v>
      </c>
      <c r="D2244" s="234">
        <v>154503.29999999999</v>
      </c>
      <c r="E2244" s="234">
        <v>157680.47</v>
      </c>
    </row>
    <row r="2245" spans="2:5">
      <c r="B2245" s="232" t="s">
        <v>3285</v>
      </c>
      <c r="C2245" s="233" t="s">
        <v>1358</v>
      </c>
      <c r="D2245" s="234">
        <v>135466.04</v>
      </c>
      <c r="E2245" s="234">
        <v>143450.04999999999</v>
      </c>
    </row>
    <row r="2246" spans="2:5">
      <c r="B2246" s="232" t="s">
        <v>3286</v>
      </c>
      <c r="C2246" s="233" t="s">
        <v>1358</v>
      </c>
      <c r="D2246" s="234">
        <v>130185.35</v>
      </c>
      <c r="E2246" s="234">
        <v>145477.53</v>
      </c>
    </row>
    <row r="2247" spans="2:5">
      <c r="B2247" s="232" t="s">
        <v>3287</v>
      </c>
      <c r="C2247" s="233" t="s">
        <v>1358</v>
      </c>
      <c r="D2247" s="234">
        <v>150734.20000000001</v>
      </c>
      <c r="E2247" s="234">
        <v>139043.16</v>
      </c>
    </row>
    <row r="2248" spans="2:5">
      <c r="B2248" s="232" t="s">
        <v>3288</v>
      </c>
      <c r="C2248" s="233" t="s">
        <v>1358</v>
      </c>
      <c r="D2248" s="234"/>
      <c r="E2248" s="234">
        <v>26950.9</v>
      </c>
    </row>
    <row r="2249" spans="2:5">
      <c r="B2249" s="232" t="s">
        <v>3289</v>
      </c>
      <c r="C2249" s="233" t="s">
        <v>1358</v>
      </c>
      <c r="D2249" s="234"/>
      <c r="E2249" s="234">
        <v>43128.68</v>
      </c>
    </row>
    <row r="2250" spans="2:5">
      <c r="B2250" s="232" t="s">
        <v>3290</v>
      </c>
      <c r="C2250" s="233" t="s">
        <v>1358</v>
      </c>
      <c r="D2250" s="234"/>
      <c r="E2250" s="234">
        <v>43706.07</v>
      </c>
    </row>
    <row r="2251" spans="2:5">
      <c r="B2251" s="232" t="s">
        <v>3291</v>
      </c>
      <c r="C2251" s="233" t="s">
        <v>1358</v>
      </c>
      <c r="D2251" s="234"/>
      <c r="E2251" s="234">
        <v>37591.89</v>
      </c>
    </row>
    <row r="2252" spans="2:5">
      <c r="B2252" s="232" t="s">
        <v>3292</v>
      </c>
      <c r="C2252" s="233" t="s">
        <v>1358</v>
      </c>
      <c r="D2252" s="234"/>
      <c r="E2252" s="234">
        <v>38963.870000000003</v>
      </c>
    </row>
    <row r="2253" spans="2:5">
      <c r="B2253" s="232" t="s">
        <v>3293</v>
      </c>
      <c r="C2253" s="233" t="s">
        <v>1358</v>
      </c>
      <c r="D2253" s="234">
        <v>65128.88</v>
      </c>
      <c r="E2253" s="234">
        <v>67671.520000000004</v>
      </c>
    </row>
    <row r="2254" spans="2:5">
      <c r="B2254" s="232" t="s">
        <v>3294</v>
      </c>
      <c r="C2254" s="233" t="s">
        <v>1358</v>
      </c>
      <c r="D2254" s="234">
        <v>63894.559999999998</v>
      </c>
      <c r="E2254" s="234">
        <v>61911.360000000001</v>
      </c>
    </row>
    <row r="2255" spans="2:5">
      <c r="B2255" s="232" t="s">
        <v>3295</v>
      </c>
      <c r="C2255" s="233" t="s">
        <v>1358</v>
      </c>
      <c r="D2255" s="234">
        <v>59954.8</v>
      </c>
      <c r="E2255" s="234">
        <v>79481.919999999998</v>
      </c>
    </row>
    <row r="2256" spans="2:5">
      <c r="B2256" s="232" t="s">
        <v>3296</v>
      </c>
      <c r="C2256" s="233" t="s">
        <v>1358</v>
      </c>
      <c r="D2256" s="234">
        <v>72212.160000000003</v>
      </c>
      <c r="E2256" s="234">
        <v>75625.039999999994</v>
      </c>
    </row>
    <row r="2257" spans="2:5">
      <c r="B2257" s="232" t="s">
        <v>3297</v>
      </c>
      <c r="C2257" s="233" t="s">
        <v>1212</v>
      </c>
      <c r="D2257" s="234">
        <v>188009.84</v>
      </c>
      <c r="E2257" s="234">
        <v>178541.16</v>
      </c>
    </row>
    <row r="2258" spans="2:5">
      <c r="B2258" s="232" t="s">
        <v>3298</v>
      </c>
      <c r="C2258" s="233" t="s">
        <v>1212</v>
      </c>
      <c r="D2258" s="234">
        <v>181977.23</v>
      </c>
      <c r="E2258" s="234">
        <v>188789.5</v>
      </c>
    </row>
    <row r="2259" spans="2:5">
      <c r="B2259" s="232" t="s">
        <v>3299</v>
      </c>
      <c r="C2259" s="233" t="s">
        <v>1212</v>
      </c>
      <c r="D2259" s="234">
        <v>192434.84</v>
      </c>
      <c r="E2259" s="234">
        <v>175962.94</v>
      </c>
    </row>
    <row r="2260" spans="2:5">
      <c r="B2260" s="232" t="s">
        <v>3300</v>
      </c>
      <c r="C2260" s="233" t="s">
        <v>1212</v>
      </c>
      <c r="D2260" s="234">
        <v>166158.48000000001</v>
      </c>
      <c r="E2260" s="234">
        <v>179003.44</v>
      </c>
    </row>
    <row r="2261" spans="2:5">
      <c r="B2261" s="232" t="s">
        <v>3301</v>
      </c>
      <c r="C2261" s="233" t="s">
        <v>1212</v>
      </c>
      <c r="D2261" s="234">
        <v>210507.46</v>
      </c>
      <c r="E2261" s="234">
        <v>135583.66</v>
      </c>
    </row>
    <row r="2262" spans="2:5">
      <c r="B2262" s="232" t="s">
        <v>3302</v>
      </c>
      <c r="C2262" s="233" t="s">
        <v>1212</v>
      </c>
      <c r="D2262" s="234">
        <v>171302.96</v>
      </c>
      <c r="E2262" s="234">
        <v>228686.76</v>
      </c>
    </row>
    <row r="2263" spans="2:5">
      <c r="B2263" s="232" t="s">
        <v>3303</v>
      </c>
      <c r="C2263" s="233" t="s">
        <v>1212</v>
      </c>
      <c r="D2263" s="234">
        <v>201412.55</v>
      </c>
      <c r="E2263" s="234">
        <v>196603.71</v>
      </c>
    </row>
    <row r="2264" spans="2:5">
      <c r="B2264" s="232" t="s">
        <v>3304</v>
      </c>
      <c r="C2264" s="233" t="s">
        <v>1212</v>
      </c>
      <c r="D2264" s="234">
        <v>181938.23</v>
      </c>
      <c r="E2264" s="234">
        <v>197054.79</v>
      </c>
    </row>
    <row r="2265" spans="2:5">
      <c r="B2265" s="232" t="s">
        <v>3305</v>
      </c>
      <c r="C2265" s="233" t="s">
        <v>1212</v>
      </c>
      <c r="D2265" s="234">
        <v>242119.83</v>
      </c>
      <c r="E2265" s="234">
        <v>216988.18</v>
      </c>
    </row>
    <row r="2266" spans="2:5">
      <c r="B2266" s="232" t="s">
        <v>3306</v>
      </c>
      <c r="C2266" s="233" t="s">
        <v>1212</v>
      </c>
      <c r="D2266" s="234">
        <v>213860.19</v>
      </c>
      <c r="E2266" s="234">
        <v>175550.6</v>
      </c>
    </row>
    <row r="2267" spans="2:5">
      <c r="B2267" s="232" t="s">
        <v>3307</v>
      </c>
      <c r="C2267" s="233" t="s">
        <v>1247</v>
      </c>
      <c r="D2267" s="234">
        <v>192834.18</v>
      </c>
      <c r="E2267" s="234">
        <v>147066.48000000001</v>
      </c>
    </row>
    <row r="2268" spans="2:5">
      <c r="B2268" s="232" t="s">
        <v>3308</v>
      </c>
      <c r="C2268" s="233" t="s">
        <v>1247</v>
      </c>
      <c r="D2268" s="234">
        <v>151221.51</v>
      </c>
      <c r="E2268" s="234">
        <v>143054.01</v>
      </c>
    </row>
    <row r="2269" spans="2:5">
      <c r="B2269" s="232" t="s">
        <v>3309</v>
      </c>
      <c r="C2269" s="233" t="s">
        <v>1212</v>
      </c>
      <c r="D2269" s="234">
        <v>48136.87</v>
      </c>
      <c r="E2269" s="234">
        <v>43096.78</v>
      </c>
    </row>
    <row r="2270" spans="2:5">
      <c r="B2270" s="232" t="s">
        <v>3310</v>
      </c>
      <c r="C2270" s="233" t="s">
        <v>1212</v>
      </c>
      <c r="D2270" s="234">
        <v>50473.39</v>
      </c>
      <c r="E2270" s="234">
        <v>41641.67</v>
      </c>
    </row>
    <row r="2271" spans="2:5">
      <c r="B2271" s="232" t="s">
        <v>3311</v>
      </c>
      <c r="C2271" s="233" t="s">
        <v>1212</v>
      </c>
      <c r="D2271" s="234">
        <v>46789.41</v>
      </c>
      <c r="E2271" s="234">
        <v>55821.23</v>
      </c>
    </row>
    <row r="2272" spans="2:5">
      <c r="B2272" s="232" t="s">
        <v>3312</v>
      </c>
      <c r="C2272" s="233" t="s">
        <v>1212</v>
      </c>
      <c r="D2272" s="234">
        <v>55241.81</v>
      </c>
      <c r="E2272" s="234">
        <v>37646.699999999997</v>
      </c>
    </row>
    <row r="2273" spans="2:5">
      <c r="B2273" s="232" t="s">
        <v>3313</v>
      </c>
      <c r="C2273" s="233" t="s">
        <v>1212</v>
      </c>
      <c r="D2273" s="234">
        <v>50720.21</v>
      </c>
      <c r="E2273" s="234">
        <v>41700.74</v>
      </c>
    </row>
    <row r="2274" spans="2:5">
      <c r="B2274" s="232" t="s">
        <v>3314</v>
      </c>
      <c r="C2274" s="233" t="s">
        <v>1212</v>
      </c>
      <c r="D2274" s="234">
        <v>133137.49</v>
      </c>
      <c r="E2274" s="234">
        <v>134249.57999999999</v>
      </c>
    </row>
    <row r="2275" spans="2:5">
      <c r="B2275" s="232" t="s">
        <v>3315</v>
      </c>
      <c r="C2275" s="233" t="s">
        <v>1212</v>
      </c>
      <c r="D2275" s="234">
        <v>123700.99</v>
      </c>
      <c r="E2275" s="234">
        <v>130277.7</v>
      </c>
    </row>
    <row r="2276" spans="2:5">
      <c r="B2276" s="232" t="s">
        <v>3316</v>
      </c>
      <c r="C2276" s="233" t="s">
        <v>1212</v>
      </c>
      <c r="D2276" s="234">
        <v>118298.8</v>
      </c>
      <c r="E2276" s="234">
        <v>114203.75</v>
      </c>
    </row>
    <row r="2277" spans="2:5">
      <c r="B2277" s="232" t="s">
        <v>3317</v>
      </c>
      <c r="C2277" s="233" t="s">
        <v>1212</v>
      </c>
      <c r="D2277" s="234">
        <v>126530.44</v>
      </c>
      <c r="E2277" s="234">
        <v>123859.29</v>
      </c>
    </row>
    <row r="2278" spans="2:5">
      <c r="B2278" s="232" t="s">
        <v>3318</v>
      </c>
      <c r="C2278" s="233" t="s">
        <v>1212</v>
      </c>
      <c r="D2278" s="234">
        <v>120116.02</v>
      </c>
      <c r="E2278" s="234">
        <v>124378.96</v>
      </c>
    </row>
    <row r="2279" spans="2:5">
      <c r="B2279" s="232" t="s">
        <v>3319</v>
      </c>
      <c r="C2279" s="233" t="s">
        <v>1247</v>
      </c>
      <c r="D2279" s="234">
        <v>622256</v>
      </c>
      <c r="E2279" s="234">
        <v>593339.15</v>
      </c>
    </row>
    <row r="2280" spans="2:5">
      <c r="B2280" s="232" t="s">
        <v>3320</v>
      </c>
      <c r="C2280" s="233" t="s">
        <v>1247</v>
      </c>
      <c r="D2280" s="234">
        <v>578408.97</v>
      </c>
      <c r="E2280" s="234">
        <v>636178.80000000005</v>
      </c>
    </row>
    <row r="2281" spans="2:5">
      <c r="B2281" s="232" t="s">
        <v>3321</v>
      </c>
      <c r="C2281" s="233" t="s">
        <v>1247</v>
      </c>
      <c r="D2281" s="234">
        <v>659183.43999999994</v>
      </c>
      <c r="E2281" s="234">
        <v>590499.6</v>
      </c>
    </row>
    <row r="2282" spans="2:5">
      <c r="B2282" s="232" t="s">
        <v>3322</v>
      </c>
      <c r="C2282" s="233" t="s">
        <v>1247</v>
      </c>
      <c r="D2282" s="234">
        <v>571234.18999999994</v>
      </c>
      <c r="E2282" s="234">
        <v>641888.71</v>
      </c>
    </row>
    <row r="2283" spans="2:5">
      <c r="B2283" s="232" t="s">
        <v>3323</v>
      </c>
      <c r="C2283" s="233" t="s">
        <v>1247</v>
      </c>
      <c r="D2283" s="234">
        <v>617414.79</v>
      </c>
      <c r="E2283" s="234">
        <v>792053.71</v>
      </c>
    </row>
    <row r="2284" spans="2:5">
      <c r="B2284" s="232" t="s">
        <v>3324</v>
      </c>
      <c r="C2284" s="233" t="s">
        <v>1247</v>
      </c>
      <c r="D2284" s="234">
        <v>557063.75</v>
      </c>
      <c r="E2284" s="234">
        <v>686690.55</v>
      </c>
    </row>
    <row r="2285" spans="2:5">
      <c r="B2285" s="232" t="s">
        <v>3325</v>
      </c>
      <c r="C2285" s="233" t="s">
        <v>1247</v>
      </c>
      <c r="D2285" s="234">
        <v>607439.41</v>
      </c>
      <c r="E2285" s="234">
        <v>649922.63</v>
      </c>
    </row>
    <row r="2286" spans="2:5">
      <c r="B2286" s="232" t="s">
        <v>3326</v>
      </c>
      <c r="C2286" s="233" t="s">
        <v>1247</v>
      </c>
      <c r="D2286" s="234">
        <v>633744.59</v>
      </c>
      <c r="E2286" s="234">
        <v>666661.67000000004</v>
      </c>
    </row>
    <row r="2287" spans="2:5">
      <c r="B2287" s="232" t="s">
        <v>3327</v>
      </c>
      <c r="C2287" s="233" t="s">
        <v>1247</v>
      </c>
      <c r="D2287" s="234">
        <v>782189.05</v>
      </c>
      <c r="E2287" s="234">
        <v>739636.59</v>
      </c>
    </row>
    <row r="2288" spans="2:5">
      <c r="B2288" s="232" t="s">
        <v>3328</v>
      </c>
      <c r="C2288" s="233" t="s">
        <v>1247</v>
      </c>
      <c r="D2288" s="234">
        <v>773495.58</v>
      </c>
      <c r="E2288" s="234">
        <v>694852.07</v>
      </c>
    </row>
    <row r="2289" spans="2:5">
      <c r="B2289" s="232" t="s">
        <v>3329</v>
      </c>
      <c r="C2289" s="233" t="s">
        <v>1247</v>
      </c>
      <c r="D2289" s="234">
        <v>868913.33</v>
      </c>
      <c r="E2289" s="234">
        <v>685629.62</v>
      </c>
    </row>
    <row r="2290" spans="2:5">
      <c r="B2290" s="232" t="s">
        <v>3330</v>
      </c>
      <c r="C2290" s="233" t="s">
        <v>1247</v>
      </c>
      <c r="D2290" s="234">
        <v>817651.19</v>
      </c>
      <c r="E2290" s="234">
        <v>784105.3</v>
      </c>
    </row>
    <row r="2291" spans="2:5">
      <c r="B2291" s="232" t="s">
        <v>3331</v>
      </c>
      <c r="C2291" s="233" t="s">
        <v>1247</v>
      </c>
      <c r="D2291" s="234">
        <v>943788.25</v>
      </c>
      <c r="E2291" s="234">
        <v>843183.74</v>
      </c>
    </row>
    <row r="2292" spans="2:5">
      <c r="B2292" s="232" t="s">
        <v>3332</v>
      </c>
      <c r="C2292" s="233" t="s">
        <v>1247</v>
      </c>
      <c r="D2292" s="234">
        <v>822859.18</v>
      </c>
      <c r="E2292" s="234">
        <v>771867.2</v>
      </c>
    </row>
    <row r="2293" spans="2:5">
      <c r="B2293" s="232" t="s">
        <v>3333</v>
      </c>
      <c r="C2293" s="233" t="s">
        <v>1247</v>
      </c>
      <c r="D2293" s="234">
        <v>662800.71</v>
      </c>
      <c r="E2293" s="234">
        <v>726481.99</v>
      </c>
    </row>
    <row r="2294" spans="2:5">
      <c r="B2294" s="232" t="s">
        <v>3334</v>
      </c>
      <c r="C2294" s="233" t="s">
        <v>1247</v>
      </c>
      <c r="D2294" s="234">
        <v>649764.82999999996</v>
      </c>
      <c r="E2294" s="234">
        <v>694764.33</v>
      </c>
    </row>
    <row r="2295" spans="2:5">
      <c r="B2295" s="232" t="s">
        <v>3335</v>
      </c>
      <c r="C2295" s="233" t="s">
        <v>1247</v>
      </c>
      <c r="D2295" s="234">
        <v>518109.15</v>
      </c>
      <c r="E2295" s="234">
        <v>768625</v>
      </c>
    </row>
    <row r="2296" spans="2:5">
      <c r="B2296" s="232" t="s">
        <v>3336</v>
      </c>
      <c r="C2296" s="233" t="s">
        <v>1247</v>
      </c>
      <c r="D2296" s="234">
        <v>442769.32</v>
      </c>
      <c r="E2296" s="234">
        <v>1215200.55</v>
      </c>
    </row>
    <row r="2297" spans="2:5">
      <c r="B2297" s="232" t="s">
        <v>3337</v>
      </c>
      <c r="C2297" s="233" t="s">
        <v>1247</v>
      </c>
      <c r="D2297" s="234">
        <v>469530.64</v>
      </c>
      <c r="E2297" s="234">
        <v>1120621.55</v>
      </c>
    </row>
    <row r="2298" spans="2:5">
      <c r="B2298" s="232" t="s">
        <v>3338</v>
      </c>
      <c r="C2298" s="233" t="s">
        <v>1212</v>
      </c>
      <c r="D2298" s="234">
        <v>220672.05</v>
      </c>
      <c r="E2298" s="234">
        <v>236001.63</v>
      </c>
    </row>
    <row r="2299" spans="2:5">
      <c r="B2299" s="232" t="s">
        <v>3339</v>
      </c>
      <c r="C2299" s="233" t="s">
        <v>1212</v>
      </c>
      <c r="D2299" s="234">
        <v>271111.86</v>
      </c>
      <c r="E2299" s="234">
        <v>190823.1</v>
      </c>
    </row>
    <row r="2300" spans="2:5">
      <c r="B2300" s="232" t="s">
        <v>3340</v>
      </c>
      <c r="C2300" s="233" t="s">
        <v>1212</v>
      </c>
      <c r="D2300" s="234">
        <v>332840.37</v>
      </c>
      <c r="E2300" s="234">
        <v>272027.15999999997</v>
      </c>
    </row>
    <row r="2301" spans="2:5">
      <c r="B2301" s="232" t="s">
        <v>3341</v>
      </c>
      <c r="C2301" s="233" t="s">
        <v>1212</v>
      </c>
      <c r="D2301" s="234">
        <v>258599.37</v>
      </c>
      <c r="E2301" s="234">
        <v>173486.64</v>
      </c>
    </row>
    <row r="2302" spans="2:5">
      <c r="B2302" s="232" t="s">
        <v>3342</v>
      </c>
      <c r="C2302" s="233" t="s">
        <v>1212</v>
      </c>
      <c r="D2302" s="234">
        <v>233455.74</v>
      </c>
      <c r="E2302" s="234">
        <v>263165.7</v>
      </c>
    </row>
    <row r="2303" spans="2:5">
      <c r="B2303" s="232" t="s">
        <v>3343</v>
      </c>
      <c r="C2303" s="233" t="s">
        <v>1212</v>
      </c>
      <c r="D2303" s="234">
        <v>1121415.53</v>
      </c>
      <c r="E2303" s="234">
        <v>880273.64</v>
      </c>
    </row>
    <row r="2304" spans="2:5">
      <c r="B2304" s="232" t="s">
        <v>3344</v>
      </c>
      <c r="C2304" s="233" t="s">
        <v>1212</v>
      </c>
      <c r="D2304" s="234">
        <v>1167410.32</v>
      </c>
      <c r="E2304" s="234">
        <v>1035436.07</v>
      </c>
    </row>
    <row r="2305" spans="2:5">
      <c r="B2305" s="232" t="s">
        <v>3345</v>
      </c>
      <c r="C2305" s="233" t="s">
        <v>1212</v>
      </c>
      <c r="D2305" s="234">
        <v>1204335.8600000001</v>
      </c>
      <c r="E2305" s="234">
        <v>1049357.8500000001</v>
      </c>
    </row>
    <row r="2306" spans="2:5">
      <c r="B2306" s="232" t="s">
        <v>3346</v>
      </c>
      <c r="C2306" s="233" t="s">
        <v>1212</v>
      </c>
      <c r="D2306" s="234">
        <v>948394.49</v>
      </c>
      <c r="E2306" s="234">
        <v>1054579.3899999999</v>
      </c>
    </row>
    <row r="2307" spans="2:5">
      <c r="B2307" s="232" t="s">
        <v>3347</v>
      </c>
      <c r="C2307" s="233" t="s">
        <v>1212</v>
      </c>
      <c r="D2307" s="234">
        <v>1077570.3700000001</v>
      </c>
      <c r="E2307" s="234">
        <v>1137785.92</v>
      </c>
    </row>
    <row r="2308" spans="2:5">
      <c r="B2308" s="232" t="s">
        <v>3348</v>
      </c>
      <c r="C2308" s="233" t="s">
        <v>1247</v>
      </c>
      <c r="D2308" s="234">
        <v>635352.21</v>
      </c>
      <c r="E2308" s="234">
        <v>556127.46</v>
      </c>
    </row>
    <row r="2309" spans="2:5">
      <c r="B2309" s="232" t="s">
        <v>3349</v>
      </c>
      <c r="C2309" s="233" t="s">
        <v>1247</v>
      </c>
      <c r="D2309" s="234">
        <v>710674.65</v>
      </c>
      <c r="E2309" s="234">
        <v>550574.68000000005</v>
      </c>
    </row>
    <row r="2310" spans="2:5">
      <c r="B2310" s="232" t="s">
        <v>3350</v>
      </c>
      <c r="C2310" s="233" t="s">
        <v>1247</v>
      </c>
      <c r="D2310" s="234">
        <v>1027725.72</v>
      </c>
      <c r="E2310" s="234">
        <v>1047626.25</v>
      </c>
    </row>
    <row r="2311" spans="2:5">
      <c r="B2311" s="232" t="s">
        <v>3351</v>
      </c>
      <c r="C2311" s="233" t="s">
        <v>1247</v>
      </c>
      <c r="D2311" s="234">
        <v>535916.31000000006</v>
      </c>
      <c r="E2311" s="234">
        <v>1152427.32</v>
      </c>
    </row>
    <row r="2312" spans="2:5">
      <c r="B2312" s="232" t="s">
        <v>3352</v>
      </c>
      <c r="C2312" s="233" t="s">
        <v>1247</v>
      </c>
      <c r="D2312" s="234">
        <v>1186517.55</v>
      </c>
      <c r="E2312" s="234">
        <v>1168420.44</v>
      </c>
    </row>
    <row r="2313" spans="2:5">
      <c r="B2313" s="232" t="s">
        <v>3353</v>
      </c>
      <c r="C2313" s="233" t="s">
        <v>1247</v>
      </c>
      <c r="D2313" s="234">
        <v>1295331.04</v>
      </c>
      <c r="E2313" s="234">
        <v>1111000.6000000001</v>
      </c>
    </row>
    <row r="2314" spans="2:5">
      <c r="B2314" s="232" t="s">
        <v>3354</v>
      </c>
      <c r="C2314" s="233" t="s">
        <v>1247</v>
      </c>
      <c r="D2314" s="234">
        <v>1363353.96</v>
      </c>
      <c r="E2314" s="234">
        <v>1228551.24</v>
      </c>
    </row>
    <row r="2315" spans="2:5">
      <c r="B2315" s="232" t="s">
        <v>3355</v>
      </c>
      <c r="C2315" s="233" t="s">
        <v>1247</v>
      </c>
      <c r="D2315" s="234">
        <v>972302.79</v>
      </c>
      <c r="E2315" s="234">
        <v>1002168.93</v>
      </c>
    </row>
    <row r="2316" spans="2:5">
      <c r="B2316" s="232" t="s">
        <v>3356</v>
      </c>
      <c r="C2316" s="233" t="s">
        <v>1247</v>
      </c>
      <c r="D2316" s="234">
        <v>576723.18999999994</v>
      </c>
      <c r="E2316" s="234">
        <v>427230.76</v>
      </c>
    </row>
    <row r="2317" spans="2:5">
      <c r="B2317" s="232" t="s">
        <v>3357</v>
      </c>
      <c r="C2317" s="233" t="s">
        <v>1247</v>
      </c>
      <c r="D2317" s="234">
        <v>1248183.1200000001</v>
      </c>
      <c r="E2317" s="234">
        <v>1191572.7</v>
      </c>
    </row>
    <row r="2318" spans="2:5">
      <c r="B2318" s="232" t="s">
        <v>3358</v>
      </c>
      <c r="C2318" s="233" t="s">
        <v>1247</v>
      </c>
      <c r="D2318" s="234">
        <v>1020143.67</v>
      </c>
      <c r="E2318" s="234">
        <v>961480.83</v>
      </c>
    </row>
    <row r="2319" spans="2:5">
      <c r="B2319" s="232" t="s">
        <v>3359</v>
      </c>
      <c r="C2319" s="233" t="s">
        <v>1247</v>
      </c>
      <c r="D2319" s="234">
        <v>996917.55</v>
      </c>
      <c r="E2319" s="234">
        <v>1189338.42</v>
      </c>
    </row>
    <row r="2320" spans="2:5">
      <c r="B2320" s="232" t="s">
        <v>3360</v>
      </c>
      <c r="C2320" s="233" t="s">
        <v>1247</v>
      </c>
      <c r="D2320" s="234">
        <v>176832.18</v>
      </c>
      <c r="E2320" s="234">
        <v>579549.76</v>
      </c>
    </row>
    <row r="2321" spans="2:5">
      <c r="B2321" s="232" t="s">
        <v>3361</v>
      </c>
      <c r="C2321" s="233" t="s">
        <v>1247</v>
      </c>
      <c r="D2321" s="234">
        <v>842882.78</v>
      </c>
      <c r="E2321" s="234">
        <v>828421.42</v>
      </c>
    </row>
    <row r="2322" spans="2:5">
      <c r="B2322" s="232" t="s">
        <v>3362</v>
      </c>
      <c r="C2322" s="233" t="s">
        <v>1247</v>
      </c>
      <c r="D2322" s="234">
        <v>170257.23</v>
      </c>
      <c r="E2322" s="234">
        <v>145351.79999999999</v>
      </c>
    </row>
    <row r="2323" spans="2:5">
      <c r="B2323" s="232" t="s">
        <v>3363</v>
      </c>
      <c r="C2323" s="233" t="s">
        <v>1247</v>
      </c>
      <c r="D2323" s="234">
        <v>154471.67999999999</v>
      </c>
      <c r="E2323" s="234">
        <v>156338.82</v>
      </c>
    </row>
    <row r="2324" spans="2:5">
      <c r="B2324" s="232" t="s">
        <v>3364</v>
      </c>
      <c r="C2324" s="233" t="s">
        <v>1247</v>
      </c>
      <c r="D2324" s="234">
        <v>171711.9</v>
      </c>
      <c r="E2324" s="234">
        <v>224294.88</v>
      </c>
    </row>
    <row r="2325" spans="2:5">
      <c r="B2325" s="232" t="s">
        <v>3365</v>
      </c>
      <c r="C2325" s="233" t="s">
        <v>1247</v>
      </c>
      <c r="D2325" s="234">
        <v>197140.38</v>
      </c>
      <c r="E2325" s="234">
        <v>200247.99</v>
      </c>
    </row>
    <row r="2326" spans="2:5">
      <c r="B2326" s="232" t="s">
        <v>3366</v>
      </c>
      <c r="C2326" s="233" t="s">
        <v>1247</v>
      </c>
      <c r="D2326" s="234">
        <v>171350.86</v>
      </c>
      <c r="E2326" s="234">
        <v>143888.63</v>
      </c>
    </row>
    <row r="2327" spans="2:5">
      <c r="B2327" s="232" t="s">
        <v>3367</v>
      </c>
      <c r="C2327" s="233" t="s">
        <v>1247</v>
      </c>
      <c r="D2327" s="234">
        <v>115114.24000000001</v>
      </c>
      <c r="E2327" s="234">
        <v>128427.66</v>
      </c>
    </row>
    <row r="2328" spans="2:5">
      <c r="B2328" s="232" t="s">
        <v>3368</v>
      </c>
      <c r="C2328" s="233" t="s">
        <v>1247</v>
      </c>
      <c r="D2328" s="234">
        <v>117282.59</v>
      </c>
      <c r="E2328" s="234">
        <v>96395.08</v>
      </c>
    </row>
    <row r="2329" spans="2:5">
      <c r="B2329" s="232" t="s">
        <v>3369</v>
      </c>
      <c r="C2329" s="233" t="s">
        <v>1247</v>
      </c>
      <c r="D2329" s="234">
        <v>142160.01</v>
      </c>
      <c r="E2329" s="234">
        <v>94905.8</v>
      </c>
    </row>
    <row r="2330" spans="2:5">
      <c r="B2330" s="232" t="s">
        <v>3370</v>
      </c>
      <c r="C2330" s="233" t="s">
        <v>1247</v>
      </c>
      <c r="D2330" s="234">
        <v>111196.47</v>
      </c>
      <c r="E2330" s="234">
        <v>208443.2</v>
      </c>
    </row>
    <row r="2331" spans="2:5">
      <c r="B2331" s="232" t="s">
        <v>3371</v>
      </c>
      <c r="C2331" s="233" t="s">
        <v>1247</v>
      </c>
      <c r="D2331" s="234">
        <v>153151.88</v>
      </c>
      <c r="E2331" s="234">
        <v>175638.26</v>
      </c>
    </row>
    <row r="2332" spans="2:5">
      <c r="B2332" s="232" t="s">
        <v>3372</v>
      </c>
      <c r="C2332" s="233" t="s">
        <v>1247</v>
      </c>
      <c r="D2332" s="234">
        <v>104449.23</v>
      </c>
      <c r="E2332" s="234">
        <v>200573.1</v>
      </c>
    </row>
    <row r="2333" spans="2:5">
      <c r="B2333" s="232" t="s">
        <v>3373</v>
      </c>
      <c r="C2333" s="233" t="s">
        <v>1247</v>
      </c>
      <c r="D2333" s="234">
        <v>73868.039999999994</v>
      </c>
      <c r="E2333" s="234">
        <v>249504.12</v>
      </c>
    </row>
    <row r="2334" spans="2:5">
      <c r="B2334" s="232" t="s">
        <v>3374</v>
      </c>
      <c r="C2334" s="233" t="s">
        <v>1247</v>
      </c>
      <c r="D2334" s="234">
        <v>133375.93</v>
      </c>
      <c r="E2334" s="234">
        <v>184901.49</v>
      </c>
    </row>
    <row r="2335" spans="2:5">
      <c r="B2335" s="232" t="s">
        <v>3375</v>
      </c>
      <c r="C2335" s="233" t="s">
        <v>1247</v>
      </c>
      <c r="D2335" s="234">
        <v>197640.51</v>
      </c>
      <c r="E2335" s="234">
        <v>226213.55</v>
      </c>
    </row>
    <row r="2336" spans="2:5">
      <c r="B2336" s="232" t="s">
        <v>3376</v>
      </c>
      <c r="C2336" s="233" t="s">
        <v>1247</v>
      </c>
      <c r="D2336" s="234">
        <v>277955.44</v>
      </c>
      <c r="E2336" s="234">
        <v>215202.26</v>
      </c>
    </row>
    <row r="2337" spans="2:5">
      <c r="B2337" s="232" t="s">
        <v>3377</v>
      </c>
      <c r="C2337" s="233" t="s">
        <v>1247</v>
      </c>
      <c r="D2337" s="234">
        <v>218841.7</v>
      </c>
      <c r="E2337" s="234">
        <v>209267.8</v>
      </c>
    </row>
    <row r="2338" spans="2:5">
      <c r="B2338" s="232" t="s">
        <v>3378</v>
      </c>
      <c r="C2338" s="233" t="s">
        <v>1247</v>
      </c>
      <c r="D2338" s="234">
        <v>1563667.56</v>
      </c>
      <c r="E2338" s="234">
        <v>1215264.96</v>
      </c>
    </row>
    <row r="2339" spans="2:5">
      <c r="B2339" s="232" t="s">
        <v>3379</v>
      </c>
      <c r="C2339" s="233" t="s">
        <v>1247</v>
      </c>
      <c r="D2339" s="234">
        <v>1510899.39</v>
      </c>
      <c r="E2339" s="234">
        <v>1439793.81</v>
      </c>
    </row>
    <row r="2340" spans="2:5">
      <c r="B2340" s="232" t="s">
        <v>3380</v>
      </c>
      <c r="C2340" s="233" t="s">
        <v>1247</v>
      </c>
      <c r="D2340" s="234">
        <v>41373.089999999997</v>
      </c>
      <c r="E2340" s="234">
        <v>363606.98</v>
      </c>
    </row>
    <row r="2341" spans="2:5">
      <c r="B2341" s="232" t="s">
        <v>3381</v>
      </c>
      <c r="C2341" s="233" t="s">
        <v>1247</v>
      </c>
      <c r="D2341" s="234">
        <v>23202.3</v>
      </c>
      <c r="E2341" s="234">
        <v>207734.45</v>
      </c>
    </row>
    <row r="2342" spans="2:5">
      <c r="B2342" s="232" t="s">
        <v>3382</v>
      </c>
      <c r="C2342" s="233" t="s">
        <v>1247</v>
      </c>
      <c r="D2342" s="234">
        <v>395216.85</v>
      </c>
      <c r="E2342" s="234">
        <v>701894.13</v>
      </c>
    </row>
    <row r="2343" spans="2:5">
      <c r="B2343" s="232" t="s">
        <v>3383</v>
      </c>
      <c r="C2343" s="233" t="s">
        <v>1247</v>
      </c>
      <c r="D2343" s="234">
        <v>902863.71</v>
      </c>
      <c r="E2343" s="234">
        <v>485730.63</v>
      </c>
    </row>
    <row r="2344" spans="2:5">
      <c r="B2344" s="232" t="s">
        <v>3384</v>
      </c>
      <c r="C2344" s="233" t="s">
        <v>1247</v>
      </c>
      <c r="D2344" s="234">
        <v>715363.74</v>
      </c>
      <c r="E2344" s="234">
        <v>520691.64</v>
      </c>
    </row>
    <row r="2345" spans="2:5">
      <c r="B2345" s="232" t="s">
        <v>3385</v>
      </c>
      <c r="C2345" s="233" t="s">
        <v>1247</v>
      </c>
      <c r="D2345" s="234">
        <v>737108.1</v>
      </c>
      <c r="E2345" s="234">
        <v>698184.9</v>
      </c>
    </row>
    <row r="2346" spans="2:5">
      <c r="B2346" s="232" t="s">
        <v>3386</v>
      </c>
      <c r="C2346" s="233" t="s">
        <v>1247</v>
      </c>
      <c r="D2346" s="234">
        <v>552085.19999999995</v>
      </c>
      <c r="E2346" s="234">
        <v>700434</v>
      </c>
    </row>
    <row r="2347" spans="2:5">
      <c r="B2347" s="232" t="s">
        <v>3387</v>
      </c>
      <c r="C2347" s="233" t="s">
        <v>1247</v>
      </c>
      <c r="D2347" s="234">
        <v>522479.7</v>
      </c>
      <c r="E2347" s="234">
        <v>701053.65</v>
      </c>
    </row>
    <row r="2348" spans="2:5">
      <c r="B2348" s="232" t="s">
        <v>3388</v>
      </c>
      <c r="C2348" s="233" t="s">
        <v>1247</v>
      </c>
      <c r="D2348" s="234">
        <v>843285.05</v>
      </c>
      <c r="E2348" s="234">
        <v>791573.68</v>
      </c>
    </row>
    <row r="2349" spans="2:5">
      <c r="B2349" s="232" t="s">
        <v>3389</v>
      </c>
      <c r="C2349" s="233" t="s">
        <v>1247</v>
      </c>
      <c r="D2349" s="234">
        <v>996033.94</v>
      </c>
      <c r="E2349" s="234">
        <v>645062.29</v>
      </c>
    </row>
    <row r="2350" spans="2:5">
      <c r="B2350" s="232" t="s">
        <v>3390</v>
      </c>
      <c r="C2350" s="233" t="s">
        <v>1247</v>
      </c>
      <c r="D2350" s="234">
        <v>756783.4</v>
      </c>
      <c r="E2350" s="234">
        <v>948703.79</v>
      </c>
    </row>
    <row r="2351" spans="2:5">
      <c r="B2351" s="232" t="s">
        <v>3391</v>
      </c>
      <c r="C2351" s="233" t="s">
        <v>1247</v>
      </c>
      <c r="D2351" s="234">
        <v>377114.91</v>
      </c>
      <c r="E2351" s="234">
        <v>353699.66</v>
      </c>
    </row>
    <row r="2352" spans="2:5">
      <c r="B2352" s="232" t="s">
        <v>3392</v>
      </c>
      <c r="C2352" s="233" t="s">
        <v>1247</v>
      </c>
      <c r="D2352" s="234">
        <v>390044.25</v>
      </c>
      <c r="E2352" s="234">
        <v>395084.54</v>
      </c>
    </row>
    <row r="2353" spans="2:5">
      <c r="B2353" s="232" t="s">
        <v>3393</v>
      </c>
      <c r="C2353" s="233" t="s">
        <v>1247</v>
      </c>
      <c r="D2353" s="234">
        <v>347399.87</v>
      </c>
      <c r="E2353" s="234">
        <v>400056.13</v>
      </c>
    </row>
    <row r="2354" spans="2:5">
      <c r="B2354" s="232" t="s">
        <v>3394</v>
      </c>
      <c r="C2354" s="233" t="s">
        <v>1247</v>
      </c>
      <c r="D2354" s="234">
        <v>894614.49</v>
      </c>
      <c r="E2354" s="234">
        <v>1255633.1100000001</v>
      </c>
    </row>
    <row r="2355" spans="2:5">
      <c r="B2355" s="232" t="s">
        <v>3395</v>
      </c>
      <c r="C2355" s="233" t="s">
        <v>1247</v>
      </c>
      <c r="D2355" s="234">
        <v>653076.27</v>
      </c>
      <c r="E2355" s="234">
        <v>1582416</v>
      </c>
    </row>
    <row r="2356" spans="2:5">
      <c r="B2356" s="232" t="s">
        <v>3396</v>
      </c>
      <c r="C2356" s="233" t="s">
        <v>1247</v>
      </c>
      <c r="D2356" s="234">
        <v>803355.84</v>
      </c>
      <c r="E2356" s="234">
        <v>1298869.83</v>
      </c>
    </row>
    <row r="2357" spans="2:5">
      <c r="B2357" s="232" t="s">
        <v>3397</v>
      </c>
      <c r="C2357" s="233" t="s">
        <v>1247</v>
      </c>
      <c r="D2357" s="234">
        <v>642038.49</v>
      </c>
      <c r="E2357" s="234">
        <v>937393.95</v>
      </c>
    </row>
    <row r="2358" spans="2:5">
      <c r="B2358" s="232" t="s">
        <v>3398</v>
      </c>
      <c r="C2358" s="233" t="s">
        <v>1247</v>
      </c>
      <c r="D2358" s="234">
        <v>513967.71</v>
      </c>
      <c r="E2358" s="234">
        <v>900808.29</v>
      </c>
    </row>
    <row r="2359" spans="2:5">
      <c r="B2359" s="232" t="s">
        <v>3399</v>
      </c>
      <c r="C2359" s="233" t="s">
        <v>1247</v>
      </c>
      <c r="D2359" s="234">
        <v>569664.03</v>
      </c>
      <c r="E2359" s="234">
        <v>1118400</v>
      </c>
    </row>
    <row r="2360" spans="2:5">
      <c r="B2360" s="232" t="s">
        <v>3400</v>
      </c>
      <c r="C2360" s="233" t="s">
        <v>1247</v>
      </c>
      <c r="D2360" s="234">
        <v>322044.3</v>
      </c>
      <c r="E2360" s="234">
        <v>266609.90000000002</v>
      </c>
    </row>
    <row r="2361" spans="2:5">
      <c r="B2361" s="232" t="s">
        <v>3401</v>
      </c>
      <c r="C2361" s="233" t="s">
        <v>1247</v>
      </c>
      <c r="D2361" s="234">
        <v>289539.09999999998</v>
      </c>
      <c r="E2361" s="234">
        <v>296772.40000000002</v>
      </c>
    </row>
    <row r="2362" spans="2:5">
      <c r="B2362" s="232" t="s">
        <v>3402</v>
      </c>
      <c r="C2362" s="233" t="s">
        <v>1247</v>
      </c>
      <c r="D2362" s="234">
        <v>198084.18</v>
      </c>
      <c r="E2362" s="234">
        <v>155246.01</v>
      </c>
    </row>
    <row r="2363" spans="2:5">
      <c r="B2363" s="232" t="s">
        <v>3403</v>
      </c>
      <c r="C2363" s="233" t="s">
        <v>1247</v>
      </c>
      <c r="D2363" s="234">
        <v>220172.18</v>
      </c>
      <c r="E2363" s="234">
        <v>210317.92</v>
      </c>
    </row>
    <row r="2364" spans="2:5">
      <c r="B2364" s="232" t="s">
        <v>3404</v>
      </c>
      <c r="C2364" s="233" t="s">
        <v>1247</v>
      </c>
      <c r="D2364" s="234">
        <v>194783.53</v>
      </c>
      <c r="E2364" s="234">
        <v>216773.64</v>
      </c>
    </row>
    <row r="2365" spans="2:5">
      <c r="B2365" s="232" t="s">
        <v>3405</v>
      </c>
      <c r="C2365" s="233" t="s">
        <v>1247</v>
      </c>
      <c r="D2365" s="234">
        <v>95745.78</v>
      </c>
      <c r="E2365" s="234">
        <v>161041.4</v>
      </c>
    </row>
    <row r="2366" spans="2:5">
      <c r="B2366" s="232" t="s">
        <v>3406</v>
      </c>
      <c r="C2366" s="233" t="s">
        <v>1247</v>
      </c>
      <c r="D2366" s="234">
        <v>50650.6</v>
      </c>
      <c r="E2366" s="234">
        <v>215818.2</v>
      </c>
    </row>
    <row r="2367" spans="2:5">
      <c r="B2367" s="232" t="s">
        <v>3407</v>
      </c>
      <c r="C2367" s="233" t="s">
        <v>1247</v>
      </c>
      <c r="D2367" s="234">
        <v>107753.62</v>
      </c>
      <c r="E2367" s="234">
        <v>257083.19</v>
      </c>
    </row>
    <row r="2368" spans="2:5">
      <c r="B2368" s="232" t="s">
        <v>3408</v>
      </c>
      <c r="C2368" s="233" t="s">
        <v>1247</v>
      </c>
      <c r="D2368" s="234">
        <v>225922.26</v>
      </c>
      <c r="E2368" s="234">
        <v>192955.63</v>
      </c>
    </row>
    <row r="2369" spans="2:5">
      <c r="B2369" s="232" t="s">
        <v>3409</v>
      </c>
      <c r="C2369" s="233" t="s">
        <v>1247</v>
      </c>
      <c r="D2369" s="234">
        <v>206346.89</v>
      </c>
      <c r="E2369" s="234">
        <v>176641.2</v>
      </c>
    </row>
    <row r="2370" spans="2:5">
      <c r="B2370" s="232" t="s">
        <v>3410</v>
      </c>
      <c r="C2370" s="233" t="s">
        <v>1358</v>
      </c>
      <c r="D2370" s="234">
        <v>63639.76</v>
      </c>
      <c r="E2370" s="234">
        <v>89067.76</v>
      </c>
    </row>
    <row r="2371" spans="2:5">
      <c r="B2371" s="232" t="s">
        <v>3411</v>
      </c>
      <c r="C2371" s="233" t="s">
        <v>1358</v>
      </c>
      <c r="D2371" s="234">
        <v>89982.36</v>
      </c>
      <c r="E2371" s="234">
        <v>72867.490000000005</v>
      </c>
    </row>
    <row r="2372" spans="2:5">
      <c r="B2372" s="232" t="s">
        <v>3412</v>
      </c>
      <c r="C2372" s="233" t="s">
        <v>1358</v>
      </c>
      <c r="D2372" s="234">
        <v>93339.56</v>
      </c>
      <c r="E2372" s="234">
        <v>67834.06</v>
      </c>
    </row>
    <row r="2373" spans="2:5">
      <c r="B2373" s="232" t="s">
        <v>3413</v>
      </c>
      <c r="C2373" s="233" t="s">
        <v>1358</v>
      </c>
      <c r="D2373" s="234">
        <v>76489.570000000007</v>
      </c>
      <c r="E2373" s="234">
        <v>76334.539999999994</v>
      </c>
    </row>
    <row r="2374" spans="2:5">
      <c r="B2374" s="232" t="s">
        <v>3414</v>
      </c>
      <c r="C2374" s="233" t="s">
        <v>1358</v>
      </c>
      <c r="D2374" s="234">
        <v>83291.570000000007</v>
      </c>
      <c r="E2374" s="234">
        <v>65093.57</v>
      </c>
    </row>
    <row r="2375" spans="2:5">
      <c r="B2375" s="232" t="s">
        <v>3415</v>
      </c>
      <c r="C2375" s="233" t="s">
        <v>1212</v>
      </c>
      <c r="D2375" s="234">
        <v>146225.76</v>
      </c>
      <c r="E2375" s="234">
        <v>134287.97</v>
      </c>
    </row>
    <row r="2376" spans="2:5">
      <c r="B2376" s="232" t="s">
        <v>3416</v>
      </c>
      <c r="C2376" s="233" t="s">
        <v>1212</v>
      </c>
      <c r="D2376" s="234">
        <v>98682.14</v>
      </c>
      <c r="E2376" s="234">
        <v>149829.07999999999</v>
      </c>
    </row>
    <row r="2377" spans="2:5">
      <c r="B2377" s="232" t="s">
        <v>3417</v>
      </c>
      <c r="C2377" s="233" t="s">
        <v>1212</v>
      </c>
      <c r="D2377" s="234">
        <v>125018.76</v>
      </c>
      <c r="E2377" s="234">
        <v>196593.96</v>
      </c>
    </row>
    <row r="2378" spans="2:5">
      <c r="B2378" s="232" t="s">
        <v>3418</v>
      </c>
      <c r="C2378" s="233" t="s">
        <v>1212</v>
      </c>
      <c r="D2378" s="234">
        <v>122360.95</v>
      </c>
      <c r="E2378" s="234">
        <v>152042.88</v>
      </c>
    </row>
    <row r="2379" spans="2:5">
      <c r="B2379" s="232" t="s">
        <v>3419</v>
      </c>
      <c r="C2379" s="233" t="s">
        <v>1212</v>
      </c>
      <c r="D2379" s="234">
        <v>156670.85999999999</v>
      </c>
      <c r="E2379" s="234">
        <v>202545.45</v>
      </c>
    </row>
    <row r="2380" spans="2:5">
      <c r="B2380" s="232" t="s">
        <v>3420</v>
      </c>
      <c r="C2380" s="233" t="s">
        <v>1212</v>
      </c>
      <c r="D2380" s="234">
        <v>176551.81</v>
      </c>
      <c r="E2380" s="234">
        <v>152327.1</v>
      </c>
    </row>
    <row r="2381" spans="2:5">
      <c r="B2381" s="232" t="s">
        <v>3421</v>
      </c>
      <c r="C2381" s="233" t="s">
        <v>1212</v>
      </c>
      <c r="D2381" s="234">
        <v>153075.75</v>
      </c>
      <c r="E2381" s="234">
        <v>154115.01</v>
      </c>
    </row>
    <row r="2382" spans="2:5">
      <c r="B2382" s="232" t="s">
        <v>3422</v>
      </c>
      <c r="C2382" s="233" t="s">
        <v>1212</v>
      </c>
      <c r="D2382" s="234">
        <v>173604.26</v>
      </c>
      <c r="E2382" s="234">
        <v>166148.81</v>
      </c>
    </row>
    <row r="2383" spans="2:5">
      <c r="B2383" s="232" t="s">
        <v>3423</v>
      </c>
      <c r="C2383" s="233" t="s">
        <v>1212</v>
      </c>
      <c r="D2383" s="234">
        <v>168376.27</v>
      </c>
      <c r="E2383" s="234">
        <v>146957.34</v>
      </c>
    </row>
    <row r="2384" spans="2:5">
      <c r="B2384" s="232" t="s">
        <v>3424</v>
      </c>
      <c r="C2384" s="233" t="s">
        <v>1212</v>
      </c>
      <c r="D2384" s="234">
        <v>179297.36</v>
      </c>
      <c r="E2384" s="234">
        <v>163602.09</v>
      </c>
    </row>
    <row r="2385" spans="2:5">
      <c r="B2385" s="232" t="s">
        <v>3425</v>
      </c>
      <c r="C2385" s="233" t="s">
        <v>1358</v>
      </c>
      <c r="D2385" s="234">
        <v>3624</v>
      </c>
      <c r="E2385" s="234">
        <v>21918</v>
      </c>
    </row>
    <row r="2386" spans="2:5">
      <c r="B2386" s="232" t="s">
        <v>3426</v>
      </c>
      <c r="C2386" s="233" t="s">
        <v>1358</v>
      </c>
      <c r="D2386" s="234">
        <v>8978.4</v>
      </c>
      <c r="E2386" s="234">
        <v>28758</v>
      </c>
    </row>
    <row r="2387" spans="2:5">
      <c r="B2387" s="232" t="s">
        <v>3427</v>
      </c>
      <c r="C2387" s="233" t="s">
        <v>1358</v>
      </c>
      <c r="D2387" s="234">
        <v>7350</v>
      </c>
      <c r="E2387" s="234">
        <v>25093.200000000001</v>
      </c>
    </row>
    <row r="2388" spans="2:5">
      <c r="B2388" s="232" t="s">
        <v>3428</v>
      </c>
      <c r="C2388" s="233" t="s">
        <v>1358</v>
      </c>
      <c r="D2388" s="234">
        <v>3120</v>
      </c>
      <c r="E2388" s="234">
        <v>40002</v>
      </c>
    </row>
    <row r="2389" spans="2:5">
      <c r="B2389" s="232" t="s">
        <v>3429</v>
      </c>
      <c r="C2389" s="233" t="s">
        <v>1358</v>
      </c>
      <c r="D2389" s="234">
        <v>36947.199999999997</v>
      </c>
      <c r="E2389" s="234">
        <v>28801.75</v>
      </c>
    </row>
    <row r="2390" spans="2:5">
      <c r="B2390" s="232" t="s">
        <v>3430</v>
      </c>
      <c r="C2390" s="233" t="s">
        <v>1358</v>
      </c>
      <c r="D2390" s="234">
        <v>36721.800000000003</v>
      </c>
      <c r="E2390" s="234">
        <v>28551.05</v>
      </c>
    </row>
    <row r="2391" spans="2:5">
      <c r="B2391" s="232" t="s">
        <v>3431</v>
      </c>
      <c r="C2391" s="233" t="s">
        <v>1358</v>
      </c>
      <c r="D2391" s="234">
        <v>46913.1</v>
      </c>
      <c r="E2391" s="234">
        <v>19826</v>
      </c>
    </row>
    <row r="2392" spans="2:5">
      <c r="B2392" s="232" t="s">
        <v>3432</v>
      </c>
      <c r="C2392" s="233" t="s">
        <v>1358</v>
      </c>
      <c r="D2392" s="234">
        <v>40186.75</v>
      </c>
      <c r="E2392" s="234">
        <v>42101.5</v>
      </c>
    </row>
    <row r="2393" spans="2:5">
      <c r="B2393" s="232" t="s">
        <v>3433</v>
      </c>
      <c r="C2393" s="233" t="s">
        <v>1358</v>
      </c>
      <c r="D2393" s="234">
        <v>72022.080000000002</v>
      </c>
      <c r="E2393" s="234">
        <v>64202.41</v>
      </c>
    </row>
    <row r="2394" spans="2:5">
      <c r="B2394" s="232" t="s">
        <v>3434</v>
      </c>
      <c r="C2394" s="233" t="s">
        <v>1358</v>
      </c>
      <c r="D2394" s="234">
        <v>75181.95</v>
      </c>
      <c r="E2394" s="234">
        <v>60090.06</v>
      </c>
    </row>
    <row r="2395" spans="2:5">
      <c r="B2395" s="232" t="s">
        <v>3435</v>
      </c>
      <c r="C2395" s="233" t="s">
        <v>1358</v>
      </c>
      <c r="D2395" s="234">
        <v>76236.91</v>
      </c>
      <c r="E2395" s="234">
        <v>81109.240000000005</v>
      </c>
    </row>
    <row r="2396" spans="2:5">
      <c r="B2396" s="232" t="s">
        <v>3436</v>
      </c>
      <c r="C2396" s="233" t="s">
        <v>1358</v>
      </c>
      <c r="D2396" s="234">
        <v>62112.51</v>
      </c>
      <c r="E2396" s="234">
        <v>65859.850000000006</v>
      </c>
    </row>
    <row r="2397" spans="2:5">
      <c r="B2397" s="235" t="s">
        <v>3437</v>
      </c>
      <c r="C2397" s="236" t="s">
        <v>1358</v>
      </c>
      <c r="D2397" s="237">
        <v>59245.09</v>
      </c>
      <c r="E2397" s="237">
        <v>43938.239999999998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CF0D-578C-4E5C-8FA0-DA39F7B3D6C3}">
  <sheetPr codeName="Sheet51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9ACD-8454-40EC-B0CE-B11456085CC5}">
  <sheetPr codeName="Sheet52">
    <tabColor theme="1"/>
  </sheetPr>
  <dimension ref="A1:AU17"/>
  <sheetViews>
    <sheetView workbookViewId="0">
      <selection activeCell="E4" sqref="E4"/>
    </sheetView>
  </sheetViews>
  <sheetFormatPr defaultRowHeight="15"/>
  <cols>
    <col min="1" max="1" width="6.5703125" bestFit="1" customWidth="1"/>
    <col min="2" max="2" width="15.7109375" bestFit="1" customWidth="1"/>
    <col min="3" max="3" width="14.85546875" bestFit="1" customWidth="1"/>
    <col min="4" max="4" width="17.85546875" bestFit="1" customWidth="1"/>
    <col min="5" max="5" width="20.42578125" bestFit="1" customWidth="1"/>
    <col min="6" max="6" width="18.5703125" bestFit="1" customWidth="1"/>
    <col min="7" max="7" width="17.28515625" bestFit="1" customWidth="1"/>
    <col min="8" max="8" width="22.5703125" bestFit="1" customWidth="1"/>
    <col min="9" max="9" width="19.85546875" bestFit="1" customWidth="1"/>
    <col min="10" max="10" width="15.140625" bestFit="1" customWidth="1"/>
    <col min="11" max="11" width="14.7109375" bestFit="1" customWidth="1"/>
    <col min="12" max="12" width="7.5703125" bestFit="1" customWidth="1"/>
    <col min="13" max="13" width="18.42578125" bestFit="1" customWidth="1"/>
    <col min="14" max="14" width="15.85546875" bestFit="1" customWidth="1"/>
    <col min="15" max="15" width="19.42578125" bestFit="1" customWidth="1"/>
    <col min="16" max="16" width="5.42578125" bestFit="1" customWidth="1"/>
    <col min="17" max="17" width="21" bestFit="1" customWidth="1"/>
    <col min="18" max="18" width="18.5703125" bestFit="1" customWidth="1"/>
    <col min="19" max="19" width="16.5703125" bestFit="1" customWidth="1"/>
    <col min="20" max="20" width="19.85546875" bestFit="1" customWidth="1"/>
    <col min="21" max="21" width="26.7109375" bestFit="1" customWidth="1"/>
    <col min="22" max="22" width="20.140625" bestFit="1" customWidth="1"/>
    <col min="23" max="23" width="11" bestFit="1" customWidth="1"/>
    <col min="24" max="24" width="20.7109375" bestFit="1" customWidth="1"/>
    <col min="25" max="25" width="19.28515625" bestFit="1" customWidth="1"/>
    <col min="26" max="26" width="24.28515625" bestFit="1" customWidth="1"/>
    <col min="27" max="27" width="28.140625" bestFit="1" customWidth="1"/>
    <col min="28" max="28" width="32.140625" bestFit="1" customWidth="1"/>
    <col min="29" max="29" width="19.5703125" bestFit="1" customWidth="1"/>
    <col min="30" max="30" width="22.85546875" bestFit="1" customWidth="1"/>
    <col min="31" max="31" width="6.42578125" bestFit="1" customWidth="1"/>
    <col min="32" max="32" width="4.85546875" bestFit="1" customWidth="1"/>
    <col min="33" max="33" width="26" bestFit="1" customWidth="1"/>
    <col min="34" max="34" width="21.42578125" bestFit="1" customWidth="1"/>
    <col min="35" max="35" width="16.7109375" bestFit="1" customWidth="1"/>
    <col min="36" max="36" width="15" bestFit="1" customWidth="1"/>
    <col min="37" max="37" width="17.7109375" bestFit="1" customWidth="1"/>
    <col min="38" max="38" width="8.5703125" bestFit="1" customWidth="1"/>
    <col min="39" max="39" width="13.7109375" bestFit="1" customWidth="1"/>
    <col min="40" max="40" width="14.7109375" bestFit="1" customWidth="1"/>
    <col min="41" max="41" width="15.140625" bestFit="1" customWidth="1"/>
    <col min="42" max="42" width="16" bestFit="1" customWidth="1"/>
    <col min="43" max="43" width="12.7109375" bestFit="1" customWidth="1"/>
    <col min="44" max="44" width="17.42578125" bestFit="1" customWidth="1"/>
    <col min="45" max="45" width="20.85546875" bestFit="1" customWidth="1"/>
    <col min="46" max="46" width="15.28515625" bestFit="1" customWidth="1"/>
    <col min="47" max="47" width="21.7109375" bestFit="1" customWidth="1"/>
  </cols>
  <sheetData>
    <row r="1" spans="1:47" ht="21">
      <c r="B1" s="439"/>
    </row>
    <row r="2" spans="1:47" s="32" customFormat="1">
      <c r="A2" s="32" t="s">
        <v>3884</v>
      </c>
      <c r="B2" s="32" t="s">
        <v>3765</v>
      </c>
      <c r="C2" s="440" t="s">
        <v>3885</v>
      </c>
      <c r="D2" s="440" t="s">
        <v>3886</v>
      </c>
      <c r="E2" s="440" t="s">
        <v>3887</v>
      </c>
      <c r="F2" s="440" t="s">
        <v>3888</v>
      </c>
      <c r="G2" s="440" t="s">
        <v>3889</v>
      </c>
      <c r="H2" s="440" t="s">
        <v>3890</v>
      </c>
      <c r="I2" s="440" t="s">
        <v>3891</v>
      </c>
      <c r="J2" s="440" t="s">
        <v>3892</v>
      </c>
      <c r="K2" s="441" t="s">
        <v>3893</v>
      </c>
      <c r="L2" s="440" t="s">
        <v>3894</v>
      </c>
      <c r="M2" s="440" t="s">
        <v>3895</v>
      </c>
      <c r="N2" s="442" t="s">
        <v>3896</v>
      </c>
      <c r="O2" s="440" t="s">
        <v>3897</v>
      </c>
      <c r="P2" s="440" t="s">
        <v>3898</v>
      </c>
      <c r="Q2" s="440" t="s">
        <v>3899</v>
      </c>
      <c r="R2" s="440" t="s">
        <v>3888</v>
      </c>
      <c r="S2" s="440" t="s">
        <v>3900</v>
      </c>
      <c r="T2" s="440" t="s">
        <v>3891</v>
      </c>
      <c r="U2" s="440" t="s">
        <v>3901</v>
      </c>
      <c r="V2" s="442" t="s">
        <v>3902</v>
      </c>
      <c r="W2" s="440" t="s">
        <v>3903</v>
      </c>
      <c r="X2" s="440" t="s">
        <v>3904</v>
      </c>
      <c r="Y2" s="440" t="s">
        <v>3905</v>
      </c>
      <c r="Z2" s="440" t="s">
        <v>3906</v>
      </c>
      <c r="AA2" s="440" t="s">
        <v>3907</v>
      </c>
      <c r="AB2" s="440" t="s">
        <v>3908</v>
      </c>
      <c r="AC2" s="440" t="s">
        <v>3909</v>
      </c>
      <c r="AD2" s="440" t="s">
        <v>3910</v>
      </c>
      <c r="AE2" s="440" t="s">
        <v>3911</v>
      </c>
      <c r="AF2" s="440" t="s">
        <v>3912</v>
      </c>
      <c r="AG2" s="440" t="s">
        <v>3913</v>
      </c>
      <c r="AH2" s="440" t="s">
        <v>3914</v>
      </c>
      <c r="AI2" s="440" t="s">
        <v>3915</v>
      </c>
      <c r="AJ2" s="440" t="s">
        <v>3916</v>
      </c>
      <c r="AK2" s="440" t="s">
        <v>3917</v>
      </c>
      <c r="AL2" s="440" t="s">
        <v>3918</v>
      </c>
      <c r="AM2" s="440" t="s">
        <v>3919</v>
      </c>
      <c r="AN2" s="440" t="s">
        <v>3920</v>
      </c>
      <c r="AO2" s="440" t="s">
        <v>3921</v>
      </c>
      <c r="AP2" s="440" t="s">
        <v>3922</v>
      </c>
      <c r="AQ2" s="440" t="s">
        <v>3923</v>
      </c>
      <c r="AR2" s="440" t="s">
        <v>3924</v>
      </c>
      <c r="AS2" s="440" t="s">
        <v>3925</v>
      </c>
      <c r="AT2" s="440" t="s">
        <v>3926</v>
      </c>
      <c r="AU2" s="440" t="s">
        <v>3927</v>
      </c>
    </row>
    <row r="3" spans="1:47">
      <c r="A3">
        <v>1</v>
      </c>
      <c r="B3" s="443" t="s">
        <v>3928</v>
      </c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4"/>
      <c r="S3" s="444"/>
      <c r="T3" s="444"/>
      <c r="U3" s="444"/>
      <c r="V3" s="444"/>
      <c r="W3" s="444"/>
      <c r="X3" s="444"/>
      <c r="Y3" s="444"/>
      <c r="Z3" s="444"/>
      <c r="AA3" s="444"/>
      <c r="AB3" s="444"/>
      <c r="AC3" s="444"/>
      <c r="AD3" s="444"/>
      <c r="AE3" s="444"/>
      <c r="AF3" s="444"/>
      <c r="AG3" s="444"/>
      <c r="AH3" s="444"/>
      <c r="AI3" s="444"/>
      <c r="AJ3" s="444"/>
      <c r="AK3" s="444"/>
      <c r="AL3" s="444"/>
      <c r="AM3" s="444"/>
      <c r="AN3" s="444"/>
      <c r="AO3" s="444"/>
      <c r="AP3" s="444"/>
      <c r="AQ3" s="444"/>
      <c r="AR3" s="444"/>
      <c r="AS3" s="444"/>
      <c r="AT3" s="444"/>
      <c r="AU3" s="444"/>
    </row>
    <row r="4" spans="1:47">
      <c r="A4">
        <v>2</v>
      </c>
      <c r="B4" s="443" t="s">
        <v>3929</v>
      </c>
      <c r="C4" s="444"/>
      <c r="D4" s="444"/>
      <c r="E4" s="444"/>
      <c r="F4" s="444"/>
      <c r="G4" s="444"/>
      <c r="H4" s="444"/>
      <c r="I4" s="444"/>
      <c r="J4" s="444"/>
      <c r="K4" s="444"/>
      <c r="L4" s="444"/>
      <c r="M4" s="444"/>
      <c r="N4" s="444"/>
      <c r="O4" s="444"/>
      <c r="P4" s="444"/>
      <c r="Q4" s="444"/>
      <c r="R4" s="444"/>
      <c r="S4" s="444"/>
      <c r="T4" s="444"/>
      <c r="U4" s="444"/>
      <c r="V4" s="444"/>
      <c r="W4" s="444"/>
      <c r="X4" s="444"/>
      <c r="Y4" s="444"/>
      <c r="Z4" s="444"/>
      <c r="AA4" s="444"/>
      <c r="AB4" s="444"/>
      <c r="AC4" s="444"/>
      <c r="AD4" s="444"/>
      <c r="AE4" s="444"/>
      <c r="AF4" s="444"/>
      <c r="AG4" s="444"/>
      <c r="AH4" s="444"/>
      <c r="AI4" s="444"/>
      <c r="AJ4" s="444"/>
      <c r="AK4" s="444"/>
      <c r="AL4" s="444"/>
      <c r="AM4" s="444"/>
      <c r="AN4" s="444"/>
      <c r="AO4" s="444"/>
      <c r="AP4" s="444"/>
      <c r="AQ4" s="444"/>
      <c r="AR4" s="444"/>
      <c r="AS4" s="444"/>
      <c r="AT4" s="444"/>
      <c r="AU4" s="444"/>
    </row>
    <row r="5" spans="1:47">
      <c r="A5">
        <v>3</v>
      </c>
      <c r="B5" s="443" t="s">
        <v>3930</v>
      </c>
      <c r="C5" s="444"/>
      <c r="D5" s="444"/>
      <c r="E5" s="444"/>
      <c r="F5" s="444"/>
      <c r="G5" s="444"/>
      <c r="H5" s="444"/>
      <c r="I5" s="444"/>
      <c r="J5" s="444"/>
      <c r="K5" s="444"/>
      <c r="L5" s="444"/>
      <c r="M5" s="444"/>
      <c r="N5" s="444"/>
      <c r="O5" s="444"/>
      <c r="P5" s="444"/>
      <c r="Q5" s="444"/>
      <c r="R5" s="444"/>
      <c r="S5" s="444"/>
      <c r="T5" s="444"/>
      <c r="U5" s="444"/>
      <c r="V5" s="444"/>
      <c r="W5" s="444"/>
      <c r="X5" s="444"/>
      <c r="Y5" s="444"/>
      <c r="Z5" s="444"/>
      <c r="AA5" s="444"/>
      <c r="AB5" s="444"/>
      <c r="AC5" s="444"/>
      <c r="AD5" s="444"/>
      <c r="AE5" s="444"/>
      <c r="AF5" s="444"/>
      <c r="AG5" s="444"/>
      <c r="AH5" s="444"/>
      <c r="AI5" s="444"/>
      <c r="AJ5" s="444"/>
      <c r="AK5" s="444"/>
      <c r="AL5" s="444"/>
      <c r="AM5" s="444"/>
      <c r="AN5" s="444"/>
      <c r="AO5" s="444"/>
      <c r="AP5" s="444"/>
      <c r="AQ5" s="444"/>
      <c r="AR5" s="444"/>
      <c r="AS5" s="444"/>
      <c r="AT5" s="444"/>
      <c r="AU5" s="444"/>
    </row>
    <row r="6" spans="1:47">
      <c r="A6">
        <v>4</v>
      </c>
      <c r="B6" s="443" t="s">
        <v>3931</v>
      </c>
      <c r="C6" s="444"/>
      <c r="D6" s="444"/>
      <c r="E6" s="444"/>
      <c r="F6" s="444"/>
      <c r="G6" s="444"/>
      <c r="H6" s="444"/>
      <c r="I6" s="444"/>
      <c r="J6" s="444"/>
      <c r="K6" s="444"/>
      <c r="L6" s="444"/>
      <c r="M6" s="444"/>
      <c r="N6" s="444"/>
      <c r="O6" s="444"/>
      <c r="P6" s="444"/>
      <c r="Q6" s="444"/>
      <c r="R6" s="444"/>
      <c r="S6" s="444"/>
      <c r="T6" s="444"/>
      <c r="U6" s="444"/>
      <c r="V6" s="444"/>
      <c r="W6" s="444"/>
      <c r="X6" s="444"/>
      <c r="Y6" s="444"/>
      <c r="Z6" s="444"/>
      <c r="AA6" s="444"/>
      <c r="AB6" s="444"/>
      <c r="AC6" s="444"/>
      <c r="AD6" s="444"/>
      <c r="AE6" s="444"/>
      <c r="AF6" s="444"/>
      <c r="AG6" s="444"/>
      <c r="AH6" s="444"/>
      <c r="AI6" s="444"/>
      <c r="AJ6" s="444"/>
      <c r="AK6" s="444"/>
      <c r="AL6" s="444"/>
      <c r="AM6" s="444"/>
      <c r="AN6" s="444"/>
      <c r="AO6" s="444"/>
      <c r="AP6" s="444"/>
      <c r="AQ6" s="444"/>
      <c r="AR6" s="444"/>
      <c r="AS6" s="444"/>
      <c r="AT6" s="444"/>
      <c r="AU6" s="444"/>
    </row>
    <row r="7" spans="1:47">
      <c r="B7" s="443"/>
      <c r="C7" s="444"/>
      <c r="D7" s="444"/>
      <c r="E7" s="444"/>
      <c r="F7" s="444"/>
      <c r="G7" s="444"/>
      <c r="H7" s="444"/>
      <c r="I7" s="444"/>
      <c r="J7" s="444"/>
      <c r="K7" s="444"/>
      <c r="L7" s="444"/>
      <c r="M7" s="444"/>
      <c r="N7" s="444"/>
      <c r="O7" s="444"/>
      <c r="P7" s="444"/>
      <c r="Q7" s="444"/>
      <c r="R7" s="444"/>
      <c r="S7" s="444"/>
      <c r="T7" s="444"/>
      <c r="U7" s="444"/>
      <c r="V7" s="444"/>
      <c r="W7" s="444"/>
      <c r="X7" s="444"/>
      <c r="Y7" s="444"/>
      <c r="Z7" s="444"/>
      <c r="AA7" s="444"/>
      <c r="AB7" s="444"/>
      <c r="AC7" s="444"/>
      <c r="AD7" s="444"/>
      <c r="AE7" s="444"/>
      <c r="AF7" s="444"/>
      <c r="AG7" s="444"/>
      <c r="AH7" s="444"/>
      <c r="AI7" s="444"/>
      <c r="AJ7" s="444"/>
      <c r="AK7" s="444"/>
      <c r="AL7" s="444"/>
      <c r="AM7" s="444"/>
      <c r="AN7" s="444"/>
      <c r="AO7" s="444"/>
      <c r="AP7" s="444"/>
      <c r="AQ7" s="444"/>
      <c r="AR7" s="444"/>
      <c r="AS7" s="444"/>
      <c r="AT7" s="444"/>
      <c r="AU7" s="444"/>
    </row>
    <row r="17" spans="4:4">
      <c r="D17" s="444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5073-6ED0-4D94-B9C2-89D01FB62993}">
  <sheetPr codeName="Sheet53">
    <tabColor rgb="FFFFC000"/>
  </sheetPr>
  <dimension ref="B1:J59"/>
  <sheetViews>
    <sheetView workbookViewId="0">
      <selection activeCell="Q18" sqref="Q18"/>
    </sheetView>
  </sheetViews>
  <sheetFormatPr defaultColWidth="9.140625" defaultRowHeight="12.75"/>
  <cols>
    <col min="1" max="1" width="3.42578125" style="446" customWidth="1"/>
    <col min="2" max="2" width="30.85546875" style="446" customWidth="1"/>
    <col min="3" max="3" width="5" style="474" customWidth="1"/>
    <col min="4" max="4" width="11.7109375" style="474" bestFit="1" customWidth="1"/>
    <col min="5" max="6" width="9.140625" style="474"/>
    <col min="7" max="7" width="10.28515625" style="474" customWidth="1"/>
    <col min="8" max="10" width="9.140625" style="474"/>
    <col min="11" max="16384" width="9.140625" style="446"/>
  </cols>
  <sheetData>
    <row r="1" spans="2:10">
      <c r="B1" s="689" t="s">
        <v>3932</v>
      </c>
      <c r="C1" s="689"/>
      <c r="D1" s="689"/>
      <c r="E1" s="689"/>
      <c r="F1" s="689"/>
      <c r="G1" s="445"/>
      <c r="H1" s="445"/>
      <c r="I1" s="445"/>
      <c r="J1" s="445"/>
    </row>
    <row r="2" spans="2:10">
      <c r="B2" s="689" t="s">
        <v>3928</v>
      </c>
      <c r="C2" s="689"/>
      <c r="D2" s="689"/>
      <c r="E2" s="689"/>
      <c r="F2" s="689"/>
      <c r="G2" s="445"/>
      <c r="H2" s="445"/>
      <c r="I2" s="445"/>
      <c r="J2" s="445"/>
    </row>
    <row r="3" spans="2:10" ht="13.5" thickBot="1">
      <c r="B3" s="690"/>
      <c r="C3" s="690"/>
      <c r="D3" s="690"/>
      <c r="E3" s="690"/>
      <c r="F3" s="690"/>
      <c r="G3" s="445"/>
      <c r="H3" s="445"/>
      <c r="I3" s="445"/>
      <c r="J3" s="445"/>
    </row>
    <row r="4" spans="2:10">
      <c r="B4" s="447" t="s">
        <v>3933</v>
      </c>
      <c r="C4" s="448"/>
      <c r="D4" s="449" t="s">
        <v>3934</v>
      </c>
      <c r="E4" s="450" t="s">
        <v>3935</v>
      </c>
      <c r="F4" s="451" t="s">
        <v>3936</v>
      </c>
      <c r="G4" s="445"/>
      <c r="H4" s="445"/>
      <c r="I4" s="445"/>
      <c r="J4" s="445"/>
    </row>
    <row r="5" spans="2:10">
      <c r="B5" s="480" t="s">
        <v>3885</v>
      </c>
      <c r="C5" s="453"/>
      <c r="D5" s="454">
        <v>50495</v>
      </c>
      <c r="E5" s="453">
        <f t="shared" ref="E5:E13" si="0">D5*12</f>
        <v>605940</v>
      </c>
      <c r="F5" s="455"/>
      <c r="G5" s="445"/>
      <c r="H5" s="445"/>
      <c r="I5" s="445"/>
      <c r="J5" s="445"/>
    </row>
    <row r="6" spans="2:10">
      <c r="B6" s="480" t="s">
        <v>3886</v>
      </c>
      <c r="C6" s="453"/>
      <c r="D6" s="454">
        <v>5050</v>
      </c>
      <c r="E6" s="453">
        <f t="shared" si="0"/>
        <v>60600</v>
      </c>
      <c r="F6" s="455"/>
      <c r="G6" s="445"/>
      <c r="H6" s="445"/>
      <c r="I6" s="445"/>
      <c r="J6" s="445"/>
    </row>
    <row r="7" spans="2:10">
      <c r="B7" s="480" t="s">
        <v>3887</v>
      </c>
      <c r="C7" s="453"/>
      <c r="D7" s="454">
        <v>2525</v>
      </c>
      <c r="E7" s="453">
        <f t="shared" si="0"/>
        <v>30300</v>
      </c>
      <c r="F7" s="455"/>
      <c r="G7" s="456"/>
      <c r="H7" s="456"/>
      <c r="I7" s="456"/>
      <c r="J7" s="445"/>
    </row>
    <row r="8" spans="2:10">
      <c r="B8" s="480" t="s">
        <v>3888</v>
      </c>
      <c r="C8" s="453"/>
      <c r="D8" s="454">
        <v>2525</v>
      </c>
      <c r="E8" s="453">
        <f t="shared" si="0"/>
        <v>30300</v>
      </c>
      <c r="F8" s="455"/>
      <c r="G8" s="456"/>
      <c r="H8" s="456"/>
      <c r="I8" s="456"/>
      <c r="J8" s="445"/>
    </row>
    <row r="9" spans="2:10">
      <c r="B9" s="480" t="s">
        <v>3889</v>
      </c>
      <c r="C9" s="453"/>
      <c r="D9" s="454">
        <v>1262</v>
      </c>
      <c r="E9" s="453">
        <f t="shared" si="0"/>
        <v>15144</v>
      </c>
      <c r="F9" s="455"/>
      <c r="G9" s="456"/>
      <c r="H9" s="456"/>
      <c r="I9" s="456"/>
      <c r="J9" s="445"/>
    </row>
    <row r="10" spans="2:10">
      <c r="B10" s="480" t="s">
        <v>3890</v>
      </c>
      <c r="C10" s="453"/>
      <c r="D10" s="454">
        <v>1262</v>
      </c>
      <c r="E10" s="453">
        <f t="shared" si="0"/>
        <v>15144</v>
      </c>
      <c r="F10" s="455"/>
      <c r="G10" s="456"/>
      <c r="H10" s="456"/>
      <c r="I10" s="456"/>
      <c r="J10" s="445"/>
    </row>
    <row r="11" spans="2:10">
      <c r="B11" s="480" t="s">
        <v>3891</v>
      </c>
      <c r="C11" s="453"/>
      <c r="D11" s="457">
        <v>0</v>
      </c>
      <c r="E11" s="453">
        <f>48052+12624</f>
        <v>60676</v>
      </c>
      <c r="F11" s="455"/>
      <c r="G11" s="445"/>
      <c r="H11" s="445"/>
      <c r="I11" s="445"/>
      <c r="J11" s="445"/>
    </row>
    <row r="12" spans="2:10">
      <c r="B12" s="481" t="s">
        <v>3892</v>
      </c>
      <c r="C12" s="453"/>
      <c r="D12" s="458">
        <v>0</v>
      </c>
      <c r="E12" s="453">
        <v>70402</v>
      </c>
      <c r="F12" s="455"/>
      <c r="G12" s="445"/>
      <c r="H12" s="445"/>
      <c r="I12" s="445"/>
      <c r="J12" s="445"/>
    </row>
    <row r="13" spans="2:10">
      <c r="B13" s="482" t="s">
        <v>3893</v>
      </c>
      <c r="C13" s="459"/>
      <c r="D13" s="459">
        <v>0</v>
      </c>
      <c r="E13" s="453">
        <f t="shared" si="0"/>
        <v>0</v>
      </c>
      <c r="F13" s="455"/>
      <c r="G13" s="445"/>
      <c r="H13" s="445"/>
      <c r="I13" s="445"/>
      <c r="J13" s="445"/>
    </row>
    <row r="14" spans="2:10">
      <c r="B14" s="480" t="s">
        <v>3894</v>
      </c>
      <c r="C14" s="453"/>
      <c r="D14" s="454">
        <v>0</v>
      </c>
      <c r="E14" s="453">
        <f>45446+75743</f>
        <v>121189</v>
      </c>
      <c r="F14" s="455"/>
      <c r="G14" s="460"/>
      <c r="H14" s="445"/>
      <c r="I14" s="445"/>
      <c r="J14" s="445"/>
    </row>
    <row r="15" spans="2:10">
      <c r="B15" s="480" t="s">
        <v>3895</v>
      </c>
      <c r="C15" s="453"/>
      <c r="D15" s="454">
        <v>0</v>
      </c>
      <c r="E15" s="453">
        <f>D15*12</f>
        <v>0</v>
      </c>
      <c r="F15" s="455"/>
      <c r="G15" s="460"/>
      <c r="H15" s="445"/>
      <c r="I15" s="445"/>
      <c r="J15" s="445"/>
    </row>
    <row r="16" spans="2:10" s="441" customFormat="1">
      <c r="B16" s="483" t="s">
        <v>3896</v>
      </c>
      <c r="C16" s="448"/>
      <c r="D16" s="462">
        <f>SUM(D5:D15)</f>
        <v>63119</v>
      </c>
      <c r="E16" s="462">
        <f>SUM(E5:E15)</f>
        <v>1009695</v>
      </c>
      <c r="F16" s="463"/>
      <c r="G16" s="460"/>
      <c r="H16" s="460"/>
      <c r="I16" s="460"/>
      <c r="J16" s="460"/>
    </row>
    <row r="17" spans="2:10">
      <c r="B17" s="484" t="s">
        <v>3897</v>
      </c>
      <c r="C17" s="453"/>
      <c r="D17" s="454"/>
      <c r="E17" s="453"/>
      <c r="F17" s="455"/>
      <c r="G17" s="445"/>
      <c r="H17" s="445"/>
      <c r="I17" s="445"/>
      <c r="J17" s="445"/>
    </row>
    <row r="18" spans="2:10">
      <c r="B18" s="465" t="s">
        <v>3898</v>
      </c>
      <c r="C18" s="453"/>
      <c r="D18" s="454"/>
      <c r="E18" s="453">
        <v>60600</v>
      </c>
      <c r="F18" s="455" t="s">
        <v>3936</v>
      </c>
      <c r="G18" s="445"/>
      <c r="H18" s="445"/>
      <c r="I18" s="445"/>
      <c r="J18" s="445"/>
    </row>
    <row r="19" spans="2:10">
      <c r="B19" s="465" t="s">
        <v>3899</v>
      </c>
      <c r="C19" s="453"/>
      <c r="D19" s="454">
        <v>1250</v>
      </c>
      <c r="E19" s="453">
        <f>D19*12</f>
        <v>15000</v>
      </c>
      <c r="F19" s="455"/>
      <c r="G19" s="445"/>
      <c r="H19" s="445"/>
      <c r="I19" s="445"/>
      <c r="J19" s="445"/>
    </row>
    <row r="20" spans="2:10">
      <c r="B20" s="465" t="s">
        <v>3888</v>
      </c>
      <c r="C20" s="453"/>
      <c r="D20" s="454">
        <v>800</v>
      </c>
      <c r="E20" s="453">
        <f>D20*12</f>
        <v>9600</v>
      </c>
      <c r="F20" s="455"/>
      <c r="G20" s="445"/>
      <c r="H20" s="445"/>
      <c r="I20" s="445"/>
      <c r="J20" s="445"/>
    </row>
    <row r="21" spans="2:10">
      <c r="B21" s="465" t="s">
        <v>3900</v>
      </c>
      <c r="C21" s="453"/>
      <c r="D21" s="454">
        <v>200</v>
      </c>
      <c r="E21" s="453">
        <f>D21*12</f>
        <v>2400</v>
      </c>
      <c r="F21" s="455"/>
      <c r="G21" s="445"/>
      <c r="H21" s="445"/>
      <c r="I21" s="445"/>
      <c r="J21" s="445"/>
    </row>
    <row r="22" spans="2:10">
      <c r="B22" s="465" t="s">
        <v>3891</v>
      </c>
      <c r="C22" s="453"/>
      <c r="D22" s="454">
        <v>0</v>
      </c>
      <c r="E22" s="453">
        <v>48052</v>
      </c>
      <c r="F22" s="455"/>
      <c r="G22" s="466"/>
      <c r="H22" s="445"/>
      <c r="I22" s="445"/>
      <c r="J22" s="445"/>
    </row>
    <row r="23" spans="2:10">
      <c r="B23" s="465" t="s">
        <v>3901</v>
      </c>
      <c r="C23" s="453"/>
      <c r="D23" s="454">
        <v>0</v>
      </c>
      <c r="E23" s="453">
        <f>D23*12</f>
        <v>0</v>
      </c>
      <c r="F23" s="455"/>
      <c r="G23" s="467"/>
      <c r="H23" s="445"/>
      <c r="I23" s="445"/>
      <c r="J23" s="445"/>
    </row>
    <row r="24" spans="2:10">
      <c r="B24" s="461" t="s">
        <v>3902</v>
      </c>
      <c r="C24" s="453"/>
      <c r="D24" s="454" t="s">
        <v>3936</v>
      </c>
      <c r="E24" s="448">
        <f>SUM(E18:E23)</f>
        <v>135652</v>
      </c>
      <c r="F24" s="455"/>
      <c r="G24" s="445"/>
      <c r="H24" s="445"/>
      <c r="I24" s="445"/>
      <c r="J24" s="445"/>
    </row>
    <row r="25" spans="2:10">
      <c r="B25" s="465"/>
      <c r="C25" s="453"/>
      <c r="D25" s="454"/>
      <c r="E25" s="453"/>
      <c r="F25" s="455" t="s">
        <v>3936</v>
      </c>
      <c r="G25" s="445"/>
      <c r="H25" s="445"/>
      <c r="I25" s="445"/>
      <c r="J25" s="445"/>
    </row>
    <row r="26" spans="2:10">
      <c r="B26" s="464" t="s">
        <v>3937</v>
      </c>
      <c r="C26" s="453"/>
      <c r="D26" s="454"/>
      <c r="E26" s="453"/>
      <c r="F26" s="455"/>
      <c r="G26" s="445"/>
      <c r="H26" s="445"/>
      <c r="I26" s="445"/>
      <c r="J26" s="445"/>
    </row>
    <row r="27" spans="2:10">
      <c r="B27" s="465" t="s">
        <v>3903</v>
      </c>
      <c r="C27" s="453"/>
      <c r="D27" s="454">
        <v>200</v>
      </c>
      <c r="E27" s="448">
        <f>D27*12</f>
        <v>2400</v>
      </c>
      <c r="F27" s="455" t="s">
        <v>3936</v>
      </c>
      <c r="G27" s="445"/>
      <c r="H27" s="445"/>
      <c r="I27" s="445"/>
      <c r="J27" s="445"/>
    </row>
    <row r="28" spans="2:10">
      <c r="B28" s="465"/>
      <c r="C28" s="453"/>
      <c r="D28" s="454"/>
      <c r="E28" s="453"/>
      <c r="F28" s="455" t="s">
        <v>3936</v>
      </c>
      <c r="G28" s="445"/>
      <c r="H28" s="445"/>
      <c r="I28" s="445"/>
      <c r="J28" s="445"/>
    </row>
    <row r="29" spans="2:10">
      <c r="B29" s="464" t="s">
        <v>3904</v>
      </c>
      <c r="C29" s="453"/>
      <c r="D29" s="454"/>
      <c r="E29" s="448">
        <f>+E16-E24-E27</f>
        <v>871643</v>
      </c>
      <c r="F29" s="455" t="s">
        <v>3936</v>
      </c>
      <c r="G29" s="445"/>
      <c r="H29" s="445"/>
      <c r="I29" s="445"/>
      <c r="J29" s="445"/>
    </row>
    <row r="30" spans="2:10">
      <c r="B30" s="465"/>
      <c r="C30" s="453"/>
      <c r="D30" s="454"/>
      <c r="E30" s="453"/>
      <c r="F30" s="455"/>
      <c r="G30" s="445"/>
      <c r="H30" s="445"/>
      <c r="I30" s="445"/>
      <c r="J30" s="445"/>
    </row>
    <row r="31" spans="2:10">
      <c r="B31" s="464" t="s">
        <v>3905</v>
      </c>
      <c r="C31" s="453"/>
      <c r="D31" s="454"/>
      <c r="E31" s="453"/>
      <c r="F31" s="455"/>
      <c r="G31" s="445"/>
      <c r="H31" s="445"/>
      <c r="I31" s="445"/>
      <c r="J31" s="445"/>
    </row>
    <row r="32" spans="2:10">
      <c r="B32" s="465" t="s">
        <v>3906</v>
      </c>
      <c r="C32" s="453"/>
      <c r="D32" s="454">
        <v>15000</v>
      </c>
      <c r="E32" s="453"/>
      <c r="F32" s="455"/>
      <c r="G32" s="445"/>
      <c r="H32" s="445"/>
      <c r="I32" s="445"/>
      <c r="J32" s="445"/>
    </row>
    <row r="33" spans="2:10">
      <c r="B33" s="452" t="s">
        <v>3907</v>
      </c>
      <c r="C33" s="453"/>
      <c r="D33" s="454">
        <v>0</v>
      </c>
      <c r="E33" s="448"/>
      <c r="F33" s="455"/>
      <c r="G33" s="445"/>
      <c r="H33" s="445"/>
      <c r="I33" s="445"/>
      <c r="J33" s="445"/>
    </row>
    <row r="34" spans="2:10">
      <c r="B34" s="452" t="s">
        <v>3908</v>
      </c>
      <c r="C34" s="453"/>
      <c r="D34" s="454">
        <v>0</v>
      </c>
      <c r="E34" s="448">
        <f>SUM(D32:D34)</f>
        <v>15000</v>
      </c>
      <c r="F34" s="455"/>
      <c r="G34" s="445"/>
      <c r="H34" s="445"/>
      <c r="I34" s="445"/>
      <c r="J34" s="445"/>
    </row>
    <row r="35" spans="2:10">
      <c r="B35" s="465"/>
      <c r="C35" s="453"/>
      <c r="D35" s="454"/>
      <c r="E35" s="448"/>
      <c r="F35" s="455"/>
      <c r="G35" s="445"/>
      <c r="H35" s="445"/>
      <c r="I35" s="445"/>
      <c r="J35" s="445"/>
    </row>
    <row r="36" spans="2:10">
      <c r="B36" s="464" t="s">
        <v>3909</v>
      </c>
      <c r="C36" s="453"/>
      <c r="D36" s="454"/>
      <c r="E36" s="453"/>
      <c r="F36" s="455"/>
      <c r="G36" s="445"/>
      <c r="H36" s="445"/>
      <c r="I36" s="445"/>
      <c r="J36" s="445"/>
    </row>
    <row r="37" spans="2:10">
      <c r="B37" s="465" t="s">
        <v>3910</v>
      </c>
      <c r="C37" s="453"/>
      <c r="D37" s="454">
        <f>E5*0.12</f>
        <v>72712.800000000003</v>
      </c>
      <c r="E37" s="453"/>
      <c r="F37" s="455"/>
      <c r="G37" s="445"/>
      <c r="H37" s="445"/>
      <c r="I37" s="445"/>
      <c r="J37" s="445"/>
    </row>
    <row r="38" spans="2:10">
      <c r="B38" s="465" t="s">
        <v>3911</v>
      </c>
      <c r="C38" s="453"/>
      <c r="D38" s="454">
        <v>0</v>
      </c>
      <c r="E38" s="453"/>
      <c r="F38" s="455"/>
      <c r="G38" s="445"/>
      <c r="H38" s="445"/>
      <c r="I38" s="445"/>
      <c r="J38" s="445"/>
    </row>
    <row r="39" spans="2:10">
      <c r="B39" s="465" t="s">
        <v>3912</v>
      </c>
      <c r="C39" s="453"/>
      <c r="D39" s="454">
        <v>0</v>
      </c>
      <c r="E39" s="453"/>
      <c r="F39" s="455"/>
      <c r="G39" s="445"/>
      <c r="H39" s="445"/>
      <c r="I39" s="445"/>
      <c r="J39" s="445"/>
    </row>
    <row r="40" spans="2:10">
      <c r="B40" s="452" t="s">
        <v>3913</v>
      </c>
      <c r="C40" s="453"/>
      <c r="D40" s="454">
        <v>0</v>
      </c>
      <c r="E40" s="453"/>
      <c r="F40" s="455"/>
      <c r="G40" s="445"/>
      <c r="H40" s="445"/>
      <c r="I40" s="445"/>
      <c r="J40" s="445"/>
    </row>
    <row r="41" spans="2:10">
      <c r="B41" s="465" t="s">
        <v>3914</v>
      </c>
      <c r="C41" s="453"/>
      <c r="D41" s="454">
        <v>0</v>
      </c>
      <c r="E41" s="453"/>
      <c r="F41" s="455"/>
      <c r="G41" s="445"/>
      <c r="H41" s="445"/>
      <c r="I41" s="445"/>
      <c r="J41" s="445"/>
    </row>
    <row r="42" spans="2:10">
      <c r="B42" s="465" t="s">
        <v>3915</v>
      </c>
      <c r="C42" s="453"/>
      <c r="D42" s="454">
        <v>52050</v>
      </c>
      <c r="E42" s="453"/>
      <c r="F42" s="455"/>
      <c r="G42" s="445"/>
      <c r="H42" s="445"/>
      <c r="I42" s="445"/>
      <c r="J42" s="445"/>
    </row>
    <row r="43" spans="2:10">
      <c r="B43" s="465" t="s">
        <v>3916</v>
      </c>
      <c r="C43" s="453"/>
      <c r="D43" s="454">
        <v>0</v>
      </c>
      <c r="E43" s="448"/>
      <c r="F43" s="463"/>
      <c r="G43" s="445"/>
      <c r="H43" s="445"/>
      <c r="I43" s="445"/>
      <c r="J43" s="445"/>
    </row>
    <row r="44" spans="2:10">
      <c r="B44" s="465"/>
      <c r="C44" s="453"/>
      <c r="D44" s="462">
        <f>SUM(D37:D43)</f>
        <v>124762.8</v>
      </c>
      <c r="E44" s="448">
        <f>IF(SUM(D37:D43)&gt;=100000,100000,SUM(D37:D43))</f>
        <v>100000</v>
      </c>
      <c r="F44" s="463">
        <f>E34+E44</f>
        <v>115000</v>
      </c>
      <c r="G44" s="445"/>
      <c r="H44" s="445"/>
      <c r="I44" s="445"/>
      <c r="J44" s="445"/>
    </row>
    <row r="45" spans="2:10">
      <c r="B45" s="468" t="s">
        <v>3917</v>
      </c>
      <c r="C45" s="469"/>
      <c r="D45" s="470"/>
      <c r="E45" s="469"/>
      <c r="F45" s="471">
        <f>E29-F44</f>
        <v>756643</v>
      </c>
      <c r="G45" s="445"/>
      <c r="H45" s="445"/>
      <c r="I45" s="445"/>
      <c r="J45" s="445"/>
    </row>
    <row r="46" spans="2:10">
      <c r="B46" s="465"/>
      <c r="C46" s="453"/>
      <c r="D46" s="454"/>
      <c r="E46" s="453"/>
      <c r="F46" s="455"/>
      <c r="G46" s="445"/>
      <c r="H46" s="445"/>
      <c r="I46" s="445"/>
      <c r="J46" s="445"/>
    </row>
    <row r="47" spans="2:10">
      <c r="B47" s="465" t="s">
        <v>3918</v>
      </c>
      <c r="C47" s="472">
        <v>0</v>
      </c>
      <c r="D47" s="454">
        <f>IF(F45&gt;199999, 200000,F45)</f>
        <v>200000</v>
      </c>
      <c r="E47" s="453"/>
      <c r="F47" s="455">
        <f>C47*D47</f>
        <v>0</v>
      </c>
      <c r="G47" s="445"/>
      <c r="H47" s="445"/>
      <c r="I47" s="445"/>
      <c r="J47" s="445"/>
    </row>
    <row r="48" spans="2:10">
      <c r="B48" s="465" t="s">
        <v>3919</v>
      </c>
      <c r="C48" s="472">
        <v>0.1</v>
      </c>
      <c r="D48" s="454">
        <f>IF(F45&gt;499999,(500000-D47),(MAX(F45-D47,0)))</f>
        <v>300000</v>
      </c>
      <c r="E48" s="453"/>
      <c r="F48" s="455">
        <f>C48*D48</f>
        <v>30000</v>
      </c>
      <c r="G48" s="445"/>
      <c r="H48" s="445"/>
      <c r="I48" s="445"/>
      <c r="J48" s="445"/>
    </row>
    <row r="49" spans="2:10">
      <c r="B49" s="465" t="s">
        <v>3920</v>
      </c>
      <c r="C49" s="472">
        <v>0.2</v>
      </c>
      <c r="D49" s="454">
        <f>IF(F45&gt;999999,(1000000-D48-D47),(MAX(F45-(D47+D48),0)))</f>
        <v>256643</v>
      </c>
      <c r="E49" s="453"/>
      <c r="F49" s="455">
        <f>C49*D49</f>
        <v>51328.600000000006</v>
      </c>
      <c r="G49" s="445"/>
      <c r="H49" s="445"/>
      <c r="I49" s="445"/>
      <c r="J49" s="445"/>
    </row>
    <row r="50" spans="2:10">
      <c r="B50" s="465" t="s">
        <v>3921</v>
      </c>
      <c r="C50" s="472">
        <v>0.3</v>
      </c>
      <c r="D50" s="454">
        <f>IF(F45&gt;999999,(F45-D47-D48-D49),(MAX(F45-(D47+D48+D49),0)))</f>
        <v>0</v>
      </c>
      <c r="E50" s="453"/>
      <c r="F50" s="455">
        <f>C50*D50</f>
        <v>0</v>
      </c>
      <c r="G50" s="445"/>
      <c r="H50" s="445"/>
      <c r="I50" s="445"/>
      <c r="J50" s="445"/>
    </row>
    <row r="51" spans="2:10">
      <c r="B51" s="465"/>
      <c r="C51" s="453"/>
      <c r="D51" s="454">
        <f>SUM(D47:D50)</f>
        <v>756643</v>
      </c>
      <c r="E51" s="453"/>
      <c r="F51" s="455"/>
      <c r="G51" s="445"/>
      <c r="H51" s="445"/>
      <c r="I51" s="445"/>
      <c r="J51" s="445"/>
    </row>
    <row r="52" spans="2:10">
      <c r="B52" s="465"/>
      <c r="C52" s="453"/>
      <c r="D52" s="454"/>
      <c r="E52" s="453"/>
      <c r="F52" s="455"/>
      <c r="G52" s="445"/>
      <c r="H52" s="445"/>
      <c r="I52" s="445"/>
      <c r="J52" s="445"/>
    </row>
    <row r="53" spans="2:10">
      <c r="B53" s="468" t="s">
        <v>3922</v>
      </c>
      <c r="C53" s="469"/>
      <c r="D53" s="470"/>
      <c r="E53" s="469"/>
      <c r="F53" s="471">
        <f>SUM(F47:F50)</f>
        <v>81328.600000000006</v>
      </c>
      <c r="G53" s="445"/>
      <c r="H53" s="445"/>
      <c r="I53" s="445"/>
      <c r="J53" s="445"/>
    </row>
    <row r="54" spans="2:10">
      <c r="B54" s="465" t="s">
        <v>3923</v>
      </c>
      <c r="C54" s="453"/>
      <c r="D54" s="454"/>
      <c r="E54" s="453"/>
      <c r="F54" s="455">
        <f>+F53*2%</f>
        <v>1626.5720000000001</v>
      </c>
      <c r="G54" s="445"/>
      <c r="H54" s="445"/>
      <c r="I54" s="445"/>
      <c r="J54" s="445"/>
    </row>
    <row r="55" spans="2:10">
      <c r="B55" s="465" t="s">
        <v>3924</v>
      </c>
      <c r="C55" s="453"/>
      <c r="D55" s="454"/>
      <c r="E55" s="453"/>
      <c r="F55" s="455">
        <f>F53*1%</f>
        <v>813.28600000000006</v>
      </c>
      <c r="G55" s="445"/>
      <c r="H55" s="445"/>
      <c r="I55" s="445"/>
      <c r="J55" s="445"/>
    </row>
    <row r="56" spans="2:10">
      <c r="B56" s="464" t="s">
        <v>3925</v>
      </c>
      <c r="C56" s="453"/>
      <c r="D56" s="454"/>
      <c r="E56" s="453"/>
      <c r="F56" s="463">
        <f>SUM(F53:F55)</f>
        <v>83768.458000000013</v>
      </c>
      <c r="G56" s="445"/>
      <c r="H56" s="445"/>
      <c r="I56" s="445"/>
      <c r="J56" s="445"/>
    </row>
    <row r="57" spans="2:10">
      <c r="B57" s="465"/>
      <c r="C57" s="453"/>
      <c r="D57" s="454"/>
      <c r="E57" s="453"/>
      <c r="F57" s="455"/>
      <c r="G57" s="445"/>
      <c r="H57" s="445"/>
      <c r="I57" s="445"/>
      <c r="J57" s="445"/>
    </row>
    <row r="58" spans="2:10">
      <c r="B58" s="473" t="s">
        <v>3926</v>
      </c>
      <c r="C58" s="469"/>
      <c r="D58" s="469"/>
      <c r="E58" s="469"/>
      <c r="F58" s="471">
        <v>83769</v>
      </c>
    </row>
    <row r="59" spans="2:10" ht="13.5" thickBot="1">
      <c r="B59" s="475" t="s">
        <v>3927</v>
      </c>
      <c r="C59" s="476"/>
      <c r="D59" s="477"/>
      <c r="E59" s="476"/>
      <c r="F59" s="478">
        <f>F56-F58</f>
        <v>-0.54199999998672865</v>
      </c>
    </row>
  </sheetData>
  <mergeCells count="3">
    <mergeCell ref="B1:F1"/>
    <mergeCell ref="B2:F2"/>
    <mergeCell ref="B3:F3"/>
  </mergeCells>
  <conditionalFormatting sqref="B51">
    <cfRule type="cellIs" dxfId="11" priority="1" stopIfTrue="1" operator="greaterThan">
      <formula>$D$48</formula>
    </cfRule>
    <cfRule type="cellIs" dxfId="10" priority="2" stopIfTrue="1" operator="greaterThan">
      <formula>$D$50</formula>
    </cfRule>
    <cfRule type="cellIs" dxfId="9" priority="3" stopIfTrue="1" operator="greaterThan">
      <formula>$D$47</formula>
    </cfRule>
  </conditionalFormatting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10FF-6E55-471C-9E97-969CE13B31FF}">
  <sheetPr codeName="Sheet54">
    <tabColor rgb="FFFFC000"/>
  </sheetPr>
  <dimension ref="B1:J59"/>
  <sheetViews>
    <sheetView workbookViewId="0">
      <selection activeCell="J15" sqref="J15"/>
    </sheetView>
  </sheetViews>
  <sheetFormatPr defaultColWidth="9.140625" defaultRowHeight="12.75"/>
  <cols>
    <col min="1" max="1" width="3.42578125" style="446" customWidth="1"/>
    <col min="2" max="2" width="30.85546875" style="446" customWidth="1"/>
    <col min="3" max="3" width="5" style="474" customWidth="1"/>
    <col min="4" max="4" width="11.7109375" style="474" bestFit="1" customWidth="1"/>
    <col min="5" max="6" width="9.140625" style="474"/>
    <col min="7" max="7" width="10.28515625" style="474" customWidth="1"/>
    <col min="8" max="10" width="9.140625" style="474"/>
    <col min="11" max="16384" width="9.140625" style="446"/>
  </cols>
  <sheetData>
    <row r="1" spans="2:10">
      <c r="B1" s="689" t="s">
        <v>3932</v>
      </c>
      <c r="C1" s="689"/>
      <c r="D1" s="689"/>
      <c r="E1" s="689"/>
      <c r="F1" s="689"/>
      <c r="G1" s="479"/>
      <c r="H1" s="479"/>
      <c r="I1" s="479"/>
      <c r="J1" s="445"/>
    </row>
    <row r="2" spans="2:10">
      <c r="B2" s="689" t="s">
        <v>3929</v>
      </c>
      <c r="C2" s="689"/>
      <c r="D2" s="689"/>
      <c r="E2" s="689"/>
      <c r="F2" s="689"/>
      <c r="G2" s="445"/>
      <c r="H2" s="445"/>
      <c r="I2" s="445"/>
      <c r="J2" s="445"/>
    </row>
    <row r="3" spans="2:10" ht="13.5" thickBot="1">
      <c r="B3" s="690"/>
      <c r="C3" s="690"/>
      <c r="D3" s="690"/>
      <c r="E3" s="690"/>
      <c r="F3" s="690"/>
      <c r="G3" s="445"/>
      <c r="H3" s="445"/>
      <c r="I3" s="445"/>
      <c r="J3" s="445"/>
    </row>
    <row r="4" spans="2:10">
      <c r="B4" s="447" t="s">
        <v>3933</v>
      </c>
      <c r="C4" s="448"/>
      <c r="D4" s="449" t="s">
        <v>3934</v>
      </c>
      <c r="E4" s="450" t="s">
        <v>3935</v>
      </c>
      <c r="F4" s="451" t="s">
        <v>3936</v>
      </c>
      <c r="G4" s="445"/>
      <c r="H4" s="445"/>
      <c r="I4" s="445"/>
      <c r="J4" s="445"/>
    </row>
    <row r="5" spans="2:10">
      <c r="B5" s="480" t="s">
        <v>3885</v>
      </c>
      <c r="C5" s="453"/>
      <c r="D5" s="454">
        <v>30000</v>
      </c>
      <c r="E5" s="453">
        <f>7500+D5*9</f>
        <v>277500</v>
      </c>
      <c r="F5" s="455"/>
      <c r="G5" s="445"/>
      <c r="H5" s="445"/>
      <c r="I5" s="445"/>
      <c r="J5" s="445"/>
    </row>
    <row r="6" spans="2:10">
      <c r="B6" s="480" t="s">
        <v>3886</v>
      </c>
      <c r="C6" s="453"/>
      <c r="D6" s="454">
        <v>9000</v>
      </c>
      <c r="E6" s="453">
        <f>2250+D6*9</f>
        <v>83250</v>
      </c>
      <c r="F6" s="455"/>
      <c r="G6" s="445"/>
      <c r="H6" s="445"/>
      <c r="I6" s="445"/>
      <c r="J6" s="445"/>
    </row>
    <row r="7" spans="2:10">
      <c r="B7" s="480" t="s">
        <v>3887</v>
      </c>
      <c r="C7" s="453"/>
      <c r="D7" s="454">
        <v>1250</v>
      </c>
      <c r="E7" s="453">
        <f>313+D7*9</f>
        <v>11563</v>
      </c>
      <c r="F7" s="455"/>
      <c r="G7" s="456"/>
      <c r="H7" s="456"/>
      <c r="I7" s="456"/>
      <c r="J7" s="445"/>
    </row>
    <row r="8" spans="2:10">
      <c r="B8" s="480" t="s">
        <v>3888</v>
      </c>
      <c r="C8" s="453"/>
      <c r="D8" s="454">
        <v>800</v>
      </c>
      <c r="E8" s="453">
        <f>200+D8*9</f>
        <v>7400</v>
      </c>
      <c r="F8" s="455"/>
      <c r="G8" s="456"/>
      <c r="H8" s="456"/>
      <c r="I8" s="456"/>
      <c r="J8" s="445"/>
    </row>
    <row r="9" spans="2:10">
      <c r="B9" s="480" t="s">
        <v>3889</v>
      </c>
      <c r="C9" s="453"/>
      <c r="D9" s="454">
        <v>0</v>
      </c>
      <c r="E9" s="453">
        <f>D9*9</f>
        <v>0</v>
      </c>
      <c r="F9" s="455"/>
      <c r="G9" s="456"/>
      <c r="H9" s="456"/>
      <c r="I9" s="456"/>
      <c r="J9" s="445"/>
    </row>
    <row r="10" spans="2:10">
      <c r="B10" s="480" t="s">
        <v>3890</v>
      </c>
      <c r="C10" s="453"/>
      <c r="D10" s="454">
        <v>0</v>
      </c>
      <c r="E10" s="453">
        <f>D10*9</f>
        <v>0</v>
      </c>
      <c r="F10" s="455"/>
      <c r="G10" s="456"/>
      <c r="H10" s="456"/>
      <c r="I10" s="456"/>
      <c r="J10" s="445"/>
    </row>
    <row r="11" spans="2:10">
      <c r="B11" s="480" t="s">
        <v>3891</v>
      </c>
      <c r="C11" s="453"/>
      <c r="D11" s="457">
        <v>0</v>
      </c>
      <c r="E11" s="453">
        <f>15625+7500</f>
        <v>23125</v>
      </c>
      <c r="F11" s="455"/>
      <c r="G11" s="445"/>
      <c r="H11" s="445"/>
      <c r="I11" s="445"/>
      <c r="J11" s="445"/>
    </row>
    <row r="12" spans="2:10">
      <c r="B12" s="481" t="s">
        <v>3892</v>
      </c>
      <c r="C12" s="453"/>
      <c r="D12" s="458"/>
      <c r="E12" s="453"/>
      <c r="F12" s="453"/>
      <c r="G12" s="445"/>
      <c r="H12" s="445"/>
      <c r="I12" s="445"/>
      <c r="J12" s="445"/>
    </row>
    <row r="13" spans="2:10">
      <c r="B13" s="482" t="s">
        <v>3893</v>
      </c>
      <c r="C13" s="459"/>
      <c r="D13" s="459">
        <v>58517</v>
      </c>
      <c r="E13" s="453">
        <f>14629+D13*9</f>
        <v>541282</v>
      </c>
      <c r="F13" s="453"/>
      <c r="G13" s="445"/>
      <c r="H13" s="445"/>
      <c r="I13" s="445"/>
      <c r="J13" s="445"/>
    </row>
    <row r="14" spans="2:10">
      <c r="B14" s="481" t="s">
        <v>3894</v>
      </c>
      <c r="C14" s="453"/>
      <c r="D14" s="453">
        <v>0</v>
      </c>
      <c r="E14" s="453">
        <f>14625+40875</f>
        <v>55500</v>
      </c>
      <c r="F14" s="453"/>
      <c r="G14" s="460"/>
      <c r="H14" s="445"/>
      <c r="I14" s="445"/>
      <c r="J14" s="445"/>
    </row>
    <row r="15" spans="2:10">
      <c r="B15" s="480" t="s">
        <v>3895</v>
      </c>
      <c r="C15" s="453"/>
      <c r="D15" s="454">
        <v>0</v>
      </c>
      <c r="E15" s="453">
        <f>D15*9</f>
        <v>0</v>
      </c>
      <c r="F15" s="455"/>
      <c r="G15" s="460"/>
      <c r="H15" s="445"/>
      <c r="I15" s="445"/>
      <c r="J15" s="445"/>
    </row>
    <row r="16" spans="2:10" s="441" customFormat="1">
      <c r="B16" s="483" t="s">
        <v>3896</v>
      </c>
      <c r="C16" s="448"/>
      <c r="D16" s="462">
        <f>SUM(D5:D15)</f>
        <v>99567</v>
      </c>
      <c r="E16" s="462">
        <f>SUM(E5:E15)</f>
        <v>999620</v>
      </c>
      <c r="F16" s="463"/>
      <c r="G16" s="460"/>
      <c r="H16" s="460"/>
      <c r="I16" s="460"/>
      <c r="J16" s="460"/>
    </row>
    <row r="17" spans="2:10">
      <c r="B17" s="484" t="s">
        <v>3897</v>
      </c>
      <c r="C17" s="453"/>
      <c r="D17" s="454"/>
      <c r="E17" s="453"/>
      <c r="F17" s="455"/>
      <c r="G17" s="445"/>
      <c r="H17" s="445"/>
      <c r="I17" s="445"/>
      <c r="J17" s="445"/>
    </row>
    <row r="18" spans="2:10">
      <c r="B18" s="480" t="s">
        <v>3898</v>
      </c>
      <c r="C18" s="453"/>
      <c r="D18" s="454"/>
      <c r="E18" s="453">
        <v>72250</v>
      </c>
      <c r="F18" s="455" t="s">
        <v>3936</v>
      </c>
      <c r="G18" s="445"/>
      <c r="H18" s="445"/>
      <c r="I18" s="445"/>
      <c r="J18" s="445"/>
    </row>
    <row r="19" spans="2:10">
      <c r="B19" s="480" t="s">
        <v>3899</v>
      </c>
      <c r="C19" s="453"/>
      <c r="D19" s="454">
        <v>0</v>
      </c>
      <c r="E19" s="453">
        <v>11563</v>
      </c>
      <c r="F19" s="455"/>
      <c r="G19" s="445"/>
      <c r="H19" s="445"/>
      <c r="I19" s="445"/>
      <c r="J19" s="445"/>
    </row>
    <row r="20" spans="2:10">
      <c r="B20" s="480" t="s">
        <v>3888</v>
      </c>
      <c r="C20" s="453"/>
      <c r="D20" s="454">
        <v>800</v>
      </c>
      <c r="E20" s="453">
        <v>7400</v>
      </c>
      <c r="F20" s="455"/>
      <c r="G20" s="445"/>
      <c r="H20" s="445"/>
      <c r="I20" s="445"/>
      <c r="J20" s="445"/>
    </row>
    <row r="21" spans="2:10">
      <c r="B21" s="480" t="s">
        <v>3900</v>
      </c>
      <c r="C21" s="453"/>
      <c r="D21" s="454">
        <v>0</v>
      </c>
      <c r="E21" s="453">
        <f>D21*12</f>
        <v>0</v>
      </c>
      <c r="F21" s="455"/>
      <c r="G21" s="445"/>
      <c r="H21" s="445"/>
      <c r="I21" s="445"/>
      <c r="J21" s="445"/>
    </row>
    <row r="22" spans="2:10">
      <c r="B22" s="480" t="s">
        <v>3891</v>
      </c>
      <c r="C22" s="453"/>
      <c r="D22" s="454">
        <v>0</v>
      </c>
      <c r="E22" s="453">
        <v>15625</v>
      </c>
      <c r="F22" s="455"/>
      <c r="G22" s="466"/>
      <c r="H22" s="445"/>
      <c r="I22" s="445"/>
      <c r="J22" s="445"/>
    </row>
    <row r="23" spans="2:10">
      <c r="B23" s="480" t="s">
        <v>3901</v>
      </c>
      <c r="C23" s="453"/>
      <c r="D23" s="454">
        <v>0</v>
      </c>
      <c r="E23" s="453">
        <f>D23*12</f>
        <v>0</v>
      </c>
      <c r="F23" s="455"/>
      <c r="G23" s="467"/>
      <c r="H23" s="445"/>
      <c r="I23" s="445"/>
      <c r="J23" s="445"/>
    </row>
    <row r="24" spans="2:10">
      <c r="B24" s="483" t="s">
        <v>3902</v>
      </c>
      <c r="C24" s="453"/>
      <c r="D24" s="454" t="s">
        <v>3936</v>
      </c>
      <c r="E24" s="448">
        <f>SUM(E18:E23)</f>
        <v>106838</v>
      </c>
      <c r="F24" s="455"/>
      <c r="G24" s="445"/>
      <c r="H24" s="445"/>
      <c r="I24" s="445"/>
      <c r="J24" s="445"/>
    </row>
    <row r="25" spans="2:10">
      <c r="B25" s="480"/>
      <c r="C25" s="453"/>
      <c r="D25" s="454"/>
      <c r="E25" s="453"/>
      <c r="F25" s="455" t="s">
        <v>3936</v>
      </c>
      <c r="G25" s="445"/>
      <c r="H25" s="445"/>
      <c r="I25" s="445"/>
      <c r="J25" s="445"/>
    </row>
    <row r="26" spans="2:10">
      <c r="B26" s="484" t="s">
        <v>3937</v>
      </c>
      <c r="C26" s="453"/>
      <c r="D26" s="454"/>
      <c r="E26" s="453"/>
      <c r="F26" s="455"/>
      <c r="G26" s="445"/>
      <c r="H26" s="445"/>
      <c r="I26" s="445"/>
      <c r="J26" s="445"/>
    </row>
    <row r="27" spans="2:10">
      <c r="B27" s="480" t="s">
        <v>3903</v>
      </c>
      <c r="C27" s="453"/>
      <c r="D27" s="454">
        <v>200</v>
      </c>
      <c r="E27" s="448">
        <f>D27*10</f>
        <v>2000</v>
      </c>
      <c r="F27" s="455" t="s">
        <v>3936</v>
      </c>
      <c r="G27" s="445"/>
      <c r="H27" s="445"/>
      <c r="I27" s="445"/>
      <c r="J27" s="445"/>
    </row>
    <row r="28" spans="2:10">
      <c r="B28" s="480"/>
      <c r="C28" s="453"/>
      <c r="D28" s="454"/>
      <c r="E28" s="453"/>
      <c r="F28" s="455" t="s">
        <v>3936</v>
      </c>
      <c r="G28" s="445"/>
      <c r="H28" s="445"/>
      <c r="I28" s="445"/>
      <c r="J28" s="445"/>
    </row>
    <row r="29" spans="2:10">
      <c r="B29" s="484" t="s">
        <v>3904</v>
      </c>
      <c r="C29" s="453"/>
      <c r="D29" s="454"/>
      <c r="E29" s="448">
        <f>+E16-E24-E27</f>
        <v>890782</v>
      </c>
      <c r="F29" s="455" t="s">
        <v>3936</v>
      </c>
      <c r="G29" s="445"/>
      <c r="H29" s="445"/>
      <c r="I29" s="445"/>
      <c r="J29" s="445"/>
    </row>
    <row r="30" spans="2:10">
      <c r="B30" s="480"/>
      <c r="C30" s="453"/>
      <c r="D30" s="454"/>
      <c r="E30" s="453"/>
      <c r="F30" s="455"/>
      <c r="G30" s="445"/>
      <c r="H30" s="445"/>
      <c r="I30" s="445"/>
      <c r="J30" s="445"/>
    </row>
    <row r="31" spans="2:10">
      <c r="B31" s="484" t="s">
        <v>3905</v>
      </c>
      <c r="C31" s="453"/>
      <c r="D31" s="454"/>
      <c r="E31" s="453"/>
      <c r="F31" s="455"/>
      <c r="G31" s="445"/>
      <c r="H31" s="445"/>
      <c r="I31" s="445"/>
      <c r="J31" s="445"/>
    </row>
    <row r="32" spans="2:10">
      <c r="B32" s="480" t="s">
        <v>3906</v>
      </c>
      <c r="C32" s="453"/>
      <c r="D32" s="454">
        <v>14101</v>
      </c>
      <c r="E32" s="453"/>
      <c r="F32" s="455"/>
      <c r="G32" s="445"/>
      <c r="H32" s="445"/>
      <c r="I32" s="445"/>
      <c r="J32" s="445"/>
    </row>
    <row r="33" spans="2:10">
      <c r="B33" s="480" t="s">
        <v>3907</v>
      </c>
      <c r="C33" s="453"/>
      <c r="D33" s="454">
        <v>70370</v>
      </c>
      <c r="E33" s="448"/>
      <c r="F33" s="455"/>
      <c r="G33" s="445"/>
      <c r="H33" s="445"/>
      <c r="I33" s="445"/>
      <c r="J33" s="445"/>
    </row>
    <row r="34" spans="2:10">
      <c r="B34" s="480" t="s">
        <v>3908</v>
      </c>
      <c r="C34" s="453"/>
      <c r="D34" s="454">
        <v>0</v>
      </c>
      <c r="E34" s="448">
        <f>SUM(D32:D34)</f>
        <v>84471</v>
      </c>
      <c r="F34" s="455"/>
      <c r="G34" s="445"/>
      <c r="H34" s="445"/>
      <c r="I34" s="445"/>
      <c r="J34" s="445"/>
    </row>
    <row r="35" spans="2:10">
      <c r="B35" s="480"/>
      <c r="C35" s="453"/>
      <c r="D35" s="454"/>
      <c r="E35" s="448"/>
      <c r="F35" s="455"/>
      <c r="G35" s="445"/>
      <c r="H35" s="445"/>
      <c r="I35" s="445"/>
      <c r="J35" s="445"/>
    </row>
    <row r="36" spans="2:10">
      <c r="B36" s="484" t="s">
        <v>3909</v>
      </c>
      <c r="C36" s="453"/>
      <c r="D36" s="454"/>
      <c r="E36" s="453"/>
      <c r="F36" s="455"/>
      <c r="G36" s="445"/>
      <c r="H36" s="445"/>
      <c r="I36" s="445"/>
      <c r="J36" s="445"/>
    </row>
    <row r="37" spans="2:10">
      <c r="B37" s="465" t="s">
        <v>3910</v>
      </c>
      <c r="C37" s="453"/>
      <c r="D37" s="454">
        <f>E5*0.12</f>
        <v>33300</v>
      </c>
      <c r="E37" s="453"/>
      <c r="F37" s="455"/>
      <c r="G37" s="445"/>
      <c r="H37" s="445"/>
      <c r="I37" s="445"/>
      <c r="J37" s="445"/>
    </row>
    <row r="38" spans="2:10">
      <c r="B38" s="465" t="s">
        <v>3911</v>
      </c>
      <c r="C38" s="453"/>
      <c r="D38" s="454">
        <v>5000</v>
      </c>
      <c r="E38" s="453"/>
      <c r="F38" s="455"/>
      <c r="G38" s="445"/>
      <c r="H38" s="445"/>
      <c r="I38" s="445"/>
      <c r="J38" s="445"/>
    </row>
    <row r="39" spans="2:10">
      <c r="B39" s="465" t="s">
        <v>3912</v>
      </c>
      <c r="C39" s="453"/>
      <c r="D39" s="454"/>
      <c r="E39" s="453"/>
      <c r="F39" s="455"/>
      <c r="G39" s="445"/>
      <c r="H39" s="445"/>
      <c r="I39" s="445"/>
      <c r="J39" s="445"/>
    </row>
    <row r="40" spans="2:10">
      <c r="B40" s="452" t="s">
        <v>3913</v>
      </c>
      <c r="C40" s="453"/>
      <c r="D40" s="454">
        <v>2430</v>
      </c>
      <c r="E40" s="453"/>
      <c r="F40" s="455"/>
      <c r="G40" s="445"/>
      <c r="H40" s="445"/>
      <c r="I40" s="445"/>
      <c r="J40" s="445"/>
    </row>
    <row r="41" spans="2:10">
      <c r="B41" s="465" t="s">
        <v>3914</v>
      </c>
      <c r="C41" s="453"/>
      <c r="D41" s="454">
        <v>41227</v>
      </c>
      <c r="E41" s="453"/>
      <c r="F41" s="455"/>
      <c r="G41" s="445"/>
      <c r="H41" s="445"/>
      <c r="I41" s="445"/>
      <c r="J41" s="445"/>
    </row>
    <row r="42" spans="2:10">
      <c r="B42" s="465" t="s">
        <v>3915</v>
      </c>
      <c r="C42" s="453"/>
      <c r="D42" s="454">
        <v>51500</v>
      </c>
      <c r="E42" s="453"/>
      <c r="F42" s="455"/>
      <c r="G42" s="445"/>
      <c r="H42" s="445"/>
      <c r="I42" s="445"/>
      <c r="J42" s="445"/>
    </row>
    <row r="43" spans="2:10">
      <c r="B43" s="465" t="s">
        <v>3916</v>
      </c>
      <c r="C43" s="453"/>
      <c r="D43" s="454">
        <v>0</v>
      </c>
      <c r="E43" s="448"/>
      <c r="F43" s="463"/>
      <c r="G43" s="445"/>
      <c r="H43" s="445"/>
      <c r="I43" s="445"/>
      <c r="J43" s="445"/>
    </row>
    <row r="44" spans="2:10">
      <c r="B44" s="465"/>
      <c r="C44" s="453"/>
      <c r="D44" s="462">
        <f>SUM(D37:D43)</f>
        <v>133457</v>
      </c>
      <c r="E44" s="448">
        <f>IF(SUM(D37:D43)&gt;=100000,100000,SUM(D37:D43))</f>
        <v>100000</v>
      </c>
      <c r="F44" s="463">
        <f>E34+E44</f>
        <v>184471</v>
      </c>
      <c r="G44" s="445"/>
      <c r="H44" s="445"/>
      <c r="I44" s="445"/>
      <c r="J44" s="445"/>
    </row>
    <row r="45" spans="2:10">
      <c r="B45" s="468" t="s">
        <v>3917</v>
      </c>
      <c r="C45" s="469"/>
      <c r="D45" s="470"/>
      <c r="E45" s="469"/>
      <c r="F45" s="471">
        <f>E29-F44</f>
        <v>706311</v>
      </c>
      <c r="G45" s="445"/>
      <c r="H45" s="445"/>
      <c r="I45" s="445"/>
      <c r="J45" s="445"/>
    </row>
    <row r="46" spans="2:10">
      <c r="B46" s="465"/>
      <c r="C46" s="453"/>
      <c r="D46" s="454"/>
      <c r="E46" s="453"/>
      <c r="F46" s="455"/>
      <c r="G46" s="445"/>
      <c r="H46" s="445"/>
      <c r="I46" s="445"/>
      <c r="J46" s="445"/>
    </row>
    <row r="47" spans="2:10">
      <c r="B47" s="465" t="s">
        <v>3918</v>
      </c>
      <c r="C47" s="472">
        <v>0</v>
      </c>
      <c r="D47" s="454">
        <f>IF(F45&gt;199999, 200000,F45)</f>
        <v>200000</v>
      </c>
      <c r="E47" s="453"/>
      <c r="F47" s="455">
        <f>C47*D47</f>
        <v>0</v>
      </c>
      <c r="G47" s="445"/>
      <c r="H47" s="445"/>
      <c r="I47" s="445"/>
      <c r="J47" s="445"/>
    </row>
    <row r="48" spans="2:10">
      <c r="B48" s="465" t="s">
        <v>3919</v>
      </c>
      <c r="C48" s="472">
        <v>0.1</v>
      </c>
      <c r="D48" s="454">
        <f>IF(F45&gt;499999,(500000-D47),(MAX(F45-D47,0)))</f>
        <v>300000</v>
      </c>
      <c r="E48" s="453"/>
      <c r="F48" s="455">
        <f>C48*D48</f>
        <v>30000</v>
      </c>
      <c r="G48" s="445"/>
      <c r="H48" s="445"/>
      <c r="I48" s="445"/>
      <c r="J48" s="445"/>
    </row>
    <row r="49" spans="2:10">
      <c r="B49" s="465" t="s">
        <v>3920</v>
      </c>
      <c r="C49" s="472">
        <v>0.2</v>
      </c>
      <c r="D49" s="454">
        <f>IF(F45&gt;999999,(1000000-D48-D47),(MAX(F45-(D47+D48),0)))</f>
        <v>206311</v>
      </c>
      <c r="E49" s="453"/>
      <c r="F49" s="455">
        <f>C49*D49</f>
        <v>41262.200000000004</v>
      </c>
      <c r="G49" s="445"/>
      <c r="H49" s="445"/>
      <c r="I49" s="445"/>
      <c r="J49" s="445"/>
    </row>
    <row r="50" spans="2:10">
      <c r="B50" s="465" t="s">
        <v>3921</v>
      </c>
      <c r="C50" s="472">
        <v>0.3</v>
      </c>
      <c r="D50" s="454">
        <f>IF(F45&gt;999999,(F45-D47-D48-D49),(MAX(F45-(D47+D48+D49),0)))</f>
        <v>0</v>
      </c>
      <c r="E50" s="453"/>
      <c r="F50" s="455">
        <f>C50*D50</f>
        <v>0</v>
      </c>
      <c r="G50" s="445"/>
      <c r="H50" s="445"/>
      <c r="I50" s="445"/>
      <c r="J50" s="445"/>
    </row>
    <row r="51" spans="2:10">
      <c r="B51" s="465"/>
      <c r="C51" s="453"/>
      <c r="D51" s="454">
        <f>SUM(D47:D50)</f>
        <v>706311</v>
      </c>
      <c r="E51" s="453"/>
      <c r="F51" s="455"/>
      <c r="G51" s="445"/>
      <c r="H51" s="445"/>
      <c r="I51" s="445"/>
      <c r="J51" s="445"/>
    </row>
    <row r="52" spans="2:10">
      <c r="B52" s="465"/>
      <c r="C52" s="453"/>
      <c r="D52" s="454"/>
      <c r="E52" s="453"/>
      <c r="F52" s="455"/>
      <c r="G52" s="445"/>
      <c r="H52" s="445"/>
      <c r="I52" s="445"/>
      <c r="J52" s="445"/>
    </row>
    <row r="53" spans="2:10">
      <c r="B53" s="468" t="s">
        <v>3922</v>
      </c>
      <c r="C53" s="469"/>
      <c r="D53" s="470"/>
      <c r="E53" s="469"/>
      <c r="F53" s="471">
        <f>SUM(F47:F50)</f>
        <v>71262.200000000012</v>
      </c>
      <c r="G53" s="445"/>
      <c r="H53" s="445"/>
      <c r="I53" s="445"/>
      <c r="J53" s="445"/>
    </row>
    <row r="54" spans="2:10">
      <c r="B54" s="465" t="s">
        <v>3923</v>
      </c>
      <c r="C54" s="453"/>
      <c r="D54" s="454"/>
      <c r="E54" s="453"/>
      <c r="F54" s="455">
        <f>+F53*2%</f>
        <v>1425.2440000000004</v>
      </c>
      <c r="G54" s="445"/>
      <c r="H54" s="445"/>
      <c r="I54" s="445"/>
      <c r="J54" s="445"/>
    </row>
    <row r="55" spans="2:10">
      <c r="B55" s="465" t="s">
        <v>3924</v>
      </c>
      <c r="C55" s="453"/>
      <c r="D55" s="454"/>
      <c r="E55" s="453"/>
      <c r="F55" s="455">
        <f>F53*1%</f>
        <v>712.62200000000018</v>
      </c>
      <c r="G55" s="445"/>
      <c r="H55" s="445"/>
      <c r="I55" s="445"/>
      <c r="J55" s="445"/>
    </row>
    <row r="56" spans="2:10">
      <c r="B56" s="464" t="s">
        <v>3925</v>
      </c>
      <c r="C56" s="453"/>
      <c r="D56" s="454"/>
      <c r="E56" s="453"/>
      <c r="F56" s="463">
        <f>SUM(F53:F55)</f>
        <v>73400.066000000021</v>
      </c>
      <c r="G56" s="445"/>
      <c r="H56" s="445"/>
      <c r="I56" s="445"/>
      <c r="J56" s="445"/>
    </row>
    <row r="57" spans="2:10">
      <c r="B57" s="465"/>
      <c r="C57" s="453"/>
      <c r="D57" s="454"/>
      <c r="E57" s="453"/>
      <c r="F57" s="455"/>
      <c r="G57" s="445"/>
      <c r="H57" s="445"/>
      <c r="I57" s="445"/>
      <c r="J57" s="445"/>
    </row>
    <row r="58" spans="2:10">
      <c r="B58" s="473" t="s">
        <v>3926</v>
      </c>
      <c r="C58" s="469"/>
      <c r="D58" s="469"/>
      <c r="E58" s="469"/>
      <c r="F58" s="471">
        <v>73400</v>
      </c>
    </row>
    <row r="59" spans="2:10" ht="13.5" thickBot="1">
      <c r="B59" s="475" t="s">
        <v>3927</v>
      </c>
      <c r="C59" s="476"/>
      <c r="D59" s="477"/>
      <c r="E59" s="476"/>
      <c r="F59" s="478">
        <f>F56-F58</f>
        <v>6.6000000020721927E-2</v>
      </c>
    </row>
  </sheetData>
  <mergeCells count="3">
    <mergeCell ref="B1:F1"/>
    <mergeCell ref="B2:F2"/>
    <mergeCell ref="B3:F3"/>
  </mergeCells>
  <conditionalFormatting sqref="B51">
    <cfRule type="cellIs" dxfId="8" priority="1" stopIfTrue="1" operator="greaterThan">
      <formula>$D$48</formula>
    </cfRule>
    <cfRule type="cellIs" dxfId="7" priority="2" stopIfTrue="1" operator="greaterThan">
      <formula>$D$50</formula>
    </cfRule>
    <cfRule type="cellIs" dxfId="6" priority="3" stopIfTrue="1" operator="greaterThan">
      <formula>$D$47</formula>
    </cfRule>
  </conditionalFormatting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8C3A-AA03-467E-8368-5ACD0E0D00D1}">
  <sheetPr codeName="Sheet55">
    <tabColor rgb="FFFFC000"/>
  </sheetPr>
  <dimension ref="B1:J59"/>
  <sheetViews>
    <sheetView workbookViewId="0">
      <selection activeCell="J15" sqref="J15"/>
    </sheetView>
  </sheetViews>
  <sheetFormatPr defaultColWidth="9.140625" defaultRowHeight="12.75"/>
  <cols>
    <col min="1" max="1" width="3.42578125" style="446" customWidth="1"/>
    <col min="2" max="2" width="30.85546875" style="446" customWidth="1"/>
    <col min="3" max="3" width="5" style="474" customWidth="1"/>
    <col min="4" max="4" width="11.7109375" style="474" bestFit="1" customWidth="1"/>
    <col min="5" max="6" width="9.140625" style="474"/>
    <col min="7" max="7" width="10.28515625" style="474" customWidth="1"/>
    <col min="8" max="10" width="9.140625" style="474"/>
    <col min="11" max="16384" width="9.140625" style="446"/>
  </cols>
  <sheetData>
    <row r="1" spans="2:10">
      <c r="B1" s="689" t="s">
        <v>3932</v>
      </c>
      <c r="C1" s="689"/>
      <c r="D1" s="689"/>
      <c r="E1" s="689"/>
      <c r="F1" s="689"/>
      <c r="G1" s="445"/>
      <c r="H1" s="445"/>
      <c r="I1" s="445"/>
      <c r="J1" s="445"/>
    </row>
    <row r="2" spans="2:10">
      <c r="B2" s="689" t="s">
        <v>3930</v>
      </c>
      <c r="C2" s="689"/>
      <c r="D2" s="689"/>
      <c r="E2" s="689"/>
      <c r="F2" s="689"/>
      <c r="G2" s="445"/>
      <c r="H2" s="445"/>
      <c r="I2" s="445"/>
      <c r="J2" s="445"/>
    </row>
    <row r="3" spans="2:10" ht="13.5" thickBot="1">
      <c r="B3" s="690"/>
      <c r="C3" s="690"/>
      <c r="D3" s="690"/>
      <c r="E3" s="690"/>
      <c r="F3" s="690"/>
      <c r="G3" s="445"/>
      <c r="H3" s="445"/>
      <c r="I3" s="445"/>
      <c r="J3" s="445"/>
    </row>
    <row r="4" spans="2:10">
      <c r="B4" s="485" t="s">
        <v>3933</v>
      </c>
      <c r="C4" s="448"/>
      <c r="D4" s="449" t="s">
        <v>3934</v>
      </c>
      <c r="E4" s="450" t="s">
        <v>3935</v>
      </c>
      <c r="F4" s="451" t="s">
        <v>3936</v>
      </c>
      <c r="G4" s="445"/>
      <c r="H4" s="445"/>
      <c r="I4" s="445"/>
      <c r="J4" s="445"/>
    </row>
    <row r="5" spans="2:10">
      <c r="B5" s="480" t="s">
        <v>3885</v>
      </c>
      <c r="C5" s="453"/>
      <c r="D5" s="454">
        <v>28026</v>
      </c>
      <c r="E5" s="453">
        <v>335860</v>
      </c>
      <c r="F5" s="455"/>
      <c r="G5" s="445"/>
      <c r="H5" s="445"/>
      <c r="I5" s="445"/>
      <c r="J5" s="445"/>
    </row>
    <row r="6" spans="2:10">
      <c r="B6" s="480" t="s">
        <v>3886</v>
      </c>
      <c r="C6" s="453"/>
      <c r="D6" s="454">
        <v>2483</v>
      </c>
      <c r="E6" s="453">
        <v>29756</v>
      </c>
      <c r="F6" s="455"/>
      <c r="G6" s="445"/>
      <c r="H6" s="445"/>
      <c r="I6" s="445"/>
      <c r="J6" s="445"/>
    </row>
    <row r="7" spans="2:10">
      <c r="B7" s="480" t="s">
        <v>3887</v>
      </c>
      <c r="C7" s="453"/>
      <c r="D7" s="454">
        <v>2483</v>
      </c>
      <c r="E7" s="453">
        <v>29756</v>
      </c>
      <c r="F7" s="455"/>
      <c r="G7" s="456"/>
      <c r="H7" s="456"/>
      <c r="I7" s="456"/>
      <c r="J7" s="445"/>
    </row>
    <row r="8" spans="2:10">
      <c r="B8" s="480" t="s">
        <v>3888</v>
      </c>
      <c r="C8" s="453"/>
      <c r="D8" s="454">
        <v>2483</v>
      </c>
      <c r="E8" s="453">
        <v>29756</v>
      </c>
      <c r="F8" s="455"/>
      <c r="G8" s="456"/>
      <c r="H8" s="456"/>
      <c r="I8" s="456"/>
      <c r="J8" s="445"/>
    </row>
    <row r="9" spans="2:10">
      <c r="B9" s="480" t="s">
        <v>3889</v>
      </c>
      <c r="C9" s="453"/>
      <c r="D9" s="454">
        <v>0</v>
      </c>
      <c r="E9" s="453">
        <f>D9*12</f>
        <v>0</v>
      </c>
      <c r="F9" s="455"/>
      <c r="G9" s="456"/>
      <c r="H9" s="456"/>
      <c r="I9" s="456"/>
      <c r="J9" s="445"/>
    </row>
    <row r="10" spans="2:10">
      <c r="B10" s="480" t="s">
        <v>3890</v>
      </c>
      <c r="C10" s="453"/>
      <c r="D10" s="454">
        <v>0</v>
      </c>
      <c r="E10" s="453">
        <f>D10*12</f>
        <v>0</v>
      </c>
      <c r="F10" s="455"/>
      <c r="G10" s="456"/>
      <c r="H10" s="456"/>
      <c r="I10" s="456"/>
      <c r="J10" s="445"/>
    </row>
    <row r="11" spans="2:10">
      <c r="B11" s="480" t="s">
        <v>3891</v>
      </c>
      <c r="C11" s="453"/>
      <c r="D11" s="457">
        <v>0</v>
      </c>
      <c r="E11" s="453">
        <f>D11*12</f>
        <v>0</v>
      </c>
      <c r="F11" s="455"/>
      <c r="G11" s="445"/>
      <c r="H11" s="445"/>
      <c r="I11" s="445"/>
      <c r="J11" s="445"/>
    </row>
    <row r="12" spans="2:10">
      <c r="B12" s="481" t="s">
        <v>3892</v>
      </c>
      <c r="C12" s="453"/>
      <c r="D12" s="458"/>
      <c r="E12" s="453">
        <v>39569</v>
      </c>
      <c r="F12" s="455"/>
      <c r="G12" s="445"/>
      <c r="H12" s="445"/>
      <c r="I12" s="445"/>
      <c r="J12" s="445"/>
    </row>
    <row r="13" spans="2:10">
      <c r="B13" s="482" t="s">
        <v>3893</v>
      </c>
      <c r="C13" s="459"/>
      <c r="D13" s="459">
        <v>0</v>
      </c>
      <c r="E13" s="453">
        <f>D13*12</f>
        <v>0</v>
      </c>
      <c r="F13" s="455"/>
      <c r="G13" s="445"/>
      <c r="H13" s="445"/>
      <c r="I13" s="445"/>
      <c r="J13" s="445"/>
    </row>
    <row r="14" spans="2:10">
      <c r="B14" s="480" t="s">
        <v>3894</v>
      </c>
      <c r="C14" s="453"/>
      <c r="D14" s="454">
        <v>0</v>
      </c>
      <c r="E14" s="453">
        <f>25156+42016</f>
        <v>67172</v>
      </c>
      <c r="F14" s="455"/>
      <c r="G14" s="460"/>
      <c r="H14" s="445"/>
      <c r="I14" s="445"/>
      <c r="J14" s="445"/>
    </row>
    <row r="15" spans="2:10">
      <c r="B15" s="480" t="s">
        <v>3895</v>
      </c>
      <c r="C15" s="453"/>
      <c r="D15" s="454">
        <v>0</v>
      </c>
      <c r="E15" s="453">
        <f>D15*12</f>
        <v>0</v>
      </c>
      <c r="F15" s="455"/>
      <c r="G15" s="460"/>
      <c r="H15" s="445"/>
      <c r="I15" s="445"/>
      <c r="J15" s="445"/>
    </row>
    <row r="16" spans="2:10" s="441" customFormat="1">
      <c r="B16" s="483" t="s">
        <v>3896</v>
      </c>
      <c r="C16" s="448"/>
      <c r="D16" s="462">
        <f>SUM(D5:D15)</f>
        <v>35475</v>
      </c>
      <c r="E16" s="462">
        <f>SUM(E5:E15)</f>
        <v>531869</v>
      </c>
      <c r="F16" s="463"/>
      <c r="G16" s="460"/>
      <c r="H16" s="460"/>
      <c r="I16" s="460"/>
      <c r="J16" s="460"/>
    </row>
    <row r="17" spans="2:10">
      <c r="B17" s="484" t="s">
        <v>3897</v>
      </c>
      <c r="C17" s="453"/>
      <c r="D17" s="454"/>
      <c r="E17" s="453"/>
      <c r="F17" s="455"/>
      <c r="G17" s="445"/>
      <c r="H17" s="445"/>
      <c r="I17" s="445"/>
      <c r="J17" s="445"/>
    </row>
    <row r="18" spans="2:10">
      <c r="B18" s="480" t="s">
        <v>3898</v>
      </c>
      <c r="C18" s="453"/>
      <c r="D18" s="454"/>
      <c r="E18" s="453">
        <v>0</v>
      </c>
      <c r="F18" s="455" t="s">
        <v>3936</v>
      </c>
      <c r="G18" s="445"/>
      <c r="H18" s="445"/>
      <c r="I18" s="445"/>
      <c r="J18" s="445"/>
    </row>
    <row r="19" spans="2:10">
      <c r="B19" s="480" t="s">
        <v>3899</v>
      </c>
      <c r="C19" s="453"/>
      <c r="D19" s="454"/>
      <c r="E19" s="453">
        <f>D19*12</f>
        <v>0</v>
      </c>
      <c r="F19" s="455"/>
      <c r="G19" s="445"/>
      <c r="H19" s="445"/>
      <c r="I19" s="445"/>
      <c r="J19" s="445"/>
    </row>
    <row r="20" spans="2:10">
      <c r="B20" s="480" t="s">
        <v>3888</v>
      </c>
      <c r="C20" s="453"/>
      <c r="D20" s="454">
        <v>800</v>
      </c>
      <c r="E20" s="453">
        <f>D20*12</f>
        <v>9600</v>
      </c>
      <c r="F20" s="455"/>
      <c r="G20" s="445"/>
      <c r="H20" s="445"/>
      <c r="I20" s="445"/>
      <c r="J20" s="445"/>
    </row>
    <row r="21" spans="2:10">
      <c r="B21" s="480" t="s">
        <v>3900</v>
      </c>
      <c r="C21" s="453"/>
      <c r="D21" s="454">
        <v>0</v>
      </c>
      <c r="E21" s="453">
        <f>D21*12</f>
        <v>0</v>
      </c>
      <c r="F21" s="455"/>
      <c r="G21" s="445"/>
      <c r="H21" s="445"/>
      <c r="I21" s="445"/>
      <c r="J21" s="445"/>
    </row>
    <row r="22" spans="2:10">
      <c r="B22" s="480" t="s">
        <v>3891</v>
      </c>
      <c r="C22" s="453"/>
      <c r="D22" s="454">
        <v>0</v>
      </c>
      <c r="E22" s="453">
        <f>D22*12</f>
        <v>0</v>
      </c>
      <c r="F22" s="455"/>
      <c r="G22" s="467"/>
      <c r="H22" s="445"/>
      <c r="I22" s="445"/>
      <c r="J22" s="445"/>
    </row>
    <row r="23" spans="2:10">
      <c r="B23" s="480" t="s">
        <v>3901</v>
      </c>
      <c r="C23" s="453"/>
      <c r="D23" s="454">
        <v>0</v>
      </c>
      <c r="E23" s="453">
        <f>D23*12</f>
        <v>0</v>
      </c>
      <c r="F23" s="455"/>
      <c r="G23" s="467"/>
      <c r="H23" s="445"/>
      <c r="I23" s="445"/>
      <c r="J23" s="445"/>
    </row>
    <row r="24" spans="2:10">
      <c r="B24" s="483" t="s">
        <v>3902</v>
      </c>
      <c r="C24" s="453"/>
      <c r="D24" s="454" t="s">
        <v>3936</v>
      </c>
      <c r="E24" s="448">
        <f>SUM(E18:E23)</f>
        <v>9600</v>
      </c>
      <c r="F24" s="455"/>
      <c r="G24" s="445"/>
      <c r="H24" s="445"/>
      <c r="I24" s="445"/>
      <c r="J24" s="445"/>
    </row>
    <row r="25" spans="2:10">
      <c r="B25" s="480"/>
      <c r="C25" s="453"/>
      <c r="D25" s="454"/>
      <c r="E25" s="453"/>
      <c r="F25" s="455" t="s">
        <v>3936</v>
      </c>
      <c r="G25" s="445"/>
      <c r="H25" s="445"/>
      <c r="I25" s="445"/>
      <c r="J25" s="445"/>
    </row>
    <row r="26" spans="2:10">
      <c r="B26" s="484" t="s">
        <v>3937</v>
      </c>
      <c r="C26" s="453"/>
      <c r="D26" s="454"/>
      <c r="E26" s="453"/>
      <c r="F26" s="455"/>
      <c r="G26" s="445"/>
      <c r="H26" s="445"/>
      <c r="I26" s="445"/>
      <c r="J26" s="445"/>
    </row>
    <row r="27" spans="2:10">
      <c r="B27" s="480" t="s">
        <v>3903</v>
      </c>
      <c r="C27" s="453"/>
      <c r="D27" s="454">
        <v>200</v>
      </c>
      <c r="E27" s="448">
        <f>D27*12</f>
        <v>2400</v>
      </c>
      <c r="F27" s="455" t="s">
        <v>3936</v>
      </c>
      <c r="G27" s="445"/>
      <c r="H27" s="445"/>
      <c r="I27" s="445"/>
      <c r="J27" s="445"/>
    </row>
    <row r="28" spans="2:10">
      <c r="B28" s="480"/>
      <c r="C28" s="453"/>
      <c r="D28" s="454"/>
      <c r="E28" s="453"/>
      <c r="F28" s="455" t="s">
        <v>3936</v>
      </c>
      <c r="G28" s="445"/>
      <c r="H28" s="445"/>
      <c r="I28" s="445"/>
      <c r="J28" s="445"/>
    </row>
    <row r="29" spans="2:10">
      <c r="B29" s="484" t="s">
        <v>3904</v>
      </c>
      <c r="C29" s="453"/>
      <c r="D29" s="454"/>
      <c r="E29" s="448">
        <f>+E16-E24-E27</f>
        <v>519869</v>
      </c>
      <c r="F29" s="455" t="s">
        <v>3936</v>
      </c>
      <c r="G29" s="445"/>
      <c r="H29" s="445"/>
      <c r="I29" s="445"/>
      <c r="J29" s="445"/>
    </row>
    <row r="30" spans="2:10">
      <c r="B30" s="480"/>
      <c r="C30" s="453"/>
      <c r="D30" s="454"/>
      <c r="E30" s="453"/>
      <c r="F30" s="455"/>
      <c r="G30" s="445"/>
      <c r="H30" s="445"/>
      <c r="I30" s="445"/>
      <c r="J30" s="445"/>
    </row>
    <row r="31" spans="2:10">
      <c r="B31" s="484" t="s">
        <v>3905</v>
      </c>
      <c r="C31" s="453"/>
      <c r="D31" s="454"/>
      <c r="E31" s="453"/>
      <c r="F31" s="455"/>
      <c r="G31" s="445"/>
      <c r="H31" s="445"/>
      <c r="I31" s="445"/>
      <c r="J31" s="445"/>
    </row>
    <row r="32" spans="2:10">
      <c r="B32" s="480" t="s">
        <v>3906</v>
      </c>
      <c r="C32" s="453"/>
      <c r="D32" s="454"/>
      <c r="E32" s="453"/>
      <c r="F32" s="455"/>
      <c r="G32" s="445"/>
      <c r="H32" s="445"/>
      <c r="I32" s="445"/>
      <c r="J32" s="445"/>
    </row>
    <row r="33" spans="2:10">
      <c r="B33" s="480" t="s">
        <v>3907</v>
      </c>
      <c r="C33" s="453"/>
      <c r="D33" s="454">
        <v>46431</v>
      </c>
      <c r="E33" s="448"/>
      <c r="F33" s="455"/>
      <c r="G33" s="445"/>
      <c r="H33" s="445"/>
      <c r="I33" s="445"/>
      <c r="J33" s="445"/>
    </row>
    <row r="34" spans="2:10">
      <c r="B34" s="480" t="s">
        <v>3908</v>
      </c>
      <c r="C34" s="453"/>
      <c r="D34" s="454">
        <v>0</v>
      </c>
      <c r="E34" s="448">
        <f>SUM(D32:D34)</f>
        <v>46431</v>
      </c>
      <c r="F34" s="455"/>
      <c r="G34" s="445"/>
      <c r="H34" s="445"/>
      <c r="I34" s="445"/>
      <c r="J34" s="445"/>
    </row>
    <row r="35" spans="2:10">
      <c r="B35" s="480"/>
      <c r="C35" s="453"/>
      <c r="D35" s="454"/>
      <c r="E35" s="448"/>
      <c r="F35" s="455"/>
      <c r="G35" s="445"/>
      <c r="H35" s="445"/>
      <c r="I35" s="445"/>
      <c r="J35" s="445"/>
    </row>
    <row r="36" spans="2:10">
      <c r="B36" s="484" t="s">
        <v>3909</v>
      </c>
      <c r="C36" s="453"/>
      <c r="D36" s="454"/>
      <c r="E36" s="453"/>
      <c r="F36" s="455"/>
      <c r="G36" s="445"/>
      <c r="H36" s="445"/>
      <c r="I36" s="445"/>
      <c r="J36" s="445"/>
    </row>
    <row r="37" spans="2:10">
      <c r="B37" s="480" t="s">
        <v>3910</v>
      </c>
      <c r="C37" s="453"/>
      <c r="D37" s="454">
        <f>E5*0.12</f>
        <v>40303.199999999997</v>
      </c>
      <c r="E37" s="453"/>
      <c r="F37" s="455"/>
      <c r="G37" s="445"/>
      <c r="H37" s="445"/>
      <c r="I37" s="445"/>
      <c r="J37" s="445"/>
    </row>
    <row r="38" spans="2:10">
      <c r="B38" s="480" t="s">
        <v>3911</v>
      </c>
      <c r="C38" s="453"/>
      <c r="D38" s="454">
        <v>0</v>
      </c>
      <c r="E38" s="453"/>
      <c r="F38" s="455"/>
      <c r="G38" s="445"/>
      <c r="H38" s="445"/>
      <c r="I38" s="445"/>
      <c r="J38" s="445"/>
    </row>
    <row r="39" spans="2:10">
      <c r="B39" s="480" t="s">
        <v>3912</v>
      </c>
      <c r="C39" s="453"/>
      <c r="D39" s="454">
        <v>0</v>
      </c>
      <c r="E39" s="453"/>
      <c r="F39" s="455"/>
      <c r="G39" s="445"/>
      <c r="H39" s="445"/>
      <c r="I39" s="445"/>
      <c r="J39" s="445"/>
    </row>
    <row r="40" spans="2:10">
      <c r="B40" s="480" t="s">
        <v>3913</v>
      </c>
      <c r="C40" s="453"/>
      <c r="D40" s="454">
        <v>3321</v>
      </c>
      <c r="E40" s="453"/>
      <c r="F40" s="455"/>
      <c r="G40" s="445"/>
      <c r="H40" s="445"/>
      <c r="I40" s="445"/>
      <c r="J40" s="445"/>
    </row>
    <row r="41" spans="2:10">
      <c r="B41" s="480" t="s">
        <v>3914</v>
      </c>
      <c r="C41" s="453"/>
      <c r="D41" s="454">
        <v>50344</v>
      </c>
      <c r="E41" s="453"/>
      <c r="F41" s="455"/>
      <c r="G41" s="445"/>
      <c r="H41" s="445"/>
      <c r="I41" s="445"/>
      <c r="J41" s="445"/>
    </row>
    <row r="42" spans="2:10">
      <c r="B42" s="480" t="s">
        <v>3915</v>
      </c>
      <c r="C42" s="453"/>
      <c r="D42" s="454">
        <v>20300</v>
      </c>
      <c r="E42" s="453"/>
      <c r="F42" s="455"/>
      <c r="G42" s="445"/>
      <c r="H42" s="445"/>
      <c r="I42" s="445"/>
      <c r="J42" s="445"/>
    </row>
    <row r="43" spans="2:10">
      <c r="B43" s="480" t="s">
        <v>3916</v>
      </c>
      <c r="C43" s="453"/>
      <c r="D43" s="454">
        <v>0</v>
      </c>
      <c r="E43" s="448"/>
      <c r="F43" s="463"/>
      <c r="G43" s="445"/>
      <c r="H43" s="445"/>
      <c r="I43" s="445"/>
      <c r="J43" s="445"/>
    </row>
    <row r="44" spans="2:10">
      <c r="B44" s="480"/>
      <c r="C44" s="453"/>
      <c r="D44" s="462">
        <f>SUM(D37:D43)</f>
        <v>114268.2</v>
      </c>
      <c r="E44" s="448">
        <f>IF(SUM(D37:D43)&gt;=100000,100000,SUM(D37:D43))</f>
        <v>100000</v>
      </c>
      <c r="F44" s="463">
        <f>E34+E44</f>
        <v>146431</v>
      </c>
      <c r="G44" s="445"/>
      <c r="H44" s="445"/>
      <c r="I44" s="445"/>
      <c r="J44" s="445"/>
    </row>
    <row r="45" spans="2:10">
      <c r="B45" s="484" t="s">
        <v>3917</v>
      </c>
      <c r="C45" s="469"/>
      <c r="D45" s="470"/>
      <c r="E45" s="469"/>
      <c r="F45" s="471">
        <f>E29-F44</f>
        <v>373438</v>
      </c>
      <c r="G45" s="445"/>
      <c r="H45" s="445"/>
      <c r="I45" s="445"/>
      <c r="J45" s="445"/>
    </row>
    <row r="46" spans="2:10">
      <c r="B46" s="480"/>
      <c r="C46" s="453"/>
      <c r="D46" s="454"/>
      <c r="E46" s="453"/>
      <c r="F46" s="455"/>
      <c r="G46" s="445"/>
      <c r="H46" s="445"/>
      <c r="I46" s="445"/>
      <c r="J46" s="445"/>
    </row>
    <row r="47" spans="2:10">
      <c r="B47" s="480" t="s">
        <v>3918</v>
      </c>
      <c r="C47" s="472">
        <v>0</v>
      </c>
      <c r="D47" s="454">
        <f>IF(F45&gt;199999, 200000,F45)</f>
        <v>200000</v>
      </c>
      <c r="E47" s="453"/>
      <c r="F47" s="455">
        <f>C47*D47</f>
        <v>0</v>
      </c>
      <c r="G47" s="445"/>
      <c r="H47" s="445"/>
      <c r="I47" s="445"/>
      <c r="J47" s="445"/>
    </row>
    <row r="48" spans="2:10">
      <c r="B48" s="480" t="s">
        <v>3919</v>
      </c>
      <c r="C48" s="472">
        <v>0.1</v>
      </c>
      <c r="D48" s="454">
        <f>IF(F45&gt;499999,(500000-D47),(MAX(F45-D47,0)))</f>
        <v>173438</v>
      </c>
      <c r="E48" s="453"/>
      <c r="F48" s="455">
        <f>C48*D48</f>
        <v>17343.8</v>
      </c>
      <c r="G48" s="445"/>
      <c r="H48" s="445"/>
      <c r="I48" s="445"/>
      <c r="J48" s="445"/>
    </row>
    <row r="49" spans="2:10">
      <c r="B49" s="480" t="s">
        <v>3920</v>
      </c>
      <c r="C49" s="472">
        <v>0.2</v>
      </c>
      <c r="D49" s="454">
        <f>IF(F45&gt;999999,(1000000-D48-D47),(MAX(F45-(D47+D48),0)))</f>
        <v>0</v>
      </c>
      <c r="E49" s="453"/>
      <c r="F49" s="455">
        <f>C49*D49</f>
        <v>0</v>
      </c>
      <c r="G49" s="445"/>
      <c r="H49" s="445"/>
      <c r="I49" s="445"/>
      <c r="J49" s="445"/>
    </row>
    <row r="50" spans="2:10">
      <c r="B50" s="465" t="s">
        <v>3921</v>
      </c>
      <c r="C50" s="472">
        <v>0.3</v>
      </c>
      <c r="D50" s="454">
        <f>IF(F45&gt;999999,(F45-D47-D48-D49),(MAX(F45-(D47+D48+D49),0)))</f>
        <v>0</v>
      </c>
      <c r="E50" s="453"/>
      <c r="F50" s="455">
        <f>C50*D50</f>
        <v>0</v>
      </c>
      <c r="G50" s="445"/>
      <c r="H50" s="445"/>
      <c r="I50" s="445"/>
      <c r="J50" s="445"/>
    </row>
    <row r="51" spans="2:10">
      <c r="B51" s="465"/>
      <c r="C51" s="453"/>
      <c r="D51" s="454">
        <f>SUM(D47:D50)</f>
        <v>373438</v>
      </c>
      <c r="E51" s="453"/>
      <c r="F51" s="455"/>
      <c r="G51" s="445"/>
      <c r="H51" s="445"/>
      <c r="I51" s="445"/>
      <c r="J51" s="445"/>
    </row>
    <row r="52" spans="2:10">
      <c r="B52" s="465"/>
      <c r="C52" s="453"/>
      <c r="D52" s="454"/>
      <c r="E52" s="453"/>
      <c r="F52" s="455"/>
      <c r="G52" s="445"/>
      <c r="H52" s="445"/>
      <c r="I52" s="445"/>
      <c r="J52" s="445"/>
    </row>
    <row r="53" spans="2:10">
      <c r="B53" s="468" t="s">
        <v>3922</v>
      </c>
      <c r="C53" s="469"/>
      <c r="D53" s="470"/>
      <c r="E53" s="469"/>
      <c r="F53" s="471">
        <f>SUM(F47:F50)</f>
        <v>17343.8</v>
      </c>
      <c r="G53" s="445"/>
      <c r="H53" s="445"/>
      <c r="I53" s="445"/>
      <c r="J53" s="445"/>
    </row>
    <row r="54" spans="2:10">
      <c r="B54" s="465" t="s">
        <v>3923</v>
      </c>
      <c r="C54" s="453"/>
      <c r="D54" s="454"/>
      <c r="E54" s="453"/>
      <c r="F54" s="455">
        <f>+F53*2%</f>
        <v>346.87599999999998</v>
      </c>
      <c r="G54" s="445"/>
      <c r="H54" s="445"/>
      <c r="I54" s="445"/>
      <c r="J54" s="445"/>
    </row>
    <row r="55" spans="2:10">
      <c r="B55" s="465" t="s">
        <v>3924</v>
      </c>
      <c r="C55" s="453"/>
      <c r="D55" s="454"/>
      <c r="E55" s="453"/>
      <c r="F55" s="455">
        <f>F53*1%</f>
        <v>173.43799999999999</v>
      </c>
      <c r="G55" s="445"/>
      <c r="H55" s="445"/>
      <c r="I55" s="445"/>
      <c r="J55" s="445"/>
    </row>
    <row r="56" spans="2:10">
      <c r="B56" s="464" t="s">
        <v>3925</v>
      </c>
      <c r="C56" s="453"/>
      <c r="D56" s="454"/>
      <c r="E56" s="453"/>
      <c r="F56" s="463">
        <f>SUM(F53:F55)</f>
        <v>17864.113999999998</v>
      </c>
      <c r="G56" s="445"/>
      <c r="H56" s="445"/>
      <c r="I56" s="445"/>
      <c r="J56" s="445"/>
    </row>
    <row r="57" spans="2:10">
      <c r="B57" s="465"/>
      <c r="C57" s="453"/>
      <c r="D57" s="454"/>
      <c r="E57" s="453"/>
      <c r="F57" s="455"/>
      <c r="G57" s="445"/>
      <c r="H57" s="445"/>
      <c r="I57" s="445"/>
      <c r="J57" s="445"/>
    </row>
    <row r="58" spans="2:10">
      <c r="B58" s="473" t="s">
        <v>3926</v>
      </c>
      <c r="C58" s="469"/>
      <c r="D58" s="469"/>
      <c r="E58" s="469"/>
      <c r="F58" s="471">
        <v>17864</v>
      </c>
    </row>
    <row r="59" spans="2:10" ht="13.5" thickBot="1">
      <c r="B59" s="475" t="s">
        <v>3927</v>
      </c>
      <c r="C59" s="476"/>
      <c r="D59" s="477"/>
      <c r="E59" s="476"/>
      <c r="F59" s="478">
        <f>F56-F58</f>
        <v>0.11399999999775901</v>
      </c>
    </row>
  </sheetData>
  <mergeCells count="3">
    <mergeCell ref="B1:F1"/>
    <mergeCell ref="B2:F2"/>
    <mergeCell ref="B3:F3"/>
  </mergeCells>
  <conditionalFormatting sqref="B51">
    <cfRule type="cellIs" dxfId="5" priority="1" stopIfTrue="1" operator="greaterThan">
      <formula>$D$48</formula>
    </cfRule>
    <cfRule type="cellIs" dxfId="4" priority="2" stopIfTrue="1" operator="greaterThan">
      <formula>$D$50</formula>
    </cfRule>
    <cfRule type="cellIs" dxfId="3" priority="3" stopIfTrue="1" operator="greaterThan">
      <formula>$D$47</formula>
    </cfRule>
  </conditionalFormatting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EE44-E99E-48DF-ADDC-4224C0A98139}">
  <sheetPr codeName="Sheet56">
    <tabColor rgb="FFFFC000"/>
  </sheetPr>
  <dimension ref="B1:J59"/>
  <sheetViews>
    <sheetView workbookViewId="0">
      <selection activeCell="J15" sqref="J15"/>
    </sheetView>
  </sheetViews>
  <sheetFormatPr defaultColWidth="9.140625" defaultRowHeight="12.75"/>
  <cols>
    <col min="1" max="1" width="3.42578125" style="446" customWidth="1"/>
    <col min="2" max="2" width="30.85546875" style="446" customWidth="1"/>
    <col min="3" max="3" width="5" style="474" customWidth="1"/>
    <col min="4" max="4" width="11.7109375" style="474" bestFit="1" customWidth="1"/>
    <col min="5" max="6" width="9.140625" style="474"/>
    <col min="7" max="7" width="10.28515625" style="474" customWidth="1"/>
    <col min="8" max="10" width="9.140625" style="474"/>
    <col min="11" max="16384" width="9.140625" style="446"/>
  </cols>
  <sheetData>
    <row r="1" spans="2:10">
      <c r="B1" s="689" t="s">
        <v>3932</v>
      </c>
      <c r="C1" s="689"/>
      <c r="D1" s="689"/>
      <c r="E1" s="689"/>
      <c r="F1" s="689"/>
      <c r="G1" s="445"/>
      <c r="H1" s="445"/>
      <c r="I1" s="445"/>
      <c r="J1" s="445"/>
    </row>
    <row r="2" spans="2:10">
      <c r="B2" s="689" t="s">
        <v>3931</v>
      </c>
      <c r="C2" s="689"/>
      <c r="D2" s="689"/>
      <c r="E2" s="689"/>
      <c r="F2" s="689"/>
      <c r="G2" s="445"/>
      <c r="H2" s="445"/>
      <c r="I2" s="445"/>
      <c r="J2" s="445"/>
    </row>
    <row r="3" spans="2:10" ht="13.5" thickBot="1">
      <c r="B3" s="690"/>
      <c r="C3" s="690"/>
      <c r="D3" s="690"/>
      <c r="E3" s="690"/>
      <c r="F3" s="690"/>
      <c r="G3" s="445"/>
      <c r="H3" s="445"/>
      <c r="I3" s="445"/>
      <c r="J3" s="445"/>
    </row>
    <row r="4" spans="2:10">
      <c r="B4" s="485" t="s">
        <v>3933</v>
      </c>
      <c r="C4" s="448"/>
      <c r="D4" s="449" t="s">
        <v>3934</v>
      </c>
      <c r="E4" s="450" t="s">
        <v>3935</v>
      </c>
      <c r="F4" s="451" t="s">
        <v>3936</v>
      </c>
      <c r="G4" s="445"/>
      <c r="H4" s="445"/>
      <c r="I4" s="445"/>
      <c r="J4" s="445"/>
    </row>
    <row r="5" spans="2:10">
      <c r="B5" s="480" t="s">
        <v>3885</v>
      </c>
      <c r="C5" s="453"/>
      <c r="D5" s="454">
        <v>25000</v>
      </c>
      <c r="E5" s="453">
        <f t="shared" ref="E5:E11" si="0">D5*12</f>
        <v>300000</v>
      </c>
      <c r="F5" s="455"/>
      <c r="G5" s="445"/>
      <c r="H5" s="445"/>
      <c r="I5" s="445"/>
      <c r="J5" s="445"/>
    </row>
    <row r="6" spans="2:10">
      <c r="B6" s="480" t="s">
        <v>3886</v>
      </c>
      <c r="C6" s="453"/>
      <c r="D6" s="454">
        <v>2200</v>
      </c>
      <c r="E6" s="453">
        <f t="shared" si="0"/>
        <v>26400</v>
      </c>
      <c r="F6" s="455"/>
      <c r="G6" s="445"/>
      <c r="H6" s="445"/>
      <c r="I6" s="445"/>
      <c r="J6" s="445"/>
    </row>
    <row r="7" spans="2:10">
      <c r="B7" s="480" t="s">
        <v>3887</v>
      </c>
      <c r="C7" s="453"/>
      <c r="D7" s="454">
        <v>2000</v>
      </c>
      <c r="E7" s="453">
        <f t="shared" si="0"/>
        <v>24000</v>
      </c>
      <c r="F7" s="455"/>
      <c r="G7" s="456"/>
      <c r="H7" s="456"/>
      <c r="I7" s="456"/>
      <c r="J7" s="445"/>
    </row>
    <row r="8" spans="2:10">
      <c r="B8" s="480" t="s">
        <v>3888</v>
      </c>
      <c r="C8" s="453"/>
      <c r="D8" s="454">
        <v>2483</v>
      </c>
      <c r="E8" s="453">
        <f t="shared" si="0"/>
        <v>29796</v>
      </c>
      <c r="F8" s="455"/>
      <c r="G8" s="456"/>
      <c r="H8" s="456"/>
      <c r="I8" s="456"/>
      <c r="J8" s="445"/>
    </row>
    <row r="9" spans="2:10">
      <c r="B9" s="480" t="s">
        <v>3889</v>
      </c>
      <c r="C9" s="453"/>
      <c r="D9" s="454">
        <v>0</v>
      </c>
      <c r="E9" s="453">
        <f t="shared" si="0"/>
        <v>0</v>
      </c>
      <c r="F9" s="455"/>
      <c r="G9" s="456"/>
      <c r="H9" s="456"/>
      <c r="I9" s="456"/>
      <c r="J9" s="445"/>
    </row>
    <row r="10" spans="2:10">
      <c r="B10" s="480" t="s">
        <v>3890</v>
      </c>
      <c r="C10" s="453"/>
      <c r="D10" s="454">
        <v>0</v>
      </c>
      <c r="E10" s="453">
        <f t="shared" si="0"/>
        <v>0</v>
      </c>
      <c r="F10" s="455"/>
      <c r="G10" s="456"/>
      <c r="H10" s="456"/>
      <c r="I10" s="456"/>
      <c r="J10" s="445"/>
    </row>
    <row r="11" spans="2:10">
      <c r="B11" s="480" t="s">
        <v>3891</v>
      </c>
      <c r="C11" s="453"/>
      <c r="D11" s="457">
        <v>0</v>
      </c>
      <c r="E11" s="453">
        <f t="shared" si="0"/>
        <v>0</v>
      </c>
      <c r="F11" s="455"/>
      <c r="G11" s="445"/>
      <c r="H11" s="445"/>
      <c r="I11" s="445"/>
      <c r="J11" s="445"/>
    </row>
    <row r="12" spans="2:10">
      <c r="B12" s="481" t="s">
        <v>3892</v>
      </c>
      <c r="C12" s="453"/>
      <c r="D12" s="458"/>
      <c r="E12" s="453">
        <v>39569</v>
      </c>
      <c r="F12" s="455"/>
      <c r="G12" s="445"/>
      <c r="H12" s="445"/>
      <c r="I12" s="445"/>
      <c r="J12" s="445"/>
    </row>
    <row r="13" spans="2:10">
      <c r="B13" s="482" t="s">
        <v>3893</v>
      </c>
      <c r="C13" s="459"/>
      <c r="D13" s="459">
        <v>0</v>
      </c>
      <c r="E13" s="453">
        <f>D13*12</f>
        <v>0</v>
      </c>
      <c r="F13" s="455"/>
      <c r="G13" s="445"/>
      <c r="H13" s="445"/>
      <c r="I13" s="445"/>
      <c r="J13" s="445"/>
    </row>
    <row r="14" spans="2:10">
      <c r="B14" s="480" t="s">
        <v>3894</v>
      </c>
      <c r="C14" s="453"/>
      <c r="D14" s="454">
        <v>0</v>
      </c>
      <c r="E14" s="453">
        <f>25156+42016</f>
        <v>67172</v>
      </c>
      <c r="F14" s="455"/>
      <c r="G14" s="460"/>
      <c r="H14" s="445"/>
      <c r="I14" s="445"/>
      <c r="J14" s="445"/>
    </row>
    <row r="15" spans="2:10">
      <c r="B15" s="480" t="s">
        <v>3895</v>
      </c>
      <c r="C15" s="453"/>
      <c r="D15" s="454">
        <v>0</v>
      </c>
      <c r="E15" s="453">
        <f>D15*12</f>
        <v>0</v>
      </c>
      <c r="F15" s="455"/>
      <c r="G15" s="460"/>
      <c r="H15" s="445"/>
      <c r="I15" s="445"/>
      <c r="J15" s="445"/>
    </row>
    <row r="16" spans="2:10" s="441" customFormat="1">
      <c r="B16" s="483" t="s">
        <v>3896</v>
      </c>
      <c r="C16" s="448"/>
      <c r="D16" s="462">
        <f>SUM(D5:D15)</f>
        <v>31683</v>
      </c>
      <c r="E16" s="462">
        <f>SUM(E5:E15)</f>
        <v>486937</v>
      </c>
      <c r="F16" s="463"/>
      <c r="G16" s="460"/>
      <c r="H16" s="460"/>
      <c r="I16" s="460"/>
      <c r="J16" s="460"/>
    </row>
    <row r="17" spans="2:10">
      <c r="B17" s="484" t="s">
        <v>3897</v>
      </c>
      <c r="C17" s="453"/>
      <c r="D17" s="454"/>
      <c r="E17" s="453"/>
      <c r="F17" s="455"/>
      <c r="G17" s="445"/>
      <c r="H17" s="445"/>
      <c r="I17" s="445"/>
      <c r="J17" s="445"/>
    </row>
    <row r="18" spans="2:10">
      <c r="B18" s="480" t="s">
        <v>3898</v>
      </c>
      <c r="C18" s="453"/>
      <c r="D18" s="454"/>
      <c r="E18" s="453">
        <v>0</v>
      </c>
      <c r="F18" s="455" t="s">
        <v>3936</v>
      </c>
      <c r="G18" s="445"/>
      <c r="H18" s="445"/>
      <c r="I18" s="445"/>
      <c r="J18" s="445"/>
    </row>
    <row r="19" spans="2:10">
      <c r="B19" s="480" t="s">
        <v>3899</v>
      </c>
      <c r="C19" s="453"/>
      <c r="D19" s="454"/>
      <c r="E19" s="453">
        <f>D19*12</f>
        <v>0</v>
      </c>
      <c r="F19" s="455"/>
      <c r="G19" s="445"/>
      <c r="H19" s="445"/>
      <c r="I19" s="445"/>
      <c r="J19" s="445"/>
    </row>
    <row r="20" spans="2:10">
      <c r="B20" s="480" t="s">
        <v>3888</v>
      </c>
      <c r="C20" s="453"/>
      <c r="D20" s="454">
        <v>800</v>
      </c>
      <c r="E20" s="453">
        <f>D20*12</f>
        <v>9600</v>
      </c>
      <c r="F20" s="455"/>
      <c r="G20" s="445"/>
      <c r="H20" s="445"/>
      <c r="I20" s="445"/>
      <c r="J20" s="445"/>
    </row>
    <row r="21" spans="2:10">
      <c r="B21" s="480" t="s">
        <v>3900</v>
      </c>
      <c r="C21" s="453"/>
      <c r="D21" s="454">
        <v>0</v>
      </c>
      <c r="E21" s="453">
        <f>D21*12</f>
        <v>0</v>
      </c>
      <c r="F21" s="455"/>
      <c r="G21" s="445"/>
      <c r="H21" s="445"/>
      <c r="I21" s="445"/>
      <c r="J21" s="445"/>
    </row>
    <row r="22" spans="2:10">
      <c r="B22" s="480" t="s">
        <v>3891</v>
      </c>
      <c r="C22" s="453"/>
      <c r="D22" s="454">
        <v>0</v>
      </c>
      <c r="E22" s="453">
        <f>D22*12</f>
        <v>0</v>
      </c>
      <c r="F22" s="455"/>
      <c r="G22" s="467"/>
      <c r="H22" s="445"/>
      <c r="I22" s="445"/>
      <c r="J22" s="445"/>
    </row>
    <row r="23" spans="2:10">
      <c r="B23" s="480" t="s">
        <v>3901</v>
      </c>
      <c r="C23" s="453"/>
      <c r="D23" s="454">
        <v>0</v>
      </c>
      <c r="E23" s="453">
        <f>D23*12</f>
        <v>0</v>
      </c>
      <c r="F23" s="455"/>
      <c r="G23" s="467"/>
      <c r="H23" s="445"/>
      <c r="I23" s="445"/>
      <c r="J23" s="445"/>
    </row>
    <row r="24" spans="2:10">
      <c r="B24" s="483" t="s">
        <v>3902</v>
      </c>
      <c r="C24" s="453"/>
      <c r="D24" s="454" t="s">
        <v>3936</v>
      </c>
      <c r="E24" s="448">
        <f>SUM(E18:E23)</f>
        <v>9600</v>
      </c>
      <c r="F24" s="455"/>
      <c r="G24" s="445"/>
      <c r="H24" s="445"/>
      <c r="I24" s="445"/>
      <c r="J24" s="445"/>
    </row>
    <row r="25" spans="2:10">
      <c r="B25" s="480"/>
      <c r="C25" s="453"/>
      <c r="D25" s="454"/>
      <c r="E25" s="453"/>
      <c r="F25" s="455" t="s">
        <v>3936</v>
      </c>
      <c r="G25" s="445"/>
      <c r="H25" s="445"/>
      <c r="I25" s="445"/>
      <c r="J25" s="445"/>
    </row>
    <row r="26" spans="2:10">
      <c r="B26" s="484" t="s">
        <v>3937</v>
      </c>
      <c r="C26" s="453"/>
      <c r="D26" s="454"/>
      <c r="E26" s="453"/>
      <c r="F26" s="455"/>
      <c r="G26" s="445"/>
      <c r="H26" s="445"/>
      <c r="I26" s="445"/>
      <c r="J26" s="445"/>
    </row>
    <row r="27" spans="2:10">
      <c r="B27" s="480" t="s">
        <v>3903</v>
      </c>
      <c r="C27" s="453"/>
      <c r="D27" s="454">
        <v>200</v>
      </c>
      <c r="E27" s="448">
        <f>D27*12</f>
        <v>2400</v>
      </c>
      <c r="F27" s="455" t="s">
        <v>3936</v>
      </c>
      <c r="G27" s="445"/>
      <c r="H27" s="445"/>
      <c r="I27" s="445"/>
      <c r="J27" s="445"/>
    </row>
    <row r="28" spans="2:10">
      <c r="B28" s="480"/>
      <c r="C28" s="453"/>
      <c r="D28" s="454"/>
      <c r="E28" s="453"/>
      <c r="F28" s="455" t="s">
        <v>3936</v>
      </c>
      <c r="G28" s="445"/>
      <c r="H28" s="445"/>
      <c r="I28" s="445"/>
      <c r="J28" s="445"/>
    </row>
    <row r="29" spans="2:10">
      <c r="B29" s="484" t="s">
        <v>3904</v>
      </c>
      <c r="C29" s="453"/>
      <c r="D29" s="454"/>
      <c r="E29" s="448">
        <f>+E16-E24-E27</f>
        <v>474937</v>
      </c>
      <c r="F29" s="455" t="s">
        <v>3936</v>
      </c>
      <c r="G29" s="445"/>
      <c r="H29" s="445"/>
      <c r="I29" s="445"/>
      <c r="J29" s="445"/>
    </row>
    <row r="30" spans="2:10">
      <c r="B30" s="480"/>
      <c r="C30" s="453"/>
      <c r="D30" s="454"/>
      <c r="E30" s="453"/>
      <c r="F30" s="455"/>
      <c r="G30" s="445"/>
      <c r="H30" s="445"/>
      <c r="I30" s="445"/>
      <c r="J30" s="445"/>
    </row>
    <row r="31" spans="2:10">
      <c r="B31" s="484" t="s">
        <v>3905</v>
      </c>
      <c r="C31" s="453"/>
      <c r="D31" s="454"/>
      <c r="E31" s="453"/>
      <c r="F31" s="455"/>
      <c r="G31" s="445"/>
      <c r="H31" s="445"/>
      <c r="I31" s="445"/>
      <c r="J31" s="445"/>
    </row>
    <row r="32" spans="2:10">
      <c r="B32" s="480" t="s">
        <v>3906</v>
      </c>
      <c r="C32" s="453"/>
      <c r="D32" s="454"/>
      <c r="E32" s="453"/>
      <c r="F32" s="455"/>
      <c r="G32" s="445"/>
      <c r="H32" s="445"/>
      <c r="I32" s="445"/>
      <c r="J32" s="445"/>
    </row>
    <row r="33" spans="2:10">
      <c r="B33" s="480" t="s">
        <v>3907</v>
      </c>
      <c r="C33" s="453"/>
      <c r="D33" s="454">
        <v>46431</v>
      </c>
      <c r="E33" s="448"/>
      <c r="F33" s="455"/>
      <c r="G33" s="445"/>
      <c r="H33" s="445"/>
      <c r="I33" s="445"/>
      <c r="J33" s="445"/>
    </row>
    <row r="34" spans="2:10">
      <c r="B34" s="480" t="s">
        <v>3908</v>
      </c>
      <c r="C34" s="453"/>
      <c r="D34" s="454">
        <v>0</v>
      </c>
      <c r="E34" s="448">
        <f>SUM(D32:D34)</f>
        <v>46431</v>
      </c>
      <c r="F34" s="455"/>
      <c r="G34" s="445"/>
      <c r="H34" s="445"/>
      <c r="I34" s="445"/>
      <c r="J34" s="445"/>
    </row>
    <row r="35" spans="2:10">
      <c r="B35" s="480"/>
      <c r="C35" s="453"/>
      <c r="D35" s="454"/>
      <c r="E35" s="448"/>
      <c r="F35" s="455"/>
      <c r="G35" s="445"/>
      <c r="H35" s="445"/>
      <c r="I35" s="445"/>
      <c r="J35" s="445"/>
    </row>
    <row r="36" spans="2:10">
      <c r="B36" s="484" t="s">
        <v>3909</v>
      </c>
      <c r="C36" s="453"/>
      <c r="D36" s="454"/>
      <c r="E36" s="453"/>
      <c r="F36" s="455"/>
      <c r="G36" s="445"/>
      <c r="H36" s="445"/>
      <c r="I36" s="445"/>
      <c r="J36" s="445"/>
    </row>
    <row r="37" spans="2:10">
      <c r="B37" s="480" t="s">
        <v>3910</v>
      </c>
      <c r="C37" s="453"/>
      <c r="D37" s="454">
        <f>E5*0.12</f>
        <v>36000</v>
      </c>
      <c r="E37" s="453"/>
      <c r="F37" s="455"/>
      <c r="G37" s="445"/>
      <c r="H37" s="445"/>
      <c r="I37" s="445"/>
      <c r="J37" s="445"/>
    </row>
    <row r="38" spans="2:10">
      <c r="B38" s="465" t="s">
        <v>3911</v>
      </c>
      <c r="C38" s="453"/>
      <c r="D38" s="454">
        <v>0</v>
      </c>
      <c r="E38" s="453"/>
      <c r="F38" s="455"/>
      <c r="G38" s="445"/>
      <c r="H38" s="445"/>
      <c r="I38" s="445"/>
      <c r="J38" s="445"/>
    </row>
    <row r="39" spans="2:10">
      <c r="B39" s="465" t="s">
        <v>3912</v>
      </c>
      <c r="C39" s="453"/>
      <c r="D39" s="454">
        <v>0</v>
      </c>
      <c r="E39" s="453"/>
      <c r="F39" s="455"/>
      <c r="G39" s="445"/>
      <c r="H39" s="445"/>
      <c r="I39" s="445"/>
      <c r="J39" s="445"/>
    </row>
    <row r="40" spans="2:10">
      <c r="B40" s="452" t="s">
        <v>3913</v>
      </c>
      <c r="C40" s="453"/>
      <c r="D40" s="454">
        <v>3321</v>
      </c>
      <c r="E40" s="453"/>
      <c r="F40" s="455"/>
      <c r="G40" s="445"/>
      <c r="H40" s="445"/>
      <c r="I40" s="445"/>
      <c r="J40" s="445"/>
    </row>
    <row r="41" spans="2:10">
      <c r="B41" s="465" t="s">
        <v>3914</v>
      </c>
      <c r="C41" s="453"/>
      <c r="D41" s="454">
        <v>50344</v>
      </c>
      <c r="E41" s="453"/>
      <c r="F41" s="455"/>
      <c r="G41" s="445"/>
      <c r="H41" s="445"/>
      <c r="I41" s="445"/>
      <c r="J41" s="445"/>
    </row>
    <row r="42" spans="2:10">
      <c r="B42" s="465" t="s">
        <v>3915</v>
      </c>
      <c r="C42" s="453"/>
      <c r="D42" s="454">
        <v>20300</v>
      </c>
      <c r="E42" s="453"/>
      <c r="F42" s="455"/>
      <c r="G42" s="445"/>
      <c r="H42" s="445"/>
      <c r="I42" s="445"/>
      <c r="J42" s="445"/>
    </row>
    <row r="43" spans="2:10">
      <c r="B43" s="465" t="s">
        <v>3916</v>
      </c>
      <c r="C43" s="453"/>
      <c r="D43" s="454">
        <v>0</v>
      </c>
      <c r="E43" s="448"/>
      <c r="F43" s="463"/>
      <c r="G43" s="445"/>
      <c r="H43" s="445"/>
      <c r="I43" s="445"/>
      <c r="J43" s="445"/>
    </row>
    <row r="44" spans="2:10">
      <c r="B44" s="465"/>
      <c r="C44" s="453"/>
      <c r="D44" s="462">
        <f>SUM(D37:D43)</f>
        <v>109965</v>
      </c>
      <c r="E44" s="448">
        <f>IF(SUM(D37:D43)&gt;=100000,100000,SUM(D37:D43))</f>
        <v>100000</v>
      </c>
      <c r="F44" s="463">
        <f>E34+E44</f>
        <v>146431</v>
      </c>
      <c r="G44" s="445"/>
      <c r="H44" s="445"/>
      <c r="I44" s="445"/>
      <c r="J44" s="445"/>
    </row>
    <row r="45" spans="2:10">
      <c r="B45" s="468" t="s">
        <v>3917</v>
      </c>
      <c r="C45" s="469"/>
      <c r="D45" s="470"/>
      <c r="E45" s="469"/>
      <c r="F45" s="471">
        <f>E29-F44</f>
        <v>328506</v>
      </c>
      <c r="G45" s="445"/>
      <c r="H45" s="445"/>
      <c r="I45" s="445"/>
      <c r="J45" s="445"/>
    </row>
    <row r="46" spans="2:10">
      <c r="B46" s="465"/>
      <c r="C46" s="453"/>
      <c r="D46" s="454"/>
      <c r="E46" s="453"/>
      <c r="F46" s="455"/>
      <c r="G46" s="445"/>
      <c r="H46" s="445"/>
      <c r="I46" s="445"/>
      <c r="J46" s="445"/>
    </row>
    <row r="47" spans="2:10">
      <c r="B47" s="465" t="s">
        <v>3918</v>
      </c>
      <c r="C47" s="472">
        <v>0</v>
      </c>
      <c r="D47" s="454">
        <f>IF(F45&gt;199999, 200000,F45)</f>
        <v>200000</v>
      </c>
      <c r="E47" s="453"/>
      <c r="F47" s="455">
        <f>C47*D47</f>
        <v>0</v>
      </c>
      <c r="G47" s="445"/>
      <c r="H47" s="445"/>
      <c r="I47" s="445"/>
      <c r="J47" s="445"/>
    </row>
    <row r="48" spans="2:10">
      <c r="B48" s="465" t="s">
        <v>3919</v>
      </c>
      <c r="C48" s="472">
        <v>0.1</v>
      </c>
      <c r="D48" s="454">
        <f>IF(F45&gt;499999,(500000-D47),(MAX(F45-D47,0)))</f>
        <v>128506</v>
      </c>
      <c r="E48" s="453"/>
      <c r="F48" s="455">
        <f>C48*D48</f>
        <v>12850.6</v>
      </c>
      <c r="G48" s="445"/>
      <c r="H48" s="445"/>
      <c r="I48" s="445"/>
      <c r="J48" s="445"/>
    </row>
    <row r="49" spans="2:10">
      <c r="B49" s="465" t="s">
        <v>3920</v>
      </c>
      <c r="C49" s="472">
        <v>0.2</v>
      </c>
      <c r="D49" s="454">
        <f>IF(F45&gt;999999,(1000000-D48-D47),(MAX(F45-(D47+D48),0)))</f>
        <v>0</v>
      </c>
      <c r="E49" s="453"/>
      <c r="F49" s="455">
        <f>C49*D49</f>
        <v>0</v>
      </c>
      <c r="G49" s="445"/>
      <c r="H49" s="445"/>
      <c r="I49" s="445"/>
      <c r="J49" s="445"/>
    </row>
    <row r="50" spans="2:10">
      <c r="B50" s="465" t="s">
        <v>3921</v>
      </c>
      <c r="C50" s="472">
        <v>0.3</v>
      </c>
      <c r="D50" s="454">
        <f>IF(F45&gt;999999,(F45-D47-D48-D49),(MAX(F45-(D47+D48+D49),0)))</f>
        <v>0</v>
      </c>
      <c r="E50" s="453"/>
      <c r="F50" s="455">
        <f>C50*D50</f>
        <v>0</v>
      </c>
      <c r="G50" s="445"/>
      <c r="H50" s="445"/>
      <c r="I50" s="445"/>
      <c r="J50" s="445"/>
    </row>
    <row r="51" spans="2:10">
      <c r="B51" s="465"/>
      <c r="C51" s="453"/>
      <c r="D51" s="454">
        <f>SUM(D47:D50)</f>
        <v>328506</v>
      </c>
      <c r="E51" s="453"/>
      <c r="F51" s="455"/>
      <c r="G51" s="445"/>
      <c r="H51" s="445"/>
      <c r="I51" s="445"/>
      <c r="J51" s="445"/>
    </row>
    <row r="52" spans="2:10">
      <c r="B52" s="465"/>
      <c r="C52" s="453"/>
      <c r="D52" s="454"/>
      <c r="E52" s="453"/>
      <c r="F52" s="455"/>
      <c r="G52" s="445"/>
      <c r="H52" s="445"/>
      <c r="I52" s="445"/>
      <c r="J52" s="445"/>
    </row>
    <row r="53" spans="2:10">
      <c r="B53" s="468" t="s">
        <v>3922</v>
      </c>
      <c r="C53" s="469"/>
      <c r="D53" s="470"/>
      <c r="E53" s="469"/>
      <c r="F53" s="471">
        <f>SUM(F47:F50)</f>
        <v>12850.6</v>
      </c>
      <c r="G53" s="445"/>
      <c r="H53" s="445"/>
      <c r="I53" s="445"/>
      <c r="J53" s="445"/>
    </row>
    <row r="54" spans="2:10">
      <c r="B54" s="465" t="s">
        <v>3923</v>
      </c>
      <c r="C54" s="453"/>
      <c r="D54" s="454"/>
      <c r="E54" s="453"/>
      <c r="F54" s="455">
        <f>+F53*2%</f>
        <v>257.012</v>
      </c>
      <c r="G54" s="445"/>
      <c r="H54" s="445"/>
      <c r="I54" s="445"/>
      <c r="J54" s="445"/>
    </row>
    <row r="55" spans="2:10">
      <c r="B55" s="465" t="s">
        <v>3924</v>
      </c>
      <c r="C55" s="453"/>
      <c r="D55" s="454"/>
      <c r="E55" s="453"/>
      <c r="F55" s="455">
        <f>F53*1%</f>
        <v>128.506</v>
      </c>
      <c r="G55" s="445"/>
      <c r="H55" s="445"/>
      <c r="I55" s="445"/>
      <c r="J55" s="445"/>
    </row>
    <row r="56" spans="2:10">
      <c r="B56" s="464" t="s">
        <v>3925</v>
      </c>
      <c r="C56" s="453"/>
      <c r="D56" s="454"/>
      <c r="E56" s="453"/>
      <c r="F56" s="463">
        <f>SUM(F53:F55)</f>
        <v>13236.118</v>
      </c>
      <c r="G56" s="445"/>
      <c r="H56" s="445"/>
      <c r="I56" s="445"/>
      <c r="J56" s="445"/>
    </row>
    <row r="57" spans="2:10">
      <c r="B57" s="465"/>
      <c r="C57" s="453"/>
      <c r="D57" s="454"/>
      <c r="E57" s="453"/>
      <c r="F57" s="455"/>
      <c r="G57" s="445"/>
      <c r="H57" s="445"/>
      <c r="I57" s="445"/>
      <c r="J57" s="445"/>
    </row>
    <row r="58" spans="2:10">
      <c r="B58" s="473" t="s">
        <v>3926</v>
      </c>
      <c r="C58" s="469"/>
      <c r="D58" s="469"/>
      <c r="E58" s="469"/>
      <c r="F58" s="471">
        <v>17864</v>
      </c>
    </row>
    <row r="59" spans="2:10" ht="13.5" thickBot="1">
      <c r="B59" s="475" t="s">
        <v>3927</v>
      </c>
      <c r="C59" s="476"/>
      <c r="D59" s="477"/>
      <c r="E59" s="476"/>
      <c r="F59" s="478">
        <f>F56-F58</f>
        <v>-4627.8819999999996</v>
      </c>
    </row>
  </sheetData>
  <mergeCells count="3">
    <mergeCell ref="B1:F1"/>
    <mergeCell ref="B2:F2"/>
    <mergeCell ref="B3:F3"/>
  </mergeCells>
  <conditionalFormatting sqref="B51">
    <cfRule type="cellIs" dxfId="2" priority="1" stopIfTrue="1" operator="greaterThan">
      <formula>$D$48</formula>
    </cfRule>
    <cfRule type="cellIs" dxfId="1" priority="2" stopIfTrue="1" operator="greaterThan">
      <formula>$D$50</formula>
    </cfRule>
    <cfRule type="cellIs" dxfId="0" priority="3" stopIfTrue="1" operator="greaterThan">
      <formula>$D$47</formula>
    </cfRule>
  </conditionalFormatting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57">
    <tabColor rgb="FF00B050"/>
    <pageSetUpPr autoPageBreaks="0"/>
  </sheetPr>
  <dimension ref="A1:J23"/>
  <sheetViews>
    <sheetView showGridLines="0" zoomScale="85" workbookViewId="0">
      <pane xSplit="1" ySplit="2" topLeftCell="B13" activePane="bottomRight" state="frozen"/>
      <selection activeCell="J15" sqref="J15"/>
      <selection pane="topRight" activeCell="J15" sqref="J15"/>
      <selection pane="bottomLeft" activeCell="J15" sqref="J15"/>
      <selection pane="bottomRight" activeCell="H16" sqref="H16"/>
    </sheetView>
  </sheetViews>
  <sheetFormatPr defaultRowHeight="12.75"/>
  <cols>
    <col min="1" max="1" width="5.5703125" style="168" bestFit="1" customWidth="1"/>
    <col min="2" max="2" width="30.7109375" style="248" customWidth="1"/>
    <col min="3" max="3" width="40.5703125" style="248" customWidth="1"/>
    <col min="4" max="4" width="54.7109375" style="248" customWidth="1"/>
    <col min="5" max="5" width="51.5703125" style="248" customWidth="1"/>
    <col min="6" max="6" width="12.140625" style="168" bestFit="1" customWidth="1"/>
    <col min="7" max="256" width="9.140625" style="168"/>
    <col min="257" max="257" width="5.5703125" style="168" bestFit="1" customWidth="1"/>
    <col min="258" max="258" width="30.7109375" style="168" customWidth="1"/>
    <col min="259" max="259" width="40.5703125" style="168" customWidth="1"/>
    <col min="260" max="260" width="54.7109375" style="168" customWidth="1"/>
    <col min="261" max="261" width="51.5703125" style="168" customWidth="1"/>
    <col min="262" max="262" width="12.140625" style="168" bestFit="1" customWidth="1"/>
    <col min="263" max="512" width="9.140625" style="168"/>
    <col min="513" max="513" width="5.5703125" style="168" bestFit="1" customWidth="1"/>
    <col min="514" max="514" width="30.7109375" style="168" customWidth="1"/>
    <col min="515" max="515" width="40.5703125" style="168" customWidth="1"/>
    <col min="516" max="516" width="54.7109375" style="168" customWidth="1"/>
    <col min="517" max="517" width="51.5703125" style="168" customWidth="1"/>
    <col min="518" max="518" width="12.140625" style="168" bestFit="1" customWidth="1"/>
    <col min="519" max="768" width="9.140625" style="168"/>
    <col min="769" max="769" width="5.5703125" style="168" bestFit="1" customWidth="1"/>
    <col min="770" max="770" width="30.7109375" style="168" customWidth="1"/>
    <col min="771" max="771" width="40.5703125" style="168" customWidth="1"/>
    <col min="772" max="772" width="54.7109375" style="168" customWidth="1"/>
    <col min="773" max="773" width="51.5703125" style="168" customWidth="1"/>
    <col min="774" max="774" width="12.140625" style="168" bestFit="1" customWidth="1"/>
    <col min="775" max="1024" width="9.140625" style="168"/>
    <col min="1025" max="1025" width="5.5703125" style="168" bestFit="1" customWidth="1"/>
    <col min="1026" max="1026" width="30.7109375" style="168" customWidth="1"/>
    <col min="1027" max="1027" width="40.5703125" style="168" customWidth="1"/>
    <col min="1028" max="1028" width="54.7109375" style="168" customWidth="1"/>
    <col min="1029" max="1029" width="51.5703125" style="168" customWidth="1"/>
    <col min="1030" max="1030" width="12.140625" style="168" bestFit="1" customWidth="1"/>
    <col min="1031" max="1280" width="9.140625" style="168"/>
    <col min="1281" max="1281" width="5.5703125" style="168" bestFit="1" customWidth="1"/>
    <col min="1282" max="1282" width="30.7109375" style="168" customWidth="1"/>
    <col min="1283" max="1283" width="40.5703125" style="168" customWidth="1"/>
    <col min="1284" max="1284" width="54.7109375" style="168" customWidth="1"/>
    <col min="1285" max="1285" width="51.5703125" style="168" customWidth="1"/>
    <col min="1286" max="1286" width="12.140625" style="168" bestFit="1" customWidth="1"/>
    <col min="1287" max="1536" width="9.140625" style="168"/>
    <col min="1537" max="1537" width="5.5703125" style="168" bestFit="1" customWidth="1"/>
    <col min="1538" max="1538" width="30.7109375" style="168" customWidth="1"/>
    <col min="1539" max="1539" width="40.5703125" style="168" customWidth="1"/>
    <col min="1540" max="1540" width="54.7109375" style="168" customWidth="1"/>
    <col min="1541" max="1541" width="51.5703125" style="168" customWidth="1"/>
    <col min="1542" max="1542" width="12.140625" style="168" bestFit="1" customWidth="1"/>
    <col min="1543" max="1792" width="9.140625" style="168"/>
    <col min="1793" max="1793" width="5.5703125" style="168" bestFit="1" customWidth="1"/>
    <col min="1794" max="1794" width="30.7109375" style="168" customWidth="1"/>
    <col min="1795" max="1795" width="40.5703125" style="168" customWidth="1"/>
    <col min="1796" max="1796" width="54.7109375" style="168" customWidth="1"/>
    <col min="1797" max="1797" width="51.5703125" style="168" customWidth="1"/>
    <col min="1798" max="1798" width="12.140625" style="168" bestFit="1" customWidth="1"/>
    <col min="1799" max="2048" width="9.140625" style="168"/>
    <col min="2049" max="2049" width="5.5703125" style="168" bestFit="1" customWidth="1"/>
    <col min="2050" max="2050" width="30.7109375" style="168" customWidth="1"/>
    <col min="2051" max="2051" width="40.5703125" style="168" customWidth="1"/>
    <col min="2052" max="2052" width="54.7109375" style="168" customWidth="1"/>
    <col min="2053" max="2053" width="51.5703125" style="168" customWidth="1"/>
    <col min="2054" max="2054" width="12.140625" style="168" bestFit="1" customWidth="1"/>
    <col min="2055" max="2304" width="9.140625" style="168"/>
    <col min="2305" max="2305" width="5.5703125" style="168" bestFit="1" customWidth="1"/>
    <col min="2306" max="2306" width="30.7109375" style="168" customWidth="1"/>
    <col min="2307" max="2307" width="40.5703125" style="168" customWidth="1"/>
    <col min="2308" max="2308" width="54.7109375" style="168" customWidth="1"/>
    <col min="2309" max="2309" width="51.5703125" style="168" customWidth="1"/>
    <col min="2310" max="2310" width="12.140625" style="168" bestFit="1" customWidth="1"/>
    <col min="2311" max="2560" width="9.140625" style="168"/>
    <col min="2561" max="2561" width="5.5703125" style="168" bestFit="1" customWidth="1"/>
    <col min="2562" max="2562" width="30.7109375" style="168" customWidth="1"/>
    <col min="2563" max="2563" width="40.5703125" style="168" customWidth="1"/>
    <col min="2564" max="2564" width="54.7109375" style="168" customWidth="1"/>
    <col min="2565" max="2565" width="51.5703125" style="168" customWidth="1"/>
    <col min="2566" max="2566" width="12.140625" style="168" bestFit="1" customWidth="1"/>
    <col min="2567" max="2816" width="9.140625" style="168"/>
    <col min="2817" max="2817" width="5.5703125" style="168" bestFit="1" customWidth="1"/>
    <col min="2818" max="2818" width="30.7109375" style="168" customWidth="1"/>
    <col min="2819" max="2819" width="40.5703125" style="168" customWidth="1"/>
    <col min="2820" max="2820" width="54.7109375" style="168" customWidth="1"/>
    <col min="2821" max="2821" width="51.5703125" style="168" customWidth="1"/>
    <col min="2822" max="2822" width="12.140625" style="168" bestFit="1" customWidth="1"/>
    <col min="2823" max="3072" width="9.140625" style="168"/>
    <col min="3073" max="3073" width="5.5703125" style="168" bestFit="1" customWidth="1"/>
    <col min="3074" max="3074" width="30.7109375" style="168" customWidth="1"/>
    <col min="3075" max="3075" width="40.5703125" style="168" customWidth="1"/>
    <col min="3076" max="3076" width="54.7109375" style="168" customWidth="1"/>
    <col min="3077" max="3077" width="51.5703125" style="168" customWidth="1"/>
    <col min="3078" max="3078" width="12.140625" style="168" bestFit="1" customWidth="1"/>
    <col min="3079" max="3328" width="9.140625" style="168"/>
    <col min="3329" max="3329" width="5.5703125" style="168" bestFit="1" customWidth="1"/>
    <col min="3330" max="3330" width="30.7109375" style="168" customWidth="1"/>
    <col min="3331" max="3331" width="40.5703125" style="168" customWidth="1"/>
    <col min="3332" max="3332" width="54.7109375" style="168" customWidth="1"/>
    <col min="3333" max="3333" width="51.5703125" style="168" customWidth="1"/>
    <col min="3334" max="3334" width="12.140625" style="168" bestFit="1" customWidth="1"/>
    <col min="3335" max="3584" width="9.140625" style="168"/>
    <col min="3585" max="3585" width="5.5703125" style="168" bestFit="1" customWidth="1"/>
    <col min="3586" max="3586" width="30.7109375" style="168" customWidth="1"/>
    <col min="3587" max="3587" width="40.5703125" style="168" customWidth="1"/>
    <col min="3588" max="3588" width="54.7109375" style="168" customWidth="1"/>
    <col min="3589" max="3589" width="51.5703125" style="168" customWidth="1"/>
    <col min="3590" max="3590" width="12.140625" style="168" bestFit="1" customWidth="1"/>
    <col min="3591" max="3840" width="9.140625" style="168"/>
    <col min="3841" max="3841" width="5.5703125" style="168" bestFit="1" customWidth="1"/>
    <col min="3842" max="3842" width="30.7109375" style="168" customWidth="1"/>
    <col min="3843" max="3843" width="40.5703125" style="168" customWidth="1"/>
    <col min="3844" max="3844" width="54.7109375" style="168" customWidth="1"/>
    <col min="3845" max="3845" width="51.5703125" style="168" customWidth="1"/>
    <col min="3846" max="3846" width="12.140625" style="168" bestFit="1" customWidth="1"/>
    <col min="3847" max="4096" width="9.140625" style="168"/>
    <col min="4097" max="4097" width="5.5703125" style="168" bestFit="1" customWidth="1"/>
    <col min="4098" max="4098" width="30.7109375" style="168" customWidth="1"/>
    <col min="4099" max="4099" width="40.5703125" style="168" customWidth="1"/>
    <col min="4100" max="4100" width="54.7109375" style="168" customWidth="1"/>
    <col min="4101" max="4101" width="51.5703125" style="168" customWidth="1"/>
    <col min="4102" max="4102" width="12.140625" style="168" bestFit="1" customWidth="1"/>
    <col min="4103" max="4352" width="9.140625" style="168"/>
    <col min="4353" max="4353" width="5.5703125" style="168" bestFit="1" customWidth="1"/>
    <col min="4354" max="4354" width="30.7109375" style="168" customWidth="1"/>
    <col min="4355" max="4355" width="40.5703125" style="168" customWidth="1"/>
    <col min="4356" max="4356" width="54.7109375" style="168" customWidth="1"/>
    <col min="4357" max="4357" width="51.5703125" style="168" customWidth="1"/>
    <col min="4358" max="4358" width="12.140625" style="168" bestFit="1" customWidth="1"/>
    <col min="4359" max="4608" width="9.140625" style="168"/>
    <col min="4609" max="4609" width="5.5703125" style="168" bestFit="1" customWidth="1"/>
    <col min="4610" max="4610" width="30.7109375" style="168" customWidth="1"/>
    <col min="4611" max="4611" width="40.5703125" style="168" customWidth="1"/>
    <col min="4612" max="4612" width="54.7109375" style="168" customWidth="1"/>
    <col min="4613" max="4613" width="51.5703125" style="168" customWidth="1"/>
    <col min="4614" max="4614" width="12.140625" style="168" bestFit="1" customWidth="1"/>
    <col min="4615" max="4864" width="9.140625" style="168"/>
    <col min="4865" max="4865" width="5.5703125" style="168" bestFit="1" customWidth="1"/>
    <col min="4866" max="4866" width="30.7109375" style="168" customWidth="1"/>
    <col min="4867" max="4867" width="40.5703125" style="168" customWidth="1"/>
    <col min="4868" max="4868" width="54.7109375" style="168" customWidth="1"/>
    <col min="4869" max="4869" width="51.5703125" style="168" customWidth="1"/>
    <col min="4870" max="4870" width="12.140625" style="168" bestFit="1" customWidth="1"/>
    <col min="4871" max="5120" width="9.140625" style="168"/>
    <col min="5121" max="5121" width="5.5703125" style="168" bestFit="1" customWidth="1"/>
    <col min="5122" max="5122" width="30.7109375" style="168" customWidth="1"/>
    <col min="5123" max="5123" width="40.5703125" style="168" customWidth="1"/>
    <col min="5124" max="5124" width="54.7109375" style="168" customWidth="1"/>
    <col min="5125" max="5125" width="51.5703125" style="168" customWidth="1"/>
    <col min="5126" max="5126" width="12.140625" style="168" bestFit="1" customWidth="1"/>
    <col min="5127" max="5376" width="9.140625" style="168"/>
    <col min="5377" max="5377" width="5.5703125" style="168" bestFit="1" customWidth="1"/>
    <col min="5378" max="5378" width="30.7109375" style="168" customWidth="1"/>
    <col min="5379" max="5379" width="40.5703125" style="168" customWidth="1"/>
    <col min="5380" max="5380" width="54.7109375" style="168" customWidth="1"/>
    <col min="5381" max="5381" width="51.5703125" style="168" customWidth="1"/>
    <col min="5382" max="5382" width="12.140625" style="168" bestFit="1" customWidth="1"/>
    <col min="5383" max="5632" width="9.140625" style="168"/>
    <col min="5633" max="5633" width="5.5703125" style="168" bestFit="1" customWidth="1"/>
    <col min="5634" max="5634" width="30.7109375" style="168" customWidth="1"/>
    <col min="5635" max="5635" width="40.5703125" style="168" customWidth="1"/>
    <col min="5636" max="5636" width="54.7109375" style="168" customWidth="1"/>
    <col min="5637" max="5637" width="51.5703125" style="168" customWidth="1"/>
    <col min="5638" max="5638" width="12.140625" style="168" bestFit="1" customWidth="1"/>
    <col min="5639" max="5888" width="9.140625" style="168"/>
    <col min="5889" max="5889" width="5.5703125" style="168" bestFit="1" customWidth="1"/>
    <col min="5890" max="5890" width="30.7109375" style="168" customWidth="1"/>
    <col min="5891" max="5891" width="40.5703125" style="168" customWidth="1"/>
    <col min="5892" max="5892" width="54.7109375" style="168" customWidth="1"/>
    <col min="5893" max="5893" width="51.5703125" style="168" customWidth="1"/>
    <col min="5894" max="5894" width="12.140625" style="168" bestFit="1" customWidth="1"/>
    <col min="5895" max="6144" width="9.140625" style="168"/>
    <col min="6145" max="6145" width="5.5703125" style="168" bestFit="1" customWidth="1"/>
    <col min="6146" max="6146" width="30.7109375" style="168" customWidth="1"/>
    <col min="6147" max="6147" width="40.5703125" style="168" customWidth="1"/>
    <col min="6148" max="6148" width="54.7109375" style="168" customWidth="1"/>
    <col min="6149" max="6149" width="51.5703125" style="168" customWidth="1"/>
    <col min="6150" max="6150" width="12.140625" style="168" bestFit="1" customWidth="1"/>
    <col min="6151" max="6400" width="9.140625" style="168"/>
    <col min="6401" max="6401" width="5.5703125" style="168" bestFit="1" customWidth="1"/>
    <col min="6402" max="6402" width="30.7109375" style="168" customWidth="1"/>
    <col min="6403" max="6403" width="40.5703125" style="168" customWidth="1"/>
    <col min="6404" max="6404" width="54.7109375" style="168" customWidth="1"/>
    <col min="6405" max="6405" width="51.5703125" style="168" customWidth="1"/>
    <col min="6406" max="6406" width="12.140625" style="168" bestFit="1" customWidth="1"/>
    <col min="6407" max="6656" width="9.140625" style="168"/>
    <col min="6657" max="6657" width="5.5703125" style="168" bestFit="1" customWidth="1"/>
    <col min="6658" max="6658" width="30.7109375" style="168" customWidth="1"/>
    <col min="6659" max="6659" width="40.5703125" style="168" customWidth="1"/>
    <col min="6660" max="6660" width="54.7109375" style="168" customWidth="1"/>
    <col min="6661" max="6661" width="51.5703125" style="168" customWidth="1"/>
    <col min="6662" max="6662" width="12.140625" style="168" bestFit="1" customWidth="1"/>
    <col min="6663" max="6912" width="9.140625" style="168"/>
    <col min="6913" max="6913" width="5.5703125" style="168" bestFit="1" customWidth="1"/>
    <col min="6914" max="6914" width="30.7109375" style="168" customWidth="1"/>
    <col min="6915" max="6915" width="40.5703125" style="168" customWidth="1"/>
    <col min="6916" max="6916" width="54.7109375" style="168" customWidth="1"/>
    <col min="6917" max="6917" width="51.5703125" style="168" customWidth="1"/>
    <col min="6918" max="6918" width="12.140625" style="168" bestFit="1" customWidth="1"/>
    <col min="6919" max="7168" width="9.140625" style="168"/>
    <col min="7169" max="7169" width="5.5703125" style="168" bestFit="1" customWidth="1"/>
    <col min="7170" max="7170" width="30.7109375" style="168" customWidth="1"/>
    <col min="7171" max="7171" width="40.5703125" style="168" customWidth="1"/>
    <col min="7172" max="7172" width="54.7109375" style="168" customWidth="1"/>
    <col min="7173" max="7173" width="51.5703125" style="168" customWidth="1"/>
    <col min="7174" max="7174" width="12.140625" style="168" bestFit="1" customWidth="1"/>
    <col min="7175" max="7424" width="9.140625" style="168"/>
    <col min="7425" max="7425" width="5.5703125" style="168" bestFit="1" customWidth="1"/>
    <col min="7426" max="7426" width="30.7109375" style="168" customWidth="1"/>
    <col min="7427" max="7427" width="40.5703125" style="168" customWidth="1"/>
    <col min="7428" max="7428" width="54.7109375" style="168" customWidth="1"/>
    <col min="7429" max="7429" width="51.5703125" style="168" customWidth="1"/>
    <col min="7430" max="7430" width="12.140625" style="168" bestFit="1" customWidth="1"/>
    <col min="7431" max="7680" width="9.140625" style="168"/>
    <col min="7681" max="7681" width="5.5703125" style="168" bestFit="1" customWidth="1"/>
    <col min="7682" max="7682" width="30.7109375" style="168" customWidth="1"/>
    <col min="7683" max="7683" width="40.5703125" style="168" customWidth="1"/>
    <col min="7684" max="7684" width="54.7109375" style="168" customWidth="1"/>
    <col min="7685" max="7685" width="51.5703125" style="168" customWidth="1"/>
    <col min="7686" max="7686" width="12.140625" style="168" bestFit="1" customWidth="1"/>
    <col min="7687" max="7936" width="9.140625" style="168"/>
    <col min="7937" max="7937" width="5.5703125" style="168" bestFit="1" customWidth="1"/>
    <col min="7938" max="7938" width="30.7109375" style="168" customWidth="1"/>
    <col min="7939" max="7939" width="40.5703125" style="168" customWidth="1"/>
    <col min="7940" max="7940" width="54.7109375" style="168" customWidth="1"/>
    <col min="7941" max="7941" width="51.5703125" style="168" customWidth="1"/>
    <col min="7942" max="7942" width="12.140625" style="168" bestFit="1" customWidth="1"/>
    <col min="7943" max="8192" width="9.140625" style="168"/>
    <col min="8193" max="8193" width="5.5703125" style="168" bestFit="1" customWidth="1"/>
    <col min="8194" max="8194" width="30.7109375" style="168" customWidth="1"/>
    <col min="8195" max="8195" width="40.5703125" style="168" customWidth="1"/>
    <col min="8196" max="8196" width="54.7109375" style="168" customWidth="1"/>
    <col min="8197" max="8197" width="51.5703125" style="168" customWidth="1"/>
    <col min="8198" max="8198" width="12.140625" style="168" bestFit="1" customWidth="1"/>
    <col min="8199" max="8448" width="9.140625" style="168"/>
    <col min="8449" max="8449" width="5.5703125" style="168" bestFit="1" customWidth="1"/>
    <col min="8450" max="8450" width="30.7109375" style="168" customWidth="1"/>
    <col min="8451" max="8451" width="40.5703125" style="168" customWidth="1"/>
    <col min="8452" max="8452" width="54.7109375" style="168" customWidth="1"/>
    <col min="8453" max="8453" width="51.5703125" style="168" customWidth="1"/>
    <col min="8454" max="8454" width="12.140625" style="168" bestFit="1" customWidth="1"/>
    <col min="8455" max="8704" width="9.140625" style="168"/>
    <col min="8705" max="8705" width="5.5703125" style="168" bestFit="1" customWidth="1"/>
    <col min="8706" max="8706" width="30.7109375" style="168" customWidth="1"/>
    <col min="8707" max="8707" width="40.5703125" style="168" customWidth="1"/>
    <col min="8708" max="8708" width="54.7109375" style="168" customWidth="1"/>
    <col min="8709" max="8709" width="51.5703125" style="168" customWidth="1"/>
    <col min="8710" max="8710" width="12.140625" style="168" bestFit="1" customWidth="1"/>
    <col min="8711" max="8960" width="9.140625" style="168"/>
    <col min="8961" max="8961" width="5.5703125" style="168" bestFit="1" customWidth="1"/>
    <col min="8962" max="8962" width="30.7109375" style="168" customWidth="1"/>
    <col min="8963" max="8963" width="40.5703125" style="168" customWidth="1"/>
    <col min="8964" max="8964" width="54.7109375" style="168" customWidth="1"/>
    <col min="8965" max="8965" width="51.5703125" style="168" customWidth="1"/>
    <col min="8966" max="8966" width="12.140625" style="168" bestFit="1" customWidth="1"/>
    <col min="8967" max="9216" width="9.140625" style="168"/>
    <col min="9217" max="9217" width="5.5703125" style="168" bestFit="1" customWidth="1"/>
    <col min="9218" max="9218" width="30.7109375" style="168" customWidth="1"/>
    <col min="9219" max="9219" width="40.5703125" style="168" customWidth="1"/>
    <col min="9220" max="9220" width="54.7109375" style="168" customWidth="1"/>
    <col min="9221" max="9221" width="51.5703125" style="168" customWidth="1"/>
    <col min="9222" max="9222" width="12.140625" style="168" bestFit="1" customWidth="1"/>
    <col min="9223" max="9472" width="9.140625" style="168"/>
    <col min="9473" max="9473" width="5.5703125" style="168" bestFit="1" customWidth="1"/>
    <col min="9474" max="9474" width="30.7109375" style="168" customWidth="1"/>
    <col min="9475" max="9475" width="40.5703125" style="168" customWidth="1"/>
    <col min="9476" max="9476" width="54.7109375" style="168" customWidth="1"/>
    <col min="9477" max="9477" width="51.5703125" style="168" customWidth="1"/>
    <col min="9478" max="9478" width="12.140625" style="168" bestFit="1" customWidth="1"/>
    <col min="9479" max="9728" width="9.140625" style="168"/>
    <col min="9729" max="9729" width="5.5703125" style="168" bestFit="1" customWidth="1"/>
    <col min="9730" max="9730" width="30.7109375" style="168" customWidth="1"/>
    <col min="9731" max="9731" width="40.5703125" style="168" customWidth="1"/>
    <col min="9732" max="9732" width="54.7109375" style="168" customWidth="1"/>
    <col min="9733" max="9733" width="51.5703125" style="168" customWidth="1"/>
    <col min="9734" max="9734" width="12.140625" style="168" bestFit="1" customWidth="1"/>
    <col min="9735" max="9984" width="9.140625" style="168"/>
    <col min="9985" max="9985" width="5.5703125" style="168" bestFit="1" customWidth="1"/>
    <col min="9986" max="9986" width="30.7109375" style="168" customWidth="1"/>
    <col min="9987" max="9987" width="40.5703125" style="168" customWidth="1"/>
    <col min="9988" max="9988" width="54.7109375" style="168" customWidth="1"/>
    <col min="9989" max="9989" width="51.5703125" style="168" customWidth="1"/>
    <col min="9990" max="9990" width="12.140625" style="168" bestFit="1" customWidth="1"/>
    <col min="9991" max="10240" width="9.140625" style="168"/>
    <col min="10241" max="10241" width="5.5703125" style="168" bestFit="1" customWidth="1"/>
    <col min="10242" max="10242" width="30.7109375" style="168" customWidth="1"/>
    <col min="10243" max="10243" width="40.5703125" style="168" customWidth="1"/>
    <col min="10244" max="10244" width="54.7109375" style="168" customWidth="1"/>
    <col min="10245" max="10245" width="51.5703125" style="168" customWidth="1"/>
    <col min="10246" max="10246" width="12.140625" style="168" bestFit="1" customWidth="1"/>
    <col min="10247" max="10496" width="9.140625" style="168"/>
    <col min="10497" max="10497" width="5.5703125" style="168" bestFit="1" customWidth="1"/>
    <col min="10498" max="10498" width="30.7109375" style="168" customWidth="1"/>
    <col min="10499" max="10499" width="40.5703125" style="168" customWidth="1"/>
    <col min="10500" max="10500" width="54.7109375" style="168" customWidth="1"/>
    <col min="10501" max="10501" width="51.5703125" style="168" customWidth="1"/>
    <col min="10502" max="10502" width="12.140625" style="168" bestFit="1" customWidth="1"/>
    <col min="10503" max="10752" width="9.140625" style="168"/>
    <col min="10753" max="10753" width="5.5703125" style="168" bestFit="1" customWidth="1"/>
    <col min="10754" max="10754" width="30.7109375" style="168" customWidth="1"/>
    <col min="10755" max="10755" width="40.5703125" style="168" customWidth="1"/>
    <col min="10756" max="10756" width="54.7109375" style="168" customWidth="1"/>
    <col min="10757" max="10757" width="51.5703125" style="168" customWidth="1"/>
    <col min="10758" max="10758" width="12.140625" style="168" bestFit="1" customWidth="1"/>
    <col min="10759" max="11008" width="9.140625" style="168"/>
    <col min="11009" max="11009" width="5.5703125" style="168" bestFit="1" customWidth="1"/>
    <col min="11010" max="11010" width="30.7109375" style="168" customWidth="1"/>
    <col min="11011" max="11011" width="40.5703125" style="168" customWidth="1"/>
    <col min="11012" max="11012" width="54.7109375" style="168" customWidth="1"/>
    <col min="11013" max="11013" width="51.5703125" style="168" customWidth="1"/>
    <col min="11014" max="11014" width="12.140625" style="168" bestFit="1" customWidth="1"/>
    <col min="11015" max="11264" width="9.140625" style="168"/>
    <col min="11265" max="11265" width="5.5703125" style="168" bestFit="1" customWidth="1"/>
    <col min="11266" max="11266" width="30.7109375" style="168" customWidth="1"/>
    <col min="11267" max="11267" width="40.5703125" style="168" customWidth="1"/>
    <col min="11268" max="11268" width="54.7109375" style="168" customWidth="1"/>
    <col min="11269" max="11269" width="51.5703125" style="168" customWidth="1"/>
    <col min="11270" max="11270" width="12.140625" style="168" bestFit="1" customWidth="1"/>
    <col min="11271" max="11520" width="9.140625" style="168"/>
    <col min="11521" max="11521" width="5.5703125" style="168" bestFit="1" customWidth="1"/>
    <col min="11522" max="11522" width="30.7109375" style="168" customWidth="1"/>
    <col min="11523" max="11523" width="40.5703125" style="168" customWidth="1"/>
    <col min="11524" max="11524" width="54.7109375" style="168" customWidth="1"/>
    <col min="11525" max="11525" width="51.5703125" style="168" customWidth="1"/>
    <col min="11526" max="11526" width="12.140625" style="168" bestFit="1" customWidth="1"/>
    <col min="11527" max="11776" width="9.140625" style="168"/>
    <col min="11777" max="11777" width="5.5703125" style="168" bestFit="1" customWidth="1"/>
    <col min="11778" max="11778" width="30.7109375" style="168" customWidth="1"/>
    <col min="11779" max="11779" width="40.5703125" style="168" customWidth="1"/>
    <col min="11780" max="11780" width="54.7109375" style="168" customWidth="1"/>
    <col min="11781" max="11781" width="51.5703125" style="168" customWidth="1"/>
    <col min="11782" max="11782" width="12.140625" style="168" bestFit="1" customWidth="1"/>
    <col min="11783" max="12032" width="9.140625" style="168"/>
    <col min="12033" max="12033" width="5.5703125" style="168" bestFit="1" customWidth="1"/>
    <col min="12034" max="12034" width="30.7109375" style="168" customWidth="1"/>
    <col min="12035" max="12035" width="40.5703125" style="168" customWidth="1"/>
    <col min="12036" max="12036" width="54.7109375" style="168" customWidth="1"/>
    <col min="12037" max="12037" width="51.5703125" style="168" customWidth="1"/>
    <col min="12038" max="12038" width="12.140625" style="168" bestFit="1" customWidth="1"/>
    <col min="12039" max="12288" width="9.140625" style="168"/>
    <col min="12289" max="12289" width="5.5703125" style="168" bestFit="1" customWidth="1"/>
    <col min="12290" max="12290" width="30.7109375" style="168" customWidth="1"/>
    <col min="12291" max="12291" width="40.5703125" style="168" customWidth="1"/>
    <col min="12292" max="12292" width="54.7109375" style="168" customWidth="1"/>
    <col min="12293" max="12293" width="51.5703125" style="168" customWidth="1"/>
    <col min="12294" max="12294" width="12.140625" style="168" bestFit="1" customWidth="1"/>
    <col min="12295" max="12544" width="9.140625" style="168"/>
    <col min="12545" max="12545" width="5.5703125" style="168" bestFit="1" customWidth="1"/>
    <col min="12546" max="12546" width="30.7109375" style="168" customWidth="1"/>
    <col min="12547" max="12547" width="40.5703125" style="168" customWidth="1"/>
    <col min="12548" max="12548" width="54.7109375" style="168" customWidth="1"/>
    <col min="12549" max="12549" width="51.5703125" style="168" customWidth="1"/>
    <col min="12550" max="12550" width="12.140625" style="168" bestFit="1" customWidth="1"/>
    <col min="12551" max="12800" width="9.140625" style="168"/>
    <col min="12801" max="12801" width="5.5703125" style="168" bestFit="1" customWidth="1"/>
    <col min="12802" max="12802" width="30.7109375" style="168" customWidth="1"/>
    <col min="12803" max="12803" width="40.5703125" style="168" customWidth="1"/>
    <col min="12804" max="12804" width="54.7109375" style="168" customWidth="1"/>
    <col min="12805" max="12805" width="51.5703125" style="168" customWidth="1"/>
    <col min="12806" max="12806" width="12.140625" style="168" bestFit="1" customWidth="1"/>
    <col min="12807" max="13056" width="9.140625" style="168"/>
    <col min="13057" max="13057" width="5.5703125" style="168" bestFit="1" customWidth="1"/>
    <col min="13058" max="13058" width="30.7109375" style="168" customWidth="1"/>
    <col min="13059" max="13059" width="40.5703125" style="168" customWidth="1"/>
    <col min="13060" max="13060" width="54.7109375" style="168" customWidth="1"/>
    <col min="13061" max="13061" width="51.5703125" style="168" customWidth="1"/>
    <col min="13062" max="13062" width="12.140625" style="168" bestFit="1" customWidth="1"/>
    <col min="13063" max="13312" width="9.140625" style="168"/>
    <col min="13313" max="13313" width="5.5703125" style="168" bestFit="1" customWidth="1"/>
    <col min="13314" max="13314" width="30.7109375" style="168" customWidth="1"/>
    <col min="13315" max="13315" width="40.5703125" style="168" customWidth="1"/>
    <col min="13316" max="13316" width="54.7109375" style="168" customWidth="1"/>
    <col min="13317" max="13317" width="51.5703125" style="168" customWidth="1"/>
    <col min="13318" max="13318" width="12.140625" style="168" bestFit="1" customWidth="1"/>
    <col min="13319" max="13568" width="9.140625" style="168"/>
    <col min="13569" max="13569" width="5.5703125" style="168" bestFit="1" customWidth="1"/>
    <col min="13570" max="13570" width="30.7109375" style="168" customWidth="1"/>
    <col min="13571" max="13571" width="40.5703125" style="168" customWidth="1"/>
    <col min="13572" max="13572" width="54.7109375" style="168" customWidth="1"/>
    <col min="13573" max="13573" width="51.5703125" style="168" customWidth="1"/>
    <col min="13574" max="13574" width="12.140625" style="168" bestFit="1" customWidth="1"/>
    <col min="13575" max="13824" width="9.140625" style="168"/>
    <col min="13825" max="13825" width="5.5703125" style="168" bestFit="1" customWidth="1"/>
    <col min="13826" max="13826" width="30.7109375" style="168" customWidth="1"/>
    <col min="13827" max="13827" width="40.5703125" style="168" customWidth="1"/>
    <col min="13828" max="13828" width="54.7109375" style="168" customWidth="1"/>
    <col min="13829" max="13829" width="51.5703125" style="168" customWidth="1"/>
    <col min="13830" max="13830" width="12.140625" style="168" bestFit="1" customWidth="1"/>
    <col min="13831" max="14080" width="9.140625" style="168"/>
    <col min="14081" max="14081" width="5.5703125" style="168" bestFit="1" customWidth="1"/>
    <col min="14082" max="14082" width="30.7109375" style="168" customWidth="1"/>
    <col min="14083" max="14083" width="40.5703125" style="168" customWidth="1"/>
    <col min="14084" max="14084" width="54.7109375" style="168" customWidth="1"/>
    <col min="14085" max="14085" width="51.5703125" style="168" customWidth="1"/>
    <col min="14086" max="14086" width="12.140625" style="168" bestFit="1" customWidth="1"/>
    <col min="14087" max="14336" width="9.140625" style="168"/>
    <col min="14337" max="14337" width="5.5703125" style="168" bestFit="1" customWidth="1"/>
    <col min="14338" max="14338" width="30.7109375" style="168" customWidth="1"/>
    <col min="14339" max="14339" width="40.5703125" style="168" customWidth="1"/>
    <col min="14340" max="14340" width="54.7109375" style="168" customWidth="1"/>
    <col min="14341" max="14341" width="51.5703125" style="168" customWidth="1"/>
    <col min="14342" max="14342" width="12.140625" style="168" bestFit="1" customWidth="1"/>
    <col min="14343" max="14592" width="9.140625" style="168"/>
    <col min="14593" max="14593" width="5.5703125" style="168" bestFit="1" customWidth="1"/>
    <col min="14594" max="14594" width="30.7109375" style="168" customWidth="1"/>
    <col min="14595" max="14595" width="40.5703125" style="168" customWidth="1"/>
    <col min="14596" max="14596" width="54.7109375" style="168" customWidth="1"/>
    <col min="14597" max="14597" width="51.5703125" style="168" customWidth="1"/>
    <col min="14598" max="14598" width="12.140625" style="168" bestFit="1" customWidth="1"/>
    <col min="14599" max="14848" width="9.140625" style="168"/>
    <col min="14849" max="14849" width="5.5703125" style="168" bestFit="1" customWidth="1"/>
    <col min="14850" max="14850" width="30.7109375" style="168" customWidth="1"/>
    <col min="14851" max="14851" width="40.5703125" style="168" customWidth="1"/>
    <col min="14852" max="14852" width="54.7109375" style="168" customWidth="1"/>
    <col min="14853" max="14853" width="51.5703125" style="168" customWidth="1"/>
    <col min="14854" max="14854" width="12.140625" style="168" bestFit="1" customWidth="1"/>
    <col min="14855" max="15104" width="9.140625" style="168"/>
    <col min="15105" max="15105" width="5.5703125" style="168" bestFit="1" customWidth="1"/>
    <col min="15106" max="15106" width="30.7109375" style="168" customWidth="1"/>
    <col min="15107" max="15107" width="40.5703125" style="168" customWidth="1"/>
    <col min="15108" max="15108" width="54.7109375" style="168" customWidth="1"/>
    <col min="15109" max="15109" width="51.5703125" style="168" customWidth="1"/>
    <col min="15110" max="15110" width="12.140625" style="168" bestFit="1" customWidth="1"/>
    <col min="15111" max="15360" width="9.140625" style="168"/>
    <col min="15361" max="15361" width="5.5703125" style="168" bestFit="1" customWidth="1"/>
    <col min="15362" max="15362" width="30.7109375" style="168" customWidth="1"/>
    <col min="15363" max="15363" width="40.5703125" style="168" customWidth="1"/>
    <col min="15364" max="15364" width="54.7109375" style="168" customWidth="1"/>
    <col min="15365" max="15365" width="51.5703125" style="168" customWidth="1"/>
    <col min="15366" max="15366" width="12.140625" style="168" bestFit="1" customWidth="1"/>
    <col min="15367" max="15616" width="9.140625" style="168"/>
    <col min="15617" max="15617" width="5.5703125" style="168" bestFit="1" customWidth="1"/>
    <col min="15618" max="15618" width="30.7109375" style="168" customWidth="1"/>
    <col min="15619" max="15619" width="40.5703125" style="168" customWidth="1"/>
    <col min="15620" max="15620" width="54.7109375" style="168" customWidth="1"/>
    <col min="15621" max="15621" width="51.5703125" style="168" customWidth="1"/>
    <col min="15622" max="15622" width="12.140625" style="168" bestFit="1" customWidth="1"/>
    <col min="15623" max="15872" width="9.140625" style="168"/>
    <col min="15873" max="15873" width="5.5703125" style="168" bestFit="1" customWidth="1"/>
    <col min="15874" max="15874" width="30.7109375" style="168" customWidth="1"/>
    <col min="15875" max="15875" width="40.5703125" style="168" customWidth="1"/>
    <col min="15876" max="15876" width="54.7109375" style="168" customWidth="1"/>
    <col min="15877" max="15877" width="51.5703125" style="168" customWidth="1"/>
    <col min="15878" max="15878" width="12.140625" style="168" bestFit="1" customWidth="1"/>
    <col min="15879" max="16128" width="9.140625" style="168"/>
    <col min="16129" max="16129" width="5.5703125" style="168" bestFit="1" customWidth="1"/>
    <col min="16130" max="16130" width="30.7109375" style="168" customWidth="1"/>
    <col min="16131" max="16131" width="40.5703125" style="168" customWidth="1"/>
    <col min="16132" max="16132" width="54.7109375" style="168" customWidth="1"/>
    <col min="16133" max="16133" width="51.5703125" style="168" customWidth="1"/>
    <col min="16134" max="16134" width="12.140625" style="168" bestFit="1" customWidth="1"/>
    <col min="16135" max="16384" width="9.140625" style="168"/>
  </cols>
  <sheetData>
    <row r="1" spans="1:10" ht="13.5" thickBot="1">
      <c r="A1" s="246" t="s">
        <v>3438</v>
      </c>
      <c r="B1" s="168"/>
      <c r="C1" s="168"/>
      <c r="D1" s="168"/>
      <c r="E1" s="168"/>
    </row>
    <row r="2" spans="1:10" ht="15.75">
      <c r="B2" s="247" t="s">
        <v>3439</v>
      </c>
      <c r="C2" s="247" t="s">
        <v>3440</v>
      </c>
      <c r="D2" s="247" t="s">
        <v>3441</v>
      </c>
      <c r="E2" s="247" t="s">
        <v>3442</v>
      </c>
    </row>
    <row r="3" spans="1:10" ht="13.5" thickBot="1"/>
    <row r="4" spans="1:10" ht="69" thickBot="1">
      <c r="B4" s="249" t="s">
        <v>3443</v>
      </c>
      <c r="C4" s="250" t="s">
        <v>3444</v>
      </c>
      <c r="D4" s="250" t="s">
        <v>3445</v>
      </c>
      <c r="E4" s="251" t="s">
        <v>3446</v>
      </c>
    </row>
    <row r="5" spans="1:10" ht="16.5" thickBot="1">
      <c r="B5" s="252"/>
      <c r="D5" s="168"/>
    </row>
    <row r="6" spans="1:10" ht="45.75" thickBot="1">
      <c r="B6" s="249" t="s">
        <v>3447</v>
      </c>
      <c r="C6" s="250" t="s">
        <v>3448</v>
      </c>
      <c r="D6" s="250" t="s">
        <v>3449</v>
      </c>
      <c r="E6" s="251" t="s">
        <v>3450</v>
      </c>
    </row>
    <row r="7" spans="1:10" ht="16.5" thickBot="1">
      <c r="B7" s="252"/>
      <c r="D7" s="253"/>
    </row>
    <row r="8" spans="1:10" ht="13.5" thickBot="1">
      <c r="B8" s="254" t="s">
        <v>3451</v>
      </c>
      <c r="C8" s="255"/>
      <c r="D8" s="256"/>
      <c r="E8" s="257"/>
    </row>
    <row r="9" spans="1:10" ht="25.5">
      <c r="B9" s="258" t="s">
        <v>3452</v>
      </c>
      <c r="C9" s="255" t="s">
        <v>3453</v>
      </c>
      <c r="D9" s="255" t="s">
        <v>3454</v>
      </c>
      <c r="E9" s="257"/>
    </row>
    <row r="10" spans="1:10" ht="38.25" customHeight="1">
      <c r="B10" s="259" t="s">
        <v>3455</v>
      </c>
      <c r="C10" s="248" t="s">
        <v>3456</v>
      </c>
      <c r="D10" s="248" t="s">
        <v>3457</v>
      </c>
      <c r="E10" s="260"/>
    </row>
    <row r="11" spans="1:10" ht="38.25" customHeight="1">
      <c r="B11" s="259" t="s">
        <v>3458</v>
      </c>
      <c r="C11" s="248" t="s">
        <v>3459</v>
      </c>
      <c r="D11" s="248" t="s">
        <v>3460</v>
      </c>
      <c r="E11" s="260"/>
    </row>
    <row r="12" spans="1:10" ht="114.75">
      <c r="B12" s="259" t="s">
        <v>3461</v>
      </c>
      <c r="C12" s="248" t="s">
        <v>3462</v>
      </c>
      <c r="D12" s="248" t="s">
        <v>3463</v>
      </c>
      <c r="E12" s="260" t="s">
        <v>3464</v>
      </c>
    </row>
    <row r="13" spans="1:10" ht="39" customHeight="1" thickBot="1">
      <c r="B13" s="261" t="s">
        <v>3465</v>
      </c>
      <c r="C13" s="262" t="s">
        <v>3466</v>
      </c>
      <c r="D13" s="262" t="s">
        <v>3467</v>
      </c>
      <c r="E13" s="263" t="s">
        <v>3468</v>
      </c>
    </row>
    <row r="14" spans="1:10" ht="16.5" thickBot="1">
      <c r="B14" s="252"/>
      <c r="D14" s="253"/>
    </row>
    <row r="15" spans="1:10" ht="90" thickBot="1">
      <c r="B15" s="249" t="s">
        <v>3469</v>
      </c>
      <c r="C15" s="250" t="s">
        <v>3470</v>
      </c>
      <c r="D15" s="264" t="s">
        <v>3471</v>
      </c>
      <c r="E15" s="251" t="s">
        <v>3472</v>
      </c>
      <c r="J15" s="168" t="s">
        <v>3936</v>
      </c>
    </row>
    <row r="16" spans="1:10" ht="16.5" thickBot="1">
      <c r="B16" s="265"/>
      <c r="C16" s="250"/>
      <c r="D16" s="264"/>
      <c r="E16" s="250"/>
    </row>
    <row r="17" spans="2:5" ht="77.25" thickBot="1">
      <c r="B17" s="249" t="s">
        <v>3473</v>
      </c>
      <c r="C17" s="250" t="s">
        <v>3474</v>
      </c>
      <c r="D17" s="264" t="s">
        <v>3475</v>
      </c>
      <c r="E17" s="266" t="s">
        <v>3476</v>
      </c>
    </row>
    <row r="18" spans="2:5" ht="16.5" thickBot="1">
      <c r="B18" s="265"/>
      <c r="C18" s="250"/>
      <c r="D18" s="264"/>
      <c r="E18" s="250"/>
    </row>
    <row r="19" spans="2:5" ht="60.75" thickBot="1">
      <c r="B19" s="249" t="s">
        <v>3477</v>
      </c>
      <c r="C19" s="250" t="s">
        <v>3478</v>
      </c>
      <c r="D19" s="250" t="s">
        <v>3479</v>
      </c>
      <c r="E19" s="251" t="s">
        <v>3480</v>
      </c>
    </row>
    <row r="20" spans="2:5" ht="13.5" thickBot="1"/>
    <row r="21" spans="2:5" ht="60.75" thickBot="1">
      <c r="B21" s="249" t="s">
        <v>3481</v>
      </c>
      <c r="C21" s="250" t="s">
        <v>3482</v>
      </c>
      <c r="D21" s="250" t="s">
        <v>3483</v>
      </c>
      <c r="E21" s="251" t="s">
        <v>3480</v>
      </c>
    </row>
    <row r="22" spans="2:5" ht="13.5" thickBot="1"/>
    <row r="23" spans="2:5" ht="73.5" thickBot="1">
      <c r="B23" s="249" t="s">
        <v>3484</v>
      </c>
      <c r="C23" s="250" t="s">
        <v>3485</v>
      </c>
      <c r="D23" s="250" t="s">
        <v>3486</v>
      </c>
      <c r="E23" s="266" t="s">
        <v>3487</v>
      </c>
    </row>
  </sheetData>
  <hyperlinks>
    <hyperlink ref="A1" location="Index!A1" display="Back" xr:uid="{00000000-0004-0000-1C00-000000000000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6</vt:i4>
      </vt:variant>
    </vt:vector>
  </HeadingPairs>
  <TitlesOfParts>
    <vt:vector size="63" baseType="lpstr">
      <vt:lpstr>Session2</vt:lpstr>
      <vt:lpstr>Introduction</vt:lpstr>
      <vt:lpstr>Cheat sheet</vt:lpstr>
      <vt:lpstr>Movement</vt:lpstr>
      <vt:lpstr>General</vt:lpstr>
      <vt:lpstr>Getting comfortable with Keys</vt:lpstr>
      <vt:lpstr>Generic</vt:lpstr>
      <vt:lpstr>Filter and Sort</vt:lpstr>
      <vt:lpstr>Cell Freezing</vt:lpstr>
      <vt:lpstr>Arranging</vt:lpstr>
      <vt:lpstr>Text Functions</vt:lpstr>
      <vt:lpstr>EMI Calculation</vt:lpstr>
      <vt:lpstr>IF Function and Absolute value</vt:lpstr>
      <vt:lpstr>IF Ex1</vt:lpstr>
      <vt:lpstr>IF Ex2</vt:lpstr>
      <vt:lpstr>IF Ex3</vt:lpstr>
      <vt:lpstr>IF Ex4</vt:lpstr>
      <vt:lpstr>IF Ex5</vt:lpstr>
      <vt:lpstr>Sum and Count</vt:lpstr>
      <vt:lpstr>Vlook ups and CAGR</vt:lpstr>
      <vt:lpstr>Frequency</vt:lpstr>
      <vt:lpstr>Vlookup Ex 1 </vt:lpstr>
      <vt:lpstr>Vlookup Ex2</vt:lpstr>
      <vt:lpstr>Multiple Functions</vt:lpstr>
      <vt:lpstr>Depreciation</vt:lpstr>
      <vt:lpstr>Sum with multiple Variants</vt:lpstr>
      <vt:lpstr>Conditional Formatting</vt:lpstr>
      <vt:lpstr>Question</vt:lpstr>
      <vt:lpstr>ConditionalFormatting_2</vt:lpstr>
      <vt:lpstr>Vlook Up and If</vt:lpstr>
      <vt:lpstr>Vlook Up and If (2)</vt:lpstr>
      <vt:lpstr>Emp Details </vt:lpstr>
      <vt:lpstr>Employees</vt:lpstr>
      <vt:lpstr>Employees (2)</vt:lpstr>
      <vt:lpstr>Understanding Charting Rules</vt:lpstr>
      <vt:lpstr>Problem1</vt:lpstr>
      <vt:lpstr>Problem 1</vt:lpstr>
      <vt:lpstr>Problem 1.</vt:lpstr>
      <vt:lpstr>Problem2</vt:lpstr>
      <vt:lpstr>Charting Practice</vt:lpstr>
      <vt:lpstr>Charting Practice_1</vt:lpstr>
      <vt:lpstr>Charting Practice 1,</vt:lpstr>
      <vt:lpstr>Charting Practice 1,,</vt:lpstr>
      <vt:lpstr>Charting Practice 2</vt:lpstr>
      <vt:lpstr>Charting practice 2.</vt:lpstr>
      <vt:lpstr>Charting practice 2 </vt:lpstr>
      <vt:lpstr>Charting Practice 3</vt:lpstr>
      <vt:lpstr>Charting Practice 4</vt:lpstr>
      <vt:lpstr>DB</vt:lpstr>
      <vt:lpstr>Charting Practice_5</vt:lpstr>
      <vt:lpstr>Separate </vt:lpstr>
      <vt:lpstr>Final Collation Report</vt:lpstr>
      <vt:lpstr>A</vt:lpstr>
      <vt:lpstr>B</vt:lpstr>
      <vt:lpstr>C</vt:lpstr>
      <vt:lpstr>D</vt:lpstr>
      <vt:lpstr>Dictionary</vt:lpstr>
      <vt:lpstr>Chart1</vt:lpstr>
      <vt:lpstr>Chart2</vt:lpstr>
      <vt:lpstr>Chart3</vt:lpstr>
      <vt:lpstr>Chart4</vt:lpstr>
      <vt:lpstr>Chart5</vt:lpstr>
      <vt:lpstr>'Filter and Sort'!Criteria</vt:lpstr>
    </vt:vector>
  </TitlesOfParts>
  <Manager/>
  <Company>MAESTROS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Shubhi</dc:creator>
  <cp:keywords/>
  <dc:description/>
  <cp:lastModifiedBy>Sachin S</cp:lastModifiedBy>
  <cp:revision/>
  <cp:lastPrinted>2023-09-28T15:34:40Z</cp:lastPrinted>
  <dcterms:created xsi:type="dcterms:W3CDTF">2007-07-30T07:31:12Z</dcterms:created>
  <dcterms:modified xsi:type="dcterms:W3CDTF">2024-08-23T14:31:29Z</dcterms:modified>
  <cp:category/>
  <cp:contentStatus/>
</cp:coreProperties>
</file>