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chit\Downloads\"/>
    </mc:Choice>
  </mc:AlternateContent>
  <xr:revisionPtr revIDLastSave="0" documentId="13_ncr:1_{34C28209-1637-4159-AAD4-E4D23560ED30}" xr6:coauthVersionLast="47" xr6:coauthVersionMax="47" xr10:uidLastSave="{00000000-0000-0000-0000-000000000000}"/>
  <workbookProtection workbookAlgorithmName="SHA-512" workbookHashValue="Tq153+tEFfJwk0lX/eY++/NZtTFiKj+brBoi3qSSLXRejYpL4g4NdmRNADqdoT18NYfTHdA9Hla0E2mibblmFQ==" workbookSaltValue="3Qh2jMROTqr0F19ZSbvIng==" workbookSpinCount="100000" lockStructure="1"/>
  <bookViews>
    <workbookView xWindow="-103" yWindow="-103" windowWidth="22149" windowHeight="11829" xr2:uid="{D6ECF829-6BA5-45D7-BE95-B39841DEEED4}"/>
  </bookViews>
  <sheets>
    <sheet name="DamageCalc" sheetId="1" r:id="rId1"/>
    <sheet name="ChargeTracker" sheetId="9" r:id="rId2"/>
    <sheet name="SetLevels" sheetId="6" r:id="rId3"/>
    <sheet name="RCStats" sheetId="5" r:id="rId4"/>
    <sheet name="RCEquipment" sheetId="7" r:id="rId5"/>
    <sheet name="DMGTOOLS" sheetId="8" r:id="rId6"/>
    <sheet name="DEFENSES" sheetId="4" r:id="rId7"/>
    <sheet name="Tabling" sheetId="2" r:id="rId8"/>
  </sheets>
  <definedNames>
    <definedName name="airdefense_img">DEFENSES!$M$1</definedName>
    <definedName name="airsweeper_img">DEFENSES!$U$1</definedName>
    <definedName name="archertower_img">DEFENSES!$E$1</definedName>
    <definedName name="bombtower_img">DEFENSES!$AC$1</definedName>
    <definedName name="builderhut_img">DEFENSES!$BA$1</definedName>
    <definedName name="cannon_img">DEFENSES!$A$1</definedName>
    <definedName name="cannon4_img">#REF!</definedName>
    <definedName name="cannon7_img">Tabling!$L$8</definedName>
    <definedName name="ChargeStepTable">Table17[[#All],[ChargeStep]]</definedName>
    <definedName name="ConcurrentEventsTable">Table18[Concurrent Events]</definedName>
    <definedName name="DefenseSelectionTable">Table1[#All]</definedName>
    <definedName name="DMGEarthquake">Table12[#All]</definedName>
    <definedName name="DMGGiantArrow">Table13[#All]</definedName>
    <definedName name="DMGLogLauncher">Table9[#All]</definedName>
    <definedName name="DMGPhoenix">Table15[#All]</definedName>
    <definedName name="DMGSeekingShield">Table14[#All]</definedName>
    <definedName name="eagleartillery_img">DEFENSES!$AO$1</definedName>
    <definedName name="eboots_img">RCEquipment!$A$1</definedName>
    <definedName name="EquipmentElectroBoots">Table11[#All]</definedName>
    <definedName name="EquipmentHasteVial">Table4[#All]</definedName>
    <definedName name="EquipmentRocketSpear">Table8[#All]</definedName>
    <definedName name="EquipmentRoyalGem">Table10[#All]</definedName>
    <definedName name="firespitter_img">DEFENSES!$BU$1</definedName>
    <definedName name="hiddentesla_img">DEFENSES!$Y$1</definedName>
    <definedName name="hrpuppet_img">RCEquipment!$AC$1</definedName>
    <definedName name="hvial_img">RCEquipment!$R$1</definedName>
    <definedName name="infernotower_img">DEFENSES!$AK$1</definedName>
    <definedName name="monolith_img">DEFENSES!$BI$1</definedName>
    <definedName name="mortar_img">DEFENSES!$I$1</definedName>
    <definedName name="multiarchertower_img">DEFENSES!$BQ$1</definedName>
    <definedName name="multigeartower_img">DEFENSES!$BY$1</definedName>
    <definedName name="PetTable">PetDropdownTable[Pet]</definedName>
    <definedName name="PetTableDD">PetDropdownTable[[#All],[Pet]]</definedName>
    <definedName name="phoenix_img">DMGTOOLS!$AD$1</definedName>
    <definedName name="RCStats">Table16[#All]</definedName>
    <definedName name="rgem_img">RCEquipment!$G$1</definedName>
    <definedName name="ricochetcannon_img">DEFENSES!$BM$1</definedName>
    <definedName name="rspr_img">RCEquipment!$L$1</definedName>
    <definedName name="scattershot_img">DEFENSES!$AW$1</definedName>
    <definedName name="spelltower_img">DEFENSES!$BE$1</definedName>
    <definedName name="spiritfox_img">DMGTOOLS!$W$1</definedName>
    <definedName name="ss_img">RCEquipment!$AE$1</definedName>
    <definedName name="TablingImageEquipmentLibrary">Table5[#All]</definedName>
    <definedName name="TablingImageLibrary">Table3[#All]</definedName>
    <definedName name="TablingLevelCapDefenses">Table1[#All]</definedName>
    <definedName name="townhall_img">DEFENSES!$AS$1</definedName>
    <definedName name="wizardtower_img">DEFENSES!$Q$1</definedName>
    <definedName name="xbow_img">DEFENSES!$AG$1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9" l="1"/>
  <c r="K4" i="1"/>
  <c r="I5" i="1"/>
  <c r="F5" i="1"/>
  <c r="I7" i="9" a="1"/>
  <c r="I7" i="9" s="1"/>
  <c r="F20" i="1"/>
  <c r="H20" i="1"/>
  <c r="R6" i="9"/>
  <c r="A7" i="9"/>
  <c r="O2" i="9"/>
  <c r="G2" i="9"/>
  <c r="I4" i="1"/>
  <c r="Y6" i="6"/>
  <c r="V6" i="6"/>
  <c r="I5" i="6"/>
  <c r="F5" i="6"/>
  <c r="T19" i="1"/>
  <c r="X3" i="6"/>
  <c r="R23" i="9"/>
  <c r="T22" i="9"/>
  <c r="D22" i="2"/>
  <c r="S18" i="9"/>
  <c r="R18" i="9"/>
  <c r="T18" i="9"/>
  <c r="T8" i="9" a="1"/>
  <c r="T8" i="9" s="1"/>
  <c r="I25" i="9" a="1"/>
  <c r="I25" i="9" s="1"/>
  <c r="I24" i="9" a="1"/>
  <c r="I24" i="9" s="1"/>
  <c r="I23" i="9" a="1"/>
  <c r="I23" i="9" s="1"/>
  <c r="I22" i="9" a="1"/>
  <c r="I22" i="9" s="1"/>
  <c r="I21" i="9" a="1"/>
  <c r="I21" i="9" s="1"/>
  <c r="I20" i="9" a="1"/>
  <c r="I20" i="9" s="1"/>
  <c r="I19" i="9" a="1"/>
  <c r="I19" i="9" s="1"/>
  <c r="I18" i="9" a="1"/>
  <c r="I18" i="9" s="1"/>
  <c r="I17" i="9" a="1"/>
  <c r="I17" i="9" s="1"/>
  <c r="I16" i="9" a="1"/>
  <c r="I16" i="9" s="1"/>
  <c r="I15" i="9" a="1"/>
  <c r="I15" i="9" s="1"/>
  <c r="I14" i="9" a="1"/>
  <c r="I14" i="9" s="1"/>
  <c r="I13" i="9" a="1"/>
  <c r="I13" i="9" s="1"/>
  <c r="I12" i="9" a="1"/>
  <c r="I12" i="9" s="1"/>
  <c r="I11" i="9" a="1"/>
  <c r="I11" i="9" s="1"/>
  <c r="I10" i="9" a="1"/>
  <c r="I10" i="9" s="1"/>
  <c r="I9" i="9" a="1"/>
  <c r="I9" i="9" s="1"/>
  <c r="I8" i="9" a="1"/>
  <c r="I8" i="9" s="1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N7" i="9" s="1"/>
  <c r="K8" i="9"/>
  <c r="J7" i="9"/>
  <c r="J8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7" i="9"/>
  <c r="T9" i="9" a="1"/>
  <c r="T9" i="9" s="1"/>
  <c r="R7" i="9" a="1"/>
  <c r="R7" i="9" s="1"/>
  <c r="L18" i="6"/>
  <c r="M18" i="6"/>
  <c r="O12" i="6"/>
  <c r="N12" i="6"/>
  <c r="M12" i="6"/>
  <c r="L12" i="6"/>
  <c r="L10" i="6"/>
  <c r="M8" i="6"/>
  <c r="A21" i="1"/>
  <c r="R12" i="9" s="1"/>
  <c r="R19" i="1"/>
  <c r="S23" i="1"/>
  <c r="R23" i="1"/>
  <c r="AD11" i="6"/>
  <c r="T10" i="9" s="1" a="1"/>
  <c r="T10" i="9" s="1"/>
  <c r="AB11" i="6"/>
  <c r="AD9" i="6"/>
  <c r="AB9" i="6"/>
  <c r="AH1" i="6"/>
  <c r="X11" i="6"/>
  <c r="X9" i="6"/>
  <c r="U25" i="6"/>
  <c r="U24" i="6"/>
  <c r="U23" i="6"/>
  <c r="U22" i="6"/>
  <c r="T23" i="6"/>
  <c r="T22" i="6"/>
  <c r="S24" i="6"/>
  <c r="T24" i="6"/>
  <c r="T25" i="6"/>
  <c r="S25" i="6"/>
  <c r="S23" i="6"/>
  <c r="S22" i="6"/>
  <c r="R25" i="6"/>
  <c r="R24" i="6"/>
  <c r="R23" i="6"/>
  <c r="R22" i="6"/>
  <c r="D13" i="2"/>
  <c r="B25" i="1"/>
  <c r="R14" i="9" s="1"/>
  <c r="J17" i="1"/>
  <c r="T15" i="1"/>
  <c r="T25" i="1"/>
  <c r="E19" i="2"/>
  <c r="E21" i="2"/>
  <c r="E20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21" i="2"/>
  <c r="D20" i="2"/>
  <c r="D19" i="2"/>
  <c r="D18" i="2"/>
  <c r="D17" i="2"/>
  <c r="D16" i="2"/>
  <c r="D15" i="2"/>
  <c r="D14" i="2"/>
  <c r="D12" i="2"/>
  <c r="D11" i="2"/>
  <c r="D10" i="2"/>
  <c r="D9" i="2"/>
  <c r="D8" i="2"/>
  <c r="D7" i="2"/>
  <c r="D6" i="2"/>
  <c r="D5" i="2"/>
  <c r="D4" i="2"/>
  <c r="B2" i="2"/>
  <c r="B3" i="2"/>
  <c r="B4" i="2"/>
  <c r="B5" i="2"/>
  <c r="B6" i="2"/>
  <c r="B7" i="2"/>
  <c r="C19" i="1"/>
  <c r="H18" i="6"/>
  <c r="H16" i="6"/>
  <c r="H14" i="6"/>
  <c r="H12" i="6"/>
  <c r="H10" i="6"/>
  <c r="H8" i="6"/>
  <c r="C21" i="1"/>
  <c r="T12" i="9" s="1"/>
  <c r="X21" i="7"/>
  <c r="Y21" i="7" s="1"/>
  <c r="X20" i="7"/>
  <c r="Y20" i="7" s="1"/>
  <c r="X19" i="7"/>
  <c r="Y19" i="7" s="1"/>
  <c r="X18" i="7"/>
  <c r="Y18" i="7" s="1"/>
  <c r="X17" i="7"/>
  <c r="Y17" i="7" s="1"/>
  <c r="X16" i="7"/>
  <c r="Y16" i="7" s="1"/>
  <c r="X15" i="7"/>
  <c r="Y15" i="7" s="1"/>
  <c r="X14" i="7"/>
  <c r="Y14" i="7" s="1"/>
  <c r="X13" i="7"/>
  <c r="Y13" i="7" s="1"/>
  <c r="X12" i="7"/>
  <c r="Y12" i="7" s="1"/>
  <c r="X11" i="7"/>
  <c r="Y11" i="7" s="1"/>
  <c r="X10" i="7"/>
  <c r="Y10" i="7" s="1"/>
  <c r="X9" i="7"/>
  <c r="Y9" i="7" s="1"/>
  <c r="X8" i="7"/>
  <c r="Y8" i="7" s="1"/>
  <c r="X7" i="7"/>
  <c r="Y7" i="7" s="1"/>
  <c r="X6" i="7"/>
  <c r="Y6" i="7" s="1"/>
  <c r="X5" i="7"/>
  <c r="Y5" i="7" s="1"/>
  <c r="X4" i="7"/>
  <c r="Y4" i="7" s="1"/>
  <c r="I15" i="1" l="1"/>
  <c r="T21" i="9"/>
  <c r="O12" i="1"/>
  <c r="O14" i="1"/>
  <c r="P12" i="1"/>
  <c r="P14" i="1"/>
  <c r="N8" i="9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T20" i="9"/>
  <c r="D25" i="1"/>
  <c r="T14" i="9" s="1"/>
  <c r="S19" i="1"/>
  <c r="J13" i="1" s="1"/>
  <c r="J15" i="1" l="1"/>
  <c r="M13" i="1" l="1"/>
  <c r="M15" i="1"/>
  <c r="N15" i="1" s="1"/>
  <c r="N13" i="1" l="1"/>
  <c r="O13" i="1"/>
  <c r="P13" i="1" s="1"/>
  <c r="O15" i="1"/>
  <c r="P1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tc={7C99214E-3C0D-43CE-81EC-A0521E27FAD8}</author>
    <author>tc={68B23F01-D90B-4319-A76A-24E63B84757C}</author>
    <author>tc={19C8A0B7-AB1C-47F4-80C0-BD396922599E}</author>
  </authors>
  <commentList>
    <comment ref="M8" authorId="0" shapeId="0" xr:uid="{7C99214E-3C0D-43CE-81EC-A0521E27FAD8}">
      <text>
        <t>[Threaded comment]
Your version of Excel allows you to read this threaded comment; however, any edits to it will get removed if the file is opened in a newer version of Excel. Learn more: https://go.microsoft.com/fwlink/?linkid=870924
Comment:
    Flat DMG</t>
      </text>
    </comment>
    <comment ref="L16" authorId="1" shapeId="0" xr:uid="{68B23F01-D90B-4319-A76A-24E63B84757C}">
      <text>
        <t>[Threaded comment]
Your version of Excel allows you to read this threaded comment; however, any edits to it will get removed if the file is opened in a newer version of Excel. Learn more: https://go.microsoft.com/fwlink/?linkid=870924
Comment:
    Eboots Damage is an additional damage source, calculated differently.</t>
      </text>
    </comment>
    <comment ref="M18" authorId="2" shapeId="0" xr:uid="{19C8A0B7-AB1C-47F4-80C0-BD396922599E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to damage per shot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2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</valueMetadata>
</metadata>
</file>

<file path=xl/sharedStrings.xml><?xml version="1.0" encoding="utf-8"?>
<sst xmlns="http://schemas.openxmlformats.org/spreadsheetml/2006/main" count="359" uniqueCount="178">
  <si>
    <t>DMG</t>
  </si>
  <si>
    <t>HP</t>
  </si>
  <si>
    <t>Level</t>
  </si>
  <si>
    <t>DPS</t>
  </si>
  <si>
    <t>DPHit</t>
  </si>
  <si>
    <t>HPAbility</t>
  </si>
  <si>
    <t>Base Hit Speed: 1.2s</t>
  </si>
  <si>
    <t>AuraDPS</t>
  </si>
  <si>
    <t>AuraDPHit</t>
  </si>
  <si>
    <t>Electro Boots</t>
  </si>
  <si>
    <t>DPSBuff</t>
  </si>
  <si>
    <t>DPS%</t>
  </si>
  <si>
    <t>EQPenalty</t>
  </si>
  <si>
    <t>Penalty%</t>
  </si>
  <si>
    <t>Lvl</t>
  </si>
  <si>
    <t>SC</t>
  </si>
  <si>
    <t>LVL</t>
  </si>
  <si>
    <t>rip :(</t>
  </si>
  <si>
    <t>Repair/sec</t>
  </si>
  <si>
    <t>Repair/hit</t>
  </si>
  <si>
    <t>AtkSpdBuff</t>
  </si>
  <si>
    <t>AbilityAtkSpd</t>
  </si>
  <si>
    <t>7.0s</t>
  </si>
  <si>
    <t>7.5s</t>
  </si>
  <si>
    <t>8.0s</t>
  </si>
  <si>
    <t>8.5s</t>
  </si>
  <si>
    <t>9.0s</t>
  </si>
  <si>
    <t>9.5s</t>
  </si>
  <si>
    <t>10.0s</t>
  </si>
  <si>
    <t>Hitspeed passive + active</t>
  </si>
  <si>
    <t>SPDBuff</t>
  </si>
  <si>
    <t>Duration</t>
  </si>
  <si>
    <t>HitspeedBuff</t>
  </si>
  <si>
    <t>LEVEL</t>
  </si>
  <si>
    <t>EQ1</t>
  </si>
  <si>
    <t>Seeking Shield</t>
  </si>
  <si>
    <t>Royal Gem</t>
  </si>
  <si>
    <t>Haste Vial</t>
  </si>
  <si>
    <t>Hog Rider Puppet</t>
  </si>
  <si>
    <t>Rocket Spear</t>
  </si>
  <si>
    <t>EQ1Img</t>
  </si>
  <si>
    <t>Set Royal Champion Levels</t>
  </si>
  <si>
    <t>Hero Level:</t>
  </si>
  <si>
    <t>Rarity</t>
  </si>
  <si>
    <t>Common</t>
  </si>
  <si>
    <t>Epic</t>
  </si>
  <si>
    <t>Equipment Name</t>
  </si>
  <si>
    <t>Equipment Image</t>
  </si>
  <si>
    <t>HERO LEVEL:</t>
  </si>
  <si>
    <t>Giant Arrow</t>
  </si>
  <si>
    <t>Earthquake Spell</t>
  </si>
  <si>
    <t>Log Launcher</t>
  </si>
  <si>
    <t>DMG/Log</t>
  </si>
  <si>
    <t>AbilityHitBuff</t>
  </si>
  <si>
    <t>X-Bow</t>
  </si>
  <si>
    <t>Inferno Tower</t>
  </si>
  <si>
    <t>Eagle Artillery</t>
  </si>
  <si>
    <t>Town Hall</t>
  </si>
  <si>
    <t>Scattershot</t>
  </si>
  <si>
    <t>Builder's Hut</t>
  </si>
  <si>
    <t>Spell Tower</t>
  </si>
  <si>
    <t>Monolith</t>
  </si>
  <si>
    <t>Firespitter</t>
  </si>
  <si>
    <t>Multi-Gear Tower</t>
  </si>
  <si>
    <t>Cannon</t>
  </si>
  <si>
    <t>Archer Tower</t>
  </si>
  <si>
    <t>Mortar</t>
  </si>
  <si>
    <t>Air Defense</t>
  </si>
  <si>
    <t>Wizard Tower</t>
  </si>
  <si>
    <t>Air Sweeper</t>
  </si>
  <si>
    <t>Hidden Tesla</t>
  </si>
  <si>
    <t>Bomb Tower</t>
  </si>
  <si>
    <t>Ricochet Cannon</t>
  </si>
  <si>
    <t>Multi-Archer Tower</t>
  </si>
  <si>
    <t>Defense Name</t>
  </si>
  <si>
    <t>Builder Hut</t>
  </si>
  <si>
    <t>Royal Champion Charge Damage Calculator</t>
  </si>
  <si>
    <t>Equipment Table</t>
  </si>
  <si>
    <t>Choose Defense:</t>
  </si>
  <si>
    <t>Max HP:</t>
  </si>
  <si>
    <t>Image</t>
  </si>
  <si>
    <t>Level Cap</t>
  </si>
  <si>
    <t>AbilityEffect</t>
  </si>
  <si>
    <t>Passive &amp; Active Ability Stats</t>
  </si>
  <si>
    <t>RC DPS</t>
  </si>
  <si>
    <t>HitSpeed</t>
  </si>
  <si>
    <t>Tick Time</t>
  </si>
  <si>
    <t>0 - Passive Stats</t>
  </si>
  <si>
    <t>Apply Earthquake Spell?</t>
  </si>
  <si>
    <t>Electro Boots Selected?</t>
  </si>
  <si>
    <t>SpearDMG</t>
  </si>
  <si>
    <t>AtkSpdMult</t>
  </si>
  <si>
    <t>Electro Boots Stats</t>
  </si>
  <si>
    <t>AuraTick</t>
  </si>
  <si>
    <t>Ticks/sec</t>
  </si>
  <si>
    <t>Toggles</t>
  </si>
  <si>
    <t>Use Active Ability?</t>
  </si>
  <si>
    <t>1 - Active Ability Used</t>
  </si>
  <si>
    <t>0 - No Earthquake Spell</t>
  </si>
  <si>
    <t>1 - 1 Earthquake Spell Used</t>
  </si>
  <si>
    <t>RC Stats</t>
  </si>
  <si>
    <t>Select Level:</t>
  </si>
  <si>
    <t># of Battle Builders:</t>
  </si>
  <si>
    <t># of shots</t>
  </si>
  <si>
    <t>Time (sec)</t>
  </si>
  <si>
    <t>HPRemaining (# &amp; %)</t>
  </si>
  <si>
    <t>BBLVL</t>
  </si>
  <si>
    <t>BBHitTime (seconds)</t>
  </si>
  <si>
    <t># Builders</t>
  </si>
  <si>
    <t>Total DMG</t>
  </si>
  <si>
    <t>Flat DMG</t>
  </si>
  <si>
    <t>Battle Builder Repair</t>
  </si>
  <si>
    <t>Battle Builders</t>
  </si>
  <si>
    <t>Select counts using dropdowns</t>
  </si>
  <si>
    <t>Healing every .75 sec:</t>
  </si>
  <si>
    <t>Hard Mode?</t>
  </si>
  <si>
    <t>0 - Normal 1 - Hard</t>
  </si>
  <si>
    <t>s</t>
  </si>
  <si>
    <t>Invalid TH LVL</t>
  </si>
  <si>
    <t>Defenses Destroyed</t>
  </si>
  <si>
    <t>Defense</t>
  </si>
  <si>
    <t>TimeSpent</t>
  </si>
  <si>
    <t>Phoenix</t>
  </si>
  <si>
    <t>Spirit Fox</t>
  </si>
  <si>
    <t>Choose Pet:</t>
  </si>
  <si>
    <t>Pet</t>
  </si>
  <si>
    <t>None</t>
  </si>
  <si>
    <t>9s</t>
  </si>
  <si>
    <t>Time</t>
  </si>
  <si>
    <t>Defense Destroyed</t>
  </si>
  <si>
    <t>Concurrent Event</t>
  </si>
  <si>
    <t>lvlimg</t>
  </si>
  <si>
    <t>Charge Step</t>
  </si>
  <si>
    <t>Equipment</t>
  </si>
  <si>
    <t>InvisTime</t>
  </si>
  <si>
    <t>RevivalTime</t>
  </si>
  <si>
    <t>Charge Stats</t>
  </si>
  <si>
    <t>Set Hero Pet Levels</t>
  </si>
  <si>
    <t>Pet Table</t>
  </si>
  <si>
    <t>Pet Name</t>
  </si>
  <si>
    <t>Pet Image</t>
  </si>
  <si>
    <t>THUnlock</t>
  </si>
  <si>
    <t>Pet Stats</t>
  </si>
  <si>
    <t>Cooldown</t>
  </si>
  <si>
    <t>Temporary Revival</t>
  </si>
  <si>
    <t>N/A</t>
  </si>
  <si>
    <t>Invisibility</t>
  </si>
  <si>
    <t>Spells</t>
  </si>
  <si>
    <t>Defenses Destroyed:</t>
  </si>
  <si>
    <t>Stats</t>
  </si>
  <si>
    <t>Total Time:</t>
  </si>
  <si>
    <t>ChargeStep</t>
  </si>
  <si>
    <t>SpiritFox Invis</t>
  </si>
  <si>
    <t>Invis Spell</t>
  </si>
  <si>
    <t>Ice Block Spell</t>
  </si>
  <si>
    <t>Recall Spell</t>
  </si>
  <si>
    <t>Phoenix Revival</t>
  </si>
  <si>
    <t>Concurrent Events</t>
  </si>
  <si>
    <t>CC Alerted</t>
  </si>
  <si>
    <t>Tornado Trap</t>
  </si>
  <si>
    <t>Activate Ability</t>
  </si>
  <si>
    <t>Giga Bomb Triggered</t>
  </si>
  <si>
    <t>Poison Tower Triggered</t>
  </si>
  <si>
    <t>Invisibility Redirect</t>
  </si>
  <si>
    <t>Spirit Fox Dies</t>
  </si>
  <si>
    <t>(Seconds)</t>
  </si>
  <si>
    <t>CC Status:</t>
  </si>
  <si>
    <t>CC Destroyed</t>
  </si>
  <si>
    <t>Prior Ticks</t>
  </si>
  <si>
    <t>Turn off tutorial UI? 1- ON, 0- OFF</t>
  </si>
  <si>
    <t>Other Stats</t>
  </si>
  <si>
    <t>Movement Speed; 3 tiles/second</t>
  </si>
  <si>
    <t>Wall Jump: Approx 0.25 seconds</t>
  </si>
  <si>
    <t>Spring Trap Triggered</t>
  </si>
  <si>
    <t>Invis Spell on Defense</t>
  </si>
  <si>
    <t>Royal Champion Charge</t>
  </si>
  <si>
    <t>Range:</t>
  </si>
  <si>
    <t>4 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</si>
</sst>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1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20"/>
      <color theme="1"/>
      <name val="Amasis MT Pro Black"/>
      <family val="1"/>
    </font>
    <font>
      <sz val="18"/>
      <color theme="1"/>
      <name val="Amasis MT Pro"/>
      <family val="1"/>
    </font>
    <font>
      <b/>
      <sz val="14"/>
      <color theme="1"/>
      <name val="Aptos Narrow"/>
      <family val="2"/>
      <scheme val="minor"/>
    </font>
    <font>
      <b/>
      <sz val="18"/>
      <color theme="1"/>
      <name val="Amasis MT Pro Black"/>
      <family val="1"/>
    </font>
    <font>
      <b/>
      <sz val="18"/>
      <color rgb="FFDC143C"/>
      <name val="Amasis MT Pro Black"/>
      <family val="1"/>
    </font>
    <font>
      <sz val="18"/>
      <color theme="9"/>
      <name val="Amasis MT Pro Black"/>
      <family val="1"/>
    </font>
    <font>
      <sz val="11"/>
      <color rgb="FFFF6600"/>
      <name val="Aptos Narrow"/>
      <family val="2"/>
      <scheme val="minor"/>
    </font>
    <font>
      <b/>
      <sz val="18"/>
      <color rgb="FFFF6600"/>
      <name val="Amasis MT Pro Medium"/>
      <family val="1"/>
    </font>
    <font>
      <b/>
      <sz val="18"/>
      <name val="Amasis MT Pro Black"/>
      <family val="1"/>
    </font>
    <font>
      <b/>
      <sz val="16"/>
      <color theme="8"/>
      <name val="Amasis MT Pro Medium"/>
      <family val="1"/>
    </font>
    <font>
      <b/>
      <sz val="18"/>
      <color theme="8"/>
      <name val="Amasis MT Pro Medium"/>
      <family val="1"/>
    </font>
    <font>
      <sz val="18"/>
      <color theme="1"/>
      <name val="Amasis MT Pro Black"/>
      <family val="1"/>
    </font>
    <font>
      <b/>
      <sz val="10"/>
      <color theme="1"/>
      <name val="Aptos Narrow"/>
      <family val="2"/>
      <scheme val="minor"/>
    </font>
    <font>
      <sz val="11"/>
      <color rgb="FF5FE7AE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2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E44D2E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DC143C"/>
        <bgColor indexed="64"/>
      </patternFill>
    </fill>
    <fill>
      <patternFill patternType="solid">
        <fgColor rgb="FF5FE7A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3" tint="0.89999084444715716"/>
        <bgColor indexed="64"/>
      </patternFill>
    </fill>
  </fills>
  <borders count="2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270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/>
    <xf numFmtId="0" fontId="0" fillId="3" borderId="0" xfId="0" applyFill="1" applyAlignment="1">
      <alignment vertical="center" wrapText="1"/>
    </xf>
    <xf numFmtId="3" fontId="0" fillId="3" borderId="0" xfId="0" applyNumberFormat="1" applyFill="1" applyAlignment="1">
      <alignment vertical="center" wrapText="1"/>
    </xf>
    <xf numFmtId="0" fontId="0" fillId="4" borderId="0" xfId="0" applyFill="1"/>
    <xf numFmtId="0" fontId="0" fillId="4" borderId="0" xfId="0" applyFill="1" applyAlignment="1">
      <alignment vertical="center" wrapText="1"/>
    </xf>
    <xf numFmtId="10" fontId="0" fillId="3" borderId="0" xfId="0" applyNumberFormat="1" applyFill="1"/>
    <xf numFmtId="12" fontId="0" fillId="3" borderId="0" xfId="0" applyNumberFormat="1" applyFill="1"/>
    <xf numFmtId="9" fontId="0" fillId="3" borderId="0" xfId="0" applyNumberFormat="1" applyFill="1"/>
    <xf numFmtId="0" fontId="0" fillId="5" borderId="0" xfId="0" applyFill="1"/>
    <xf numFmtId="0" fontId="0" fillId="5" borderId="0" xfId="0" applyFill="1" applyAlignment="1">
      <alignment vertical="center" wrapText="1"/>
    </xf>
    <xf numFmtId="0" fontId="0" fillId="6" borderId="0" xfId="0" applyFill="1"/>
    <xf numFmtId="0" fontId="0" fillId="6" borderId="0" xfId="0" applyFill="1" applyAlignment="1">
      <alignment vertical="center" wrapText="1"/>
    </xf>
    <xf numFmtId="3" fontId="0" fillId="6" borderId="0" xfId="0" applyNumberFormat="1" applyFill="1" applyAlignment="1">
      <alignment vertical="center" wrapText="1"/>
    </xf>
    <xf numFmtId="0" fontId="0" fillId="7" borderId="0" xfId="0" applyFill="1"/>
    <xf numFmtId="0" fontId="0" fillId="7" borderId="0" xfId="0" applyFill="1" applyAlignment="1">
      <alignment vertical="center" wrapText="1"/>
    </xf>
    <xf numFmtId="3" fontId="0" fillId="7" borderId="0" xfId="0" applyNumberFormat="1" applyFill="1" applyAlignment="1">
      <alignment vertical="center" wrapText="1"/>
    </xf>
    <xf numFmtId="0" fontId="0" fillId="8" borderId="0" xfId="0" applyFill="1"/>
    <xf numFmtId="0" fontId="0" fillId="8" borderId="0" xfId="0" applyFill="1" applyAlignment="1">
      <alignment vertical="center" wrapText="1"/>
    </xf>
    <xf numFmtId="3" fontId="0" fillId="8" borderId="0" xfId="0" applyNumberFormat="1" applyFill="1" applyAlignment="1">
      <alignment vertical="center" wrapText="1"/>
    </xf>
    <xf numFmtId="0" fontId="0" fillId="9" borderId="0" xfId="0" applyFill="1"/>
    <xf numFmtId="0" fontId="0" fillId="9" borderId="0" xfId="0" applyFill="1" applyAlignment="1">
      <alignment vertical="center" wrapText="1"/>
    </xf>
    <xf numFmtId="3" fontId="0" fillId="9" borderId="0" xfId="0" applyNumberFormat="1" applyFill="1" applyAlignment="1">
      <alignment vertical="center" wrapText="1"/>
    </xf>
    <xf numFmtId="0" fontId="0" fillId="10" borderId="0" xfId="0" applyFill="1"/>
    <xf numFmtId="0" fontId="0" fillId="10" borderId="0" xfId="0" applyFill="1" applyAlignment="1">
      <alignment vertical="center" wrapText="1"/>
    </xf>
    <xf numFmtId="3" fontId="0" fillId="10" borderId="0" xfId="0" applyNumberFormat="1" applyFill="1" applyAlignment="1">
      <alignment vertical="center" wrapText="1"/>
    </xf>
    <xf numFmtId="0" fontId="0" fillId="11" borderId="0" xfId="0" applyFill="1"/>
    <xf numFmtId="3" fontId="0" fillId="11" borderId="0" xfId="0" applyNumberFormat="1" applyFill="1"/>
    <xf numFmtId="0" fontId="0" fillId="12" borderId="0" xfId="0" applyFill="1"/>
    <xf numFmtId="0" fontId="0" fillId="12" borderId="0" xfId="0" applyFill="1" applyAlignment="1">
      <alignment vertical="center" wrapText="1"/>
    </xf>
    <xf numFmtId="3" fontId="0" fillId="12" borderId="0" xfId="0" applyNumberFormat="1" applyFill="1" applyAlignment="1">
      <alignment vertical="center" wrapText="1"/>
    </xf>
    <xf numFmtId="3" fontId="0" fillId="5" borderId="0" xfId="0" applyNumberFormat="1" applyFill="1" applyAlignment="1">
      <alignment vertical="center" wrapText="1"/>
    </xf>
    <xf numFmtId="3" fontId="0" fillId="4" borderId="0" xfId="0" applyNumberFormat="1" applyFill="1" applyAlignment="1">
      <alignment vertical="center" wrapText="1"/>
    </xf>
    <xf numFmtId="0" fontId="0" fillId="13" borderId="0" xfId="0" applyFill="1"/>
    <xf numFmtId="0" fontId="0" fillId="13" borderId="0" xfId="0" applyFill="1" applyAlignment="1">
      <alignment vertical="center" wrapText="1"/>
    </xf>
    <xf numFmtId="3" fontId="0" fillId="13" borderId="0" xfId="0" applyNumberFormat="1" applyFill="1" applyAlignment="1">
      <alignment vertical="center" wrapText="1"/>
    </xf>
    <xf numFmtId="0" fontId="0" fillId="11" borderId="0" xfId="0" applyFill="1" applyAlignment="1">
      <alignment vertical="center" wrapText="1"/>
    </xf>
    <xf numFmtId="3" fontId="0" fillId="11" borderId="0" xfId="0" applyNumberFormat="1" applyFill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vertical="center" wrapText="1"/>
    </xf>
    <xf numFmtId="3" fontId="0" fillId="14" borderId="0" xfId="0" applyNumberFormat="1" applyFill="1" applyAlignment="1">
      <alignment vertical="center" wrapText="1"/>
    </xf>
    <xf numFmtId="0" fontId="0" fillId="15" borderId="0" xfId="0" applyFill="1"/>
    <xf numFmtId="0" fontId="0" fillId="15" borderId="0" xfId="0" applyFill="1" applyAlignment="1">
      <alignment vertical="center" wrapText="1"/>
    </xf>
    <xf numFmtId="3" fontId="0" fillId="15" borderId="0" xfId="0" applyNumberFormat="1" applyFill="1" applyAlignment="1">
      <alignment vertical="center" wrapText="1"/>
    </xf>
    <xf numFmtId="0" fontId="0" fillId="16" borderId="0" xfId="0" applyFill="1"/>
    <xf numFmtId="0" fontId="0" fillId="16" borderId="0" xfId="0" applyFill="1" applyAlignment="1">
      <alignment vertical="center" wrapText="1"/>
    </xf>
    <xf numFmtId="3" fontId="0" fillId="16" borderId="0" xfId="0" applyNumberFormat="1" applyFill="1" applyAlignment="1">
      <alignment vertical="center" wrapText="1"/>
    </xf>
    <xf numFmtId="0" fontId="0" fillId="17" borderId="0" xfId="0" applyFill="1"/>
    <xf numFmtId="0" fontId="0" fillId="17" borderId="0" xfId="0" applyFill="1" applyAlignment="1">
      <alignment vertical="center" wrapText="1"/>
    </xf>
    <xf numFmtId="3" fontId="0" fillId="17" borderId="0" xfId="0" applyNumberFormat="1" applyFill="1" applyAlignment="1">
      <alignment vertical="center" wrapText="1"/>
    </xf>
    <xf numFmtId="0" fontId="0" fillId="18" borderId="0" xfId="0" applyFill="1"/>
    <xf numFmtId="0" fontId="0" fillId="18" borderId="0" xfId="0" applyFill="1" applyAlignment="1">
      <alignment vertical="center" wrapText="1"/>
    </xf>
    <xf numFmtId="3" fontId="0" fillId="18" borderId="0" xfId="0" applyNumberFormat="1" applyFill="1" applyAlignment="1">
      <alignment vertical="center" wrapText="1"/>
    </xf>
    <xf numFmtId="0" fontId="0" fillId="19" borderId="0" xfId="0" applyFill="1"/>
    <xf numFmtId="0" fontId="0" fillId="19" borderId="0" xfId="0" applyFill="1" applyAlignment="1">
      <alignment vertical="center" wrapText="1"/>
    </xf>
    <xf numFmtId="3" fontId="0" fillId="19" borderId="0" xfId="0" applyNumberFormat="1" applyFill="1" applyAlignment="1">
      <alignment vertical="center" wrapText="1"/>
    </xf>
    <xf numFmtId="0" fontId="0" fillId="20" borderId="0" xfId="0" applyFill="1"/>
    <xf numFmtId="0" fontId="0" fillId="20" borderId="1" xfId="0" applyFill="1" applyBorder="1"/>
    <xf numFmtId="0" fontId="0" fillId="20" borderId="4" xfId="0" applyFill="1" applyBorder="1"/>
    <xf numFmtId="0" fontId="0" fillId="21" borderId="0" xfId="0" applyFill="1"/>
    <xf numFmtId="0" fontId="1" fillId="21" borderId="0" xfId="0" applyFont="1" applyFill="1" applyAlignment="1">
      <alignment horizontal="centerContinuous"/>
    </xf>
    <xf numFmtId="0" fontId="0" fillId="21" borderId="0" xfId="0" applyFill="1" applyAlignment="1">
      <alignment horizontal="centerContinuous"/>
    </xf>
    <xf numFmtId="0" fontId="0" fillId="22" borderId="0" xfId="0" applyFill="1"/>
    <xf numFmtId="0" fontId="0" fillId="22" borderId="0" xfId="0" applyFill="1" applyAlignment="1">
      <alignment vertical="center" wrapText="1"/>
    </xf>
    <xf numFmtId="0" fontId="0" fillId="3" borderId="0" xfId="0" applyFill="1" applyAlignment="1">
      <alignment horizontal="right" vertical="center" wrapText="1"/>
    </xf>
    <xf numFmtId="0" fontId="0" fillId="3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4" fillId="4" borderId="0" xfId="0" applyFont="1" applyFill="1" applyAlignment="1">
      <alignment horizontal="centerContinuous" vertical="center"/>
    </xf>
    <xf numFmtId="0" fontId="0" fillId="6" borderId="0" xfId="0" applyFill="1" applyAlignment="1">
      <alignment horizontal="right"/>
    </xf>
    <xf numFmtId="0" fontId="0" fillId="7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9" borderId="0" xfId="0" applyFill="1" applyAlignment="1">
      <alignment horizontal="right"/>
    </xf>
    <xf numFmtId="0" fontId="0" fillId="13" borderId="0" xfId="0" applyFill="1" applyAlignment="1">
      <alignment horizontal="right"/>
    </xf>
    <xf numFmtId="0" fontId="0" fillId="14" borderId="0" xfId="0" applyFill="1" applyAlignment="1">
      <alignment horizontal="right"/>
    </xf>
    <xf numFmtId="0" fontId="0" fillId="15" borderId="0" xfId="0" applyFill="1" applyAlignment="1">
      <alignment horizontal="right"/>
    </xf>
    <xf numFmtId="0" fontId="0" fillId="16" borderId="0" xfId="0" applyFill="1" applyAlignment="1">
      <alignment horizontal="right"/>
    </xf>
    <xf numFmtId="0" fontId="0" fillId="17" borderId="0" xfId="0" applyFill="1" applyAlignment="1">
      <alignment horizontal="right"/>
    </xf>
    <xf numFmtId="0" fontId="0" fillId="18" borderId="0" xfId="0" applyFill="1" applyAlignment="1">
      <alignment horizontal="right"/>
    </xf>
    <xf numFmtId="0" fontId="1" fillId="14" borderId="0" xfId="0" applyFont="1" applyFill="1" applyAlignment="1">
      <alignment horizontal="centerContinuous"/>
    </xf>
    <xf numFmtId="0" fontId="0" fillId="14" borderId="0" xfId="0" applyFill="1" applyAlignment="1">
      <alignment horizontal="centerContinuous"/>
    </xf>
    <xf numFmtId="0" fontId="0" fillId="23" borderId="0" xfId="0" applyFill="1"/>
    <xf numFmtId="0" fontId="0" fillId="13" borderId="0" xfId="0" applyFill="1" applyAlignment="1">
      <alignment horizontal="center"/>
    </xf>
    <xf numFmtId="0" fontId="1" fillId="13" borderId="0" xfId="0" applyFont="1" applyFill="1"/>
    <xf numFmtId="0" fontId="0" fillId="6" borderId="1" xfId="0" applyFill="1" applyBorder="1"/>
    <xf numFmtId="0" fontId="0" fillId="6" borderId="4" xfId="0" applyFill="1" applyBorder="1"/>
    <xf numFmtId="0" fontId="0" fillId="25" borderId="0" xfId="0" applyFill="1"/>
    <xf numFmtId="0" fontId="6" fillId="13" borderId="0" xfId="0" applyFont="1" applyFill="1" applyAlignment="1">
      <alignment vertical="center"/>
    </xf>
    <xf numFmtId="0" fontId="0" fillId="13" borderId="0" xfId="0" applyFill="1" applyAlignment="1">
      <alignment vertical="center"/>
    </xf>
    <xf numFmtId="0" fontId="1" fillId="2" borderId="0" xfId="0" applyFont="1" applyFill="1"/>
    <xf numFmtId="0" fontId="1" fillId="21" borderId="0" xfId="0" applyFont="1" applyFill="1"/>
    <xf numFmtId="0" fontId="1" fillId="21" borderId="0" xfId="0" applyFont="1" applyFill="1" applyAlignment="1">
      <alignment horizontal="center"/>
    </xf>
    <xf numFmtId="0" fontId="0" fillId="24" borderId="0" xfId="0" applyFill="1" applyAlignment="1">
      <alignment horizontal="right"/>
    </xf>
    <xf numFmtId="0" fontId="1" fillId="7" borderId="4" xfId="0" applyFont="1" applyFill="1" applyBorder="1"/>
    <xf numFmtId="0" fontId="1" fillId="7" borderId="0" xfId="0" applyFont="1" applyFill="1"/>
    <xf numFmtId="0" fontId="0" fillId="7" borderId="4" xfId="0" applyFill="1" applyBorder="1"/>
    <xf numFmtId="0" fontId="1" fillId="22" borderId="4" xfId="0" applyFont="1" applyFill="1" applyBorder="1"/>
    <xf numFmtId="0" fontId="1" fillId="22" borderId="0" xfId="0" applyFont="1" applyFill="1"/>
    <xf numFmtId="0" fontId="0" fillId="22" borderId="4" xfId="0" applyFill="1" applyBorder="1"/>
    <xf numFmtId="0" fontId="1" fillId="17" borderId="0" xfId="0" applyFont="1" applyFill="1"/>
    <xf numFmtId="10" fontId="0" fillId="17" borderId="0" xfId="0" applyNumberFormat="1" applyFill="1"/>
    <xf numFmtId="0" fontId="0" fillId="24" borderId="0" xfId="0" applyFill="1"/>
    <xf numFmtId="0" fontId="0" fillId="26" borderId="0" xfId="0" applyFill="1"/>
    <xf numFmtId="0" fontId="1" fillId="26" borderId="0" xfId="0" applyFont="1" applyFill="1"/>
    <xf numFmtId="0" fontId="0" fillId="6" borderId="4" xfId="0" applyFill="1" applyBorder="1" applyAlignment="1">
      <alignment horizontal="centerContinuous"/>
    </xf>
    <xf numFmtId="0" fontId="0" fillId="6" borderId="0" xfId="0" applyFill="1" applyAlignment="1">
      <alignment horizontal="centerContinuous"/>
    </xf>
    <xf numFmtId="3" fontId="0" fillId="8" borderId="0" xfId="0" applyNumberFormat="1" applyFill="1"/>
    <xf numFmtId="0" fontId="0" fillId="27" borderId="0" xfId="0" applyFill="1"/>
    <xf numFmtId="0" fontId="0" fillId="28" borderId="0" xfId="0" applyFill="1"/>
    <xf numFmtId="0" fontId="0" fillId="29" borderId="11" xfId="0" applyFill="1" applyBorder="1"/>
    <xf numFmtId="0" fontId="1" fillId="6" borderId="0" xfId="0" applyFont="1" applyFill="1" applyAlignment="1">
      <alignment horizontal="center"/>
    </xf>
    <xf numFmtId="0" fontId="15" fillId="6" borderId="4" xfId="0" applyFont="1" applyFill="1" applyBorder="1"/>
    <xf numFmtId="0" fontId="0" fillId="20" borderId="16" xfId="0" applyFill="1" applyBorder="1"/>
    <xf numFmtId="0" fontId="0" fillId="20" borderId="0" xfId="0" applyFill="1" applyAlignment="1">
      <alignment horizontal="center" vertical="center"/>
    </xf>
    <xf numFmtId="0" fontId="0" fillId="20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" fillId="10" borderId="0" xfId="0" applyFont="1" applyFill="1"/>
    <xf numFmtId="0" fontId="0" fillId="30" borderId="5" xfId="0" applyFill="1" applyBorder="1"/>
    <xf numFmtId="0" fontId="1" fillId="10" borderId="7" xfId="0" applyFont="1" applyFill="1" applyBorder="1"/>
    <xf numFmtId="0" fontId="1" fillId="28" borderId="0" xfId="0" applyFont="1" applyFill="1" applyAlignment="1">
      <alignment horizontal="center"/>
    </xf>
    <xf numFmtId="0" fontId="0" fillId="30" borderId="21" xfId="0" applyFill="1" applyBorder="1"/>
    <xf numFmtId="0" fontId="1" fillId="28" borderId="5" xfId="0" applyFont="1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1" fillId="28" borderId="0" xfId="0" applyFont="1" applyFill="1"/>
    <xf numFmtId="0" fontId="0" fillId="32" borderId="0" xfId="0" applyFill="1"/>
    <xf numFmtId="0" fontId="1" fillId="28" borderId="0" xfId="0" applyFont="1" applyFill="1" applyAlignment="1">
      <alignment horizontal="right"/>
    </xf>
    <xf numFmtId="0" fontId="0" fillId="29" borderId="11" xfId="0" applyFill="1" applyBorder="1" applyProtection="1">
      <protection locked="0"/>
    </xf>
    <xf numFmtId="0" fontId="0" fillId="23" borderId="0" xfId="0" applyFill="1" applyProtection="1">
      <protection locked="0"/>
    </xf>
    <xf numFmtId="0" fontId="0" fillId="5" borderId="0" xfId="0" applyFill="1" applyProtection="1">
      <protection locked="0"/>
    </xf>
    <xf numFmtId="0" fontId="0" fillId="21" borderId="0" xfId="0" applyFill="1" applyProtection="1">
      <protection locked="0"/>
    </xf>
    <xf numFmtId="0" fontId="0" fillId="7" borderId="0" xfId="0" applyFill="1" applyProtection="1">
      <protection locked="0"/>
    </xf>
    <xf numFmtId="0" fontId="0" fillId="6" borderId="0" xfId="0" applyFill="1" applyProtection="1">
      <protection locked="0"/>
    </xf>
    <xf numFmtId="0" fontId="0" fillId="7" borderId="1" xfId="0" applyFill="1" applyBorder="1" applyAlignment="1" applyProtection="1">
      <alignment horizontal="centerContinuous"/>
      <protection locked="0"/>
    </xf>
    <xf numFmtId="0" fontId="0" fillId="7" borderId="0" xfId="0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2" fillId="11" borderId="4" xfId="0" applyFont="1" applyFill="1" applyBorder="1" applyAlignment="1">
      <alignment horizontal="center"/>
    </xf>
    <xf numFmtId="0" fontId="13" fillId="11" borderId="0" xfId="0" applyFont="1" applyFill="1" applyAlignment="1">
      <alignment horizontal="center"/>
    </xf>
    <xf numFmtId="0" fontId="13" fillId="11" borderId="4" xfId="0" applyFont="1" applyFill="1" applyBorder="1" applyAlignment="1">
      <alignment horizontal="center"/>
    </xf>
    <xf numFmtId="0" fontId="1" fillId="22" borderId="0" xfId="0" applyFont="1" applyFill="1" applyAlignment="1">
      <alignment horizontal="center" wrapText="1"/>
    </xf>
    <xf numFmtId="0" fontId="0" fillId="21" borderId="0" xfId="0" applyFill="1" applyAlignment="1">
      <alignment horizontal="center"/>
    </xf>
    <xf numFmtId="0" fontId="1" fillId="21" borderId="0" xfId="0" applyFont="1" applyFill="1" applyAlignment="1" applyProtection="1">
      <alignment horizontal="center"/>
      <protection locked="0"/>
    </xf>
    <xf numFmtId="0" fontId="0" fillId="24" borderId="0" xfId="0" applyFill="1" applyAlignment="1">
      <alignment horizontal="center"/>
    </xf>
    <xf numFmtId="0" fontId="11" fillId="25" borderId="0" xfId="0" applyFont="1" applyFill="1" applyAlignment="1">
      <alignment horizontal="center"/>
    </xf>
    <xf numFmtId="0" fontId="0" fillId="6" borderId="6" xfId="0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0" fontId="7" fillId="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10" fillId="15" borderId="4" xfId="0" applyFont="1" applyFill="1" applyBorder="1" applyAlignment="1">
      <alignment horizontal="center"/>
    </xf>
    <xf numFmtId="0" fontId="9" fillId="15" borderId="0" xfId="0" applyFont="1" applyFill="1" applyAlignment="1">
      <alignment horizontal="center"/>
    </xf>
    <xf numFmtId="0" fontId="9" fillId="15" borderId="4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4" xfId="0" applyFill="1" applyBorder="1" applyAlignment="1">
      <alignment horizontal="right"/>
    </xf>
    <xf numFmtId="0" fontId="0" fillId="6" borderId="0" xfId="0" applyFill="1" applyAlignment="1">
      <alignment horizontal="right"/>
    </xf>
    <xf numFmtId="0" fontId="0" fillId="13" borderId="0" xfId="0" applyFill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29" borderId="12" xfId="0" applyFill="1" applyBorder="1" applyAlignment="1" applyProtection="1">
      <alignment horizontal="center"/>
      <protection locked="0"/>
    </xf>
    <xf numFmtId="0" fontId="0" fillId="29" borderId="13" xfId="0" applyFill="1" applyBorder="1" applyAlignment="1" applyProtection="1">
      <alignment horizontal="center"/>
      <protection locked="0"/>
    </xf>
    <xf numFmtId="0" fontId="14" fillId="18" borderId="0" xfId="0" applyFont="1" applyFill="1" applyAlignment="1">
      <alignment horizontal="center"/>
    </xf>
    <xf numFmtId="0" fontId="11" fillId="25" borderId="0" xfId="0" applyFont="1" applyFill="1" applyAlignment="1">
      <alignment horizontal="center" vertical="center"/>
    </xf>
    <xf numFmtId="0" fontId="0" fillId="7" borderId="6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6" borderId="0" xfId="0" applyFill="1" applyAlignment="1" applyProtection="1">
      <alignment horizontal="right"/>
      <protection locked="0"/>
    </xf>
    <xf numFmtId="0" fontId="0" fillId="7" borderId="0" xfId="0" applyFill="1" applyAlignment="1">
      <alignment horizontal="center" wrapText="1"/>
    </xf>
    <xf numFmtId="0" fontId="0" fillId="29" borderId="6" xfId="0" applyFill="1" applyBorder="1" applyAlignment="1">
      <alignment horizontal="center"/>
    </xf>
    <xf numFmtId="0" fontId="0" fillId="29" borderId="10" xfId="0" applyFill="1" applyBorder="1" applyAlignment="1">
      <alignment horizontal="center"/>
    </xf>
    <xf numFmtId="0" fontId="14" fillId="18" borderId="0" xfId="0" applyFont="1" applyFill="1" applyAlignment="1">
      <alignment horizontal="center" vertical="center"/>
    </xf>
    <xf numFmtId="0" fontId="1" fillId="9" borderId="12" xfId="0" applyFont="1" applyFill="1" applyBorder="1" applyAlignment="1">
      <alignment horizontal="center"/>
    </xf>
    <xf numFmtId="0" fontId="1" fillId="9" borderId="20" xfId="0" applyFont="1" applyFill="1" applyBorder="1" applyAlignment="1">
      <alignment horizontal="center"/>
    </xf>
    <xf numFmtId="0" fontId="0" fillId="0" borderId="5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/>
      <protection locked="0"/>
    </xf>
    <xf numFmtId="0" fontId="0" fillId="10" borderId="7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5" xfId="0" applyFill="1" applyBorder="1" applyAlignment="1">
      <alignment horizontal="center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1" fillId="28" borderId="19" xfId="0" applyFont="1" applyFill="1" applyBorder="1" applyAlignment="1">
      <alignment horizontal="center"/>
    </xf>
    <xf numFmtId="0" fontId="1" fillId="28" borderId="11" xfId="0" applyFont="1" applyFill="1" applyBorder="1" applyAlignment="1">
      <alignment horizontal="center"/>
    </xf>
    <xf numFmtId="0" fontId="0" fillId="28" borderId="19" xfId="0" applyFill="1" applyBorder="1" applyAlignment="1">
      <alignment horizontal="center"/>
    </xf>
    <xf numFmtId="0" fontId="0" fillId="28" borderId="11" xfId="0" applyFill="1" applyBorder="1" applyAlignment="1">
      <alignment horizontal="center"/>
    </xf>
    <xf numFmtId="43" fontId="1" fillId="28" borderId="0" xfId="1" applyFont="1" applyFill="1" applyAlignment="1">
      <alignment horizontal="center" vertical="center"/>
    </xf>
    <xf numFmtId="43" fontId="0" fillId="28" borderId="0" xfId="1" applyFont="1" applyFill="1" applyAlignment="1">
      <alignment horizontal="center" vertical="center"/>
    </xf>
    <xf numFmtId="0" fontId="1" fillId="12" borderId="0" xfId="0" applyFont="1" applyFill="1" applyAlignment="1">
      <alignment horizontal="center"/>
    </xf>
    <xf numFmtId="0" fontId="16" fillId="27" borderId="4" xfId="0" applyFont="1" applyFill="1" applyBorder="1" applyAlignment="1">
      <alignment horizontal="center"/>
    </xf>
    <xf numFmtId="0" fontId="0" fillId="31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7" borderId="19" xfId="0" applyFill="1" applyBorder="1" applyAlignment="1" applyProtection="1">
      <alignment horizontal="center"/>
      <protection locked="0"/>
    </xf>
    <xf numFmtId="0" fontId="0" fillId="7" borderId="11" xfId="0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6" borderId="9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0" xfId="0" applyFill="1" applyAlignment="1">
      <alignment horizontal="center" vertical="center"/>
    </xf>
    <xf numFmtId="0" fontId="1" fillId="7" borderId="4" xfId="0" applyFont="1" applyFill="1" applyBorder="1" applyAlignment="1">
      <alignment horizontal="left"/>
    </xf>
    <xf numFmtId="0" fontId="0" fillId="7" borderId="0" xfId="0" applyFill="1" applyAlignment="1">
      <alignment horizontal="left"/>
    </xf>
    <xf numFmtId="0" fontId="0" fillId="6" borderId="18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7" borderId="18" xfId="0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0" fillId="6" borderId="4" xfId="0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 wrapText="1"/>
    </xf>
    <xf numFmtId="0" fontId="0" fillId="20" borderId="0" xfId="0" applyFill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6" borderId="8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1" fillId="2" borderId="0" xfId="0" applyFont="1" applyFill="1" applyAlignment="1">
      <alignment horizontal="right"/>
    </xf>
    <xf numFmtId="0" fontId="1" fillId="2" borderId="1" xfId="0" applyFont="1" applyFill="1" applyBorder="1" applyAlignment="1">
      <alignment horizontal="right"/>
    </xf>
    <xf numFmtId="0" fontId="3" fillId="9" borderId="14" xfId="0" applyFont="1" applyFill="1" applyBorder="1" applyAlignment="1">
      <alignment horizontal="center" vertical="center"/>
    </xf>
    <xf numFmtId="0" fontId="3" fillId="9" borderId="16" xfId="0" applyFont="1" applyFill="1" applyBorder="1" applyAlignment="1">
      <alignment horizontal="center" vertical="center"/>
    </xf>
    <xf numFmtId="0" fontId="3" fillId="9" borderId="15" xfId="0" applyFont="1" applyFill="1" applyBorder="1" applyAlignment="1">
      <alignment horizontal="center" vertical="center"/>
    </xf>
    <xf numFmtId="0" fontId="3" fillId="9" borderId="17" xfId="0" applyFont="1" applyFill="1" applyBorder="1" applyAlignment="1">
      <alignment horizontal="center" vertical="center"/>
    </xf>
    <xf numFmtId="0" fontId="18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22" borderId="0" xfId="0" applyFill="1" applyAlignment="1">
      <alignment horizontal="center"/>
    </xf>
    <xf numFmtId="0" fontId="5" fillId="14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2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5" fillId="4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5" fillId="15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7" borderId="0" xfId="0" applyFont="1" applyFill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5" fillId="18" borderId="0" xfId="0" applyFont="1" applyFill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1" fillId="7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9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7"/>
        </patternFill>
      </fill>
    </dxf>
    <dxf>
      <font>
        <strike val="0"/>
      </font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3" tint="0.749961851863155"/>
        </patternFill>
      </fill>
    </dxf>
    <dxf>
      <fill>
        <patternFill>
          <bgColor rgb="FFDE4D70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39994506668294322"/>
        </patternFill>
      </fill>
    </dxf>
    <dxf>
      <fill>
        <patternFill>
          <bgColor theme="3" tint="0.89996032593768116"/>
        </patternFill>
      </fill>
    </dxf>
    <dxf>
      <fill>
        <patternFill>
          <bgColor theme="5" tint="-0.24994659260841701"/>
        </patternFill>
      </fill>
    </dxf>
    <dxf>
      <fill>
        <patternFill>
          <bgColor theme="5"/>
        </patternFill>
      </fill>
    </dxf>
    <dxf>
      <font>
        <b/>
        <i val="0"/>
        <strike val="0"/>
      </font>
      <fill>
        <patternFill>
          <bgColor theme="3" tint="0.749961851863155"/>
        </patternFill>
      </fill>
    </dxf>
    <dxf>
      <fill>
        <patternFill>
          <fgColor rgb="FF5FE7AE"/>
          <bgColor rgb="FF72EAB4"/>
        </patternFill>
      </fill>
    </dxf>
    <dxf>
      <fill>
        <patternFill>
          <bgColor theme="3" tint="0.89996032593768116"/>
        </patternFill>
      </fill>
    </dxf>
    <dxf>
      <fill>
        <patternFill>
          <fgColor rgb="FF5FE7AE"/>
          <bgColor rgb="FF72EAB4"/>
        </patternFill>
      </fill>
    </dxf>
    <dxf>
      <fill>
        <patternFill>
          <bgColor theme="3" tint="0.749961851863155"/>
        </patternFill>
      </fill>
    </dxf>
    <dxf>
      <fill>
        <patternFill>
          <bgColor rgb="FFDE4D70"/>
        </patternFill>
      </fill>
    </dxf>
    <dxf>
      <fill>
        <patternFill>
          <bgColor theme="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5FE7AE"/>
        </patternFill>
      </fill>
    </dxf>
    <dxf>
      <fill>
        <patternFill>
          <bgColor theme="3" tint="0.749961851863155"/>
        </patternFill>
      </fill>
    </dxf>
    <dxf>
      <fill>
        <patternFill>
          <bgColor rgb="FFFFFF99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  <border>
        <left/>
        <right/>
        <top/>
        <bottom/>
        <vertical/>
        <horizontal/>
      </border>
    </dxf>
    <dxf>
      <fill>
        <patternFill>
          <b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4" tint="0.3999450666829432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</dxf>
    <dxf>
      <numFmt numFmtId="3" formatCode="#,##0"/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  <alignment horizontal="right" vertical="center" textRotation="0" wrapText="1" indent="0" justifyLastLine="0" shrinkToFit="0" readingOrder="0"/>
    </dxf>
    <dxf>
      <fill>
        <patternFill patternType="solid">
          <fgColor indexed="64"/>
          <bgColor theme="0" tint="-0.249977111117893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0" tint="-0.249977111117893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0" tint="-0.249977111117893"/>
        </patternFill>
      </fill>
      <alignment horizontal="general" vertical="center" textRotation="0" wrapText="1" indent="0" justifyLastLine="0" shrinkToFit="0" readingOrder="0"/>
    </dxf>
    <dxf>
      <numFmt numFmtId="17" formatCode="#\ ?/?"/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</dxf>
    <dxf>
      <numFmt numFmtId="13" formatCode="0%"/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theme="5" tint="0.39997558519241921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 tint="0.39997558519241921"/>
        </patternFill>
      </fill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59999389629810485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59999389629810485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59999389629810485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59999389629810485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rgb="FFFFFF99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FF99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FF99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FF99"/>
        </patternFill>
      </fill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rgb="FFFF6600"/>
        </patternFill>
      </fill>
    </dxf>
    <dxf>
      <fill>
        <patternFill patternType="solid">
          <fgColor indexed="64"/>
          <bgColor theme="8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8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8" tint="0.79998168889431442"/>
        </patternFill>
      </fill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3" formatCode="#,##0"/>
      <alignment horizontal="general" vertical="center" textRotation="0" wrapText="1" indent="0" justifyLastLine="0" shrinkToFit="0" readingOrder="0"/>
    </dxf>
    <dxf>
      <numFmt numFmtId="3" formatCode="#,##0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2" defaultTableStyle="TableStyleMedium2" defaultPivotStyle="PivotStyleLight16">
    <tableStyle name="Table Style 1" pivot="0" count="0" xr9:uid="{E66F796A-49F7-4A16-B096-D4FA86BAB2E8}"/>
    <tableStyle name="Table Style 2" pivot="0" count="0" xr9:uid="{EDAC7D59-8BC3-4F78-825E-67D5B0AF12A2}"/>
  </tableStyles>
  <colors>
    <mruColors>
      <color rgb="FFFFFF99"/>
      <color rgb="FF5FE7AE"/>
      <color rgb="FFE44D2E"/>
      <color rgb="FFFF6600"/>
      <color rgb="FFDE4D70"/>
      <color rgb="FF72EAB4"/>
      <color rgb="FF5AE098"/>
      <color rgb="FF66FF33"/>
      <color rgb="FFFF7C80"/>
      <color rgb="FFDC14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4" Type="http://schemas.openxmlformats.org/officeDocument/2006/relationships/image" Target="../media/image2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10886</xdr:colOff>
      <xdr:row>17</xdr:row>
      <xdr:rowOff>125186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9ED6F3-F568-873F-FC3B-15F022381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76600" cy="3276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4</xdr:col>
      <xdr:colOff>563153</xdr:colOff>
      <xdr:row>25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89AB8-C4CE-82C9-803E-6855A01F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26429"/>
          <a:ext cx="3175724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563153</xdr:colOff>
      <xdr:row>14</xdr:row>
      <xdr:rowOff>24266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D8E5F8-1CFA-3950-2BDE-D177C846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5724" cy="29851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288471</xdr:colOff>
      <xdr:row>0</xdr:row>
      <xdr:rowOff>0</xdr:rowOff>
    </xdr:from>
    <xdr:to>
      <xdr:col>1</xdr:col>
      <xdr:colOff>304799</xdr:colOff>
      <xdr:row>3</xdr:row>
      <xdr:rowOff>114300</xdr:rowOff>
    </xdr:to>
    <xdr:pic>
      <xdr:nvPicPr>
        <xdr:cNvPr id="3" name="ss_img">
          <a:extLst>
            <a:ext uri="{FF2B5EF4-FFF2-40B4-BE49-F238E27FC236}">
              <a16:creationId xmlns:a16="http://schemas.microsoft.com/office/drawing/2014/main" id="{98ECC97B-2309-EB89-5585-C0202E710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471" y="0"/>
          <a:ext cx="669471" cy="669471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299358</xdr:colOff>
      <xdr:row>0</xdr:row>
      <xdr:rowOff>0</xdr:rowOff>
    </xdr:from>
    <xdr:to>
      <xdr:col>6</xdr:col>
      <xdr:colOff>353787</xdr:colOff>
      <xdr:row>3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927F16-2AE5-8384-3797-2C9D3D41B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5072" y="0"/>
          <a:ext cx="707572" cy="707572"/>
        </a:xfrm>
        <a:prstGeom prst="rect">
          <a:avLst/>
        </a:prstGeom>
      </xdr:spPr>
    </xdr:pic>
    <xdr:clientData/>
  </xdr:twoCellAnchor>
  <xdr:twoCellAnchor editAs="oneCell">
    <xdr:from>
      <xdr:col>10</xdr:col>
      <xdr:colOff>195943</xdr:colOff>
      <xdr:row>0</xdr:row>
      <xdr:rowOff>0</xdr:rowOff>
    </xdr:from>
    <xdr:to>
      <xdr:col>11</xdr:col>
      <xdr:colOff>489859</xdr:colOff>
      <xdr:row>5</xdr:row>
      <xdr:rowOff>21772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DB92B1-ECB5-EE4F-BA0C-1B55490C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7372" y="0"/>
          <a:ext cx="947058" cy="947058"/>
        </a:xfrm>
        <a:prstGeom prst="rect">
          <a:avLst/>
        </a:prstGeom>
      </xdr:spPr>
    </xdr:pic>
    <xdr:clientData/>
  </xdr:twoCellAnchor>
  <xdr:twoCellAnchor editAs="oneCell">
    <xdr:from>
      <xdr:col>17</xdr:col>
      <xdr:colOff>228599</xdr:colOff>
      <xdr:row>0</xdr:row>
      <xdr:rowOff>27216</xdr:rowOff>
    </xdr:from>
    <xdr:to>
      <xdr:col>18</xdr:col>
      <xdr:colOff>520137</xdr:colOff>
      <xdr:row>4</xdr:row>
      <xdr:rowOff>108859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83739A-76DC-9255-DDD3-A4AA5CE84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2028" y="27216"/>
          <a:ext cx="944680" cy="82187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atel, Sachit" id="{A4B11643-50CC-4C71-BF74-72926DC798A9}" userId="S::SPATE354@depaul.edu::059d3ba4-3ef0-4888-a03a-75c12b0f623e" providerId="AD"/>
</personList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57">
  <rv s="0">
    <v>0</v>
    <v>4</v>
  </rv>
  <rv s="0">
    <v>1</v>
    <v>4</v>
  </rv>
  <rv s="0">
    <v>2</v>
    <v>4</v>
  </rv>
  <rv s="0">
    <v>3</v>
    <v>5</v>
  </rv>
  <rv s="0">
    <v>4</v>
    <v>5</v>
  </rv>
  <rv s="0">
    <v>5</v>
    <v>5</v>
  </rv>
  <rv s="0">
    <v>6</v>
    <v>4</v>
  </rv>
  <rv s="0">
    <v>7</v>
    <v>4</v>
  </rv>
  <rv s="0">
    <v>8</v>
    <v>4</v>
  </rv>
  <rv s="0">
    <v>9</v>
    <v>4</v>
  </rv>
  <rv s="0">
    <v>10</v>
    <v>4</v>
  </rv>
  <rv s="0">
    <v>11</v>
    <v>4</v>
  </rv>
  <rv s="0">
    <v>10</v>
    <v>5</v>
  </rv>
  <rv s="0">
    <v>2</v>
    <v>5</v>
  </rv>
  <rv s="0">
    <v>11</v>
    <v>5</v>
  </rv>
  <rv s="0">
    <v>8</v>
    <v>5</v>
  </rv>
  <rv s="0">
    <v>9</v>
    <v>5</v>
  </rv>
  <rv s="0">
    <v>1</v>
    <v>5</v>
  </rv>
  <rv s="0">
    <v>6</v>
    <v>5</v>
  </rv>
  <rv s="0">
    <v>7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12</v>
    <v>4</v>
  </rv>
  <rv s="0">
    <v>0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13</v>
    <v>4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14</v>
    <v>4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15</v>
    <v>4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16</v>
    <v>4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17</v>
    <v>4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18</v>
    <v>4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19</v>
    <v>4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20</v>
    <v>4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21</v>
    <v>4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22</v>
    <v>4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23</v>
    <v>4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24</v>
    <v>4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25</v>
    <v>4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26</v>
    <v>4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27</v>
    <v>4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28</v>
    <v>4</v>
  </rv>
  <rv s="0">
    <v>211</v>
    <v>5</v>
  </rv>
  <rv s="0">
    <v>212</v>
    <v>5</v>
  </rv>
  <rv s="0">
    <v>213</v>
    <v>5</v>
  </rv>
  <rv s="0">
    <v>214</v>
    <v>5</v>
  </rv>
  <rv s="0">
    <v>215</v>
    <v>5</v>
  </rv>
  <rv s="1">
    <v>216</v>
    <v>5</v>
    <v>Level 17</v>
  </rv>
  <rv s="0">
    <v>29</v>
    <v>4</v>
  </rv>
  <rv s="0">
    <v>217</v>
    <v>5</v>
  </rv>
  <rv s="0">
    <v>218</v>
    <v>5</v>
  </rv>
  <rv s="0">
    <v>219</v>
    <v>5</v>
  </rv>
  <rv s="0">
    <v>220</v>
    <v>5</v>
  </rv>
  <rv s="0">
    <v>30</v>
    <v>4</v>
  </rv>
  <rv s="0">
    <v>221</v>
    <v>5</v>
  </rv>
  <rv s="0">
    <v>222</v>
    <v>5</v>
  </rv>
  <rv s="0">
    <v>223</v>
    <v>5</v>
  </rv>
  <rv s="0">
    <v>31</v>
    <v>4</v>
  </rv>
  <rv s="0">
    <v>224</v>
    <v>5</v>
  </rv>
  <rv s="0">
    <v>225</v>
    <v>5</v>
  </rv>
  <rv s="0">
    <v>226</v>
    <v>5</v>
  </rv>
  <rv s="0">
    <v>227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19FBBFD-1F14-419A-A245-7751B2A408BC}" name="Table16" displayName="Table16" ref="A1:E51" totalsRowShown="0" dataDxfId="93">
  <autoFilter ref="A1:E51" xr:uid="{119FBBFD-1F14-419A-A245-7751B2A408BC}"/>
  <tableColumns count="5">
    <tableColumn id="1" xr3:uid="{01D78140-56CE-4397-B87F-09E1BBA7DD7F}" name="Level" dataDxfId="92"/>
    <tableColumn id="2" xr3:uid="{B4BE6587-EC9B-438C-A3B0-FF3D6FCF9775}" name="DPS" dataDxfId="91"/>
    <tableColumn id="3" xr3:uid="{1F1FEF2A-BE78-4D56-85B0-F75780568867}" name="DPHit" dataDxfId="90"/>
    <tableColumn id="4" xr3:uid="{A7084086-E622-4B72-A783-AE88ACFB6C9D}" name="HP" dataDxfId="89"/>
    <tableColumn id="5" xr3:uid="{C9DA4C82-F18E-4638-8D52-961772D5A318}" name="HPAbility" dataDxfId="8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075925-AA2D-4B9D-AC4A-D9A2B4A9519C}" name="Table4" displayName="Table4" ref="T3:AA21" totalsRowShown="0" headerRowDxfId="87" dataDxfId="86">
  <autoFilter ref="T3:AA21" xr:uid="{FA075925-AA2D-4B9D-AC4A-D9A2B4A9519C}"/>
  <tableColumns count="8">
    <tableColumn id="1" xr3:uid="{F03BF1C7-4A63-480C-A175-7EAC54BACA68}" name="Level" dataDxfId="85"/>
    <tableColumn id="2" xr3:uid="{A4C37C4D-6F94-4A25-B222-85B61CB6D402}" name="DPSBuff" dataDxfId="84"/>
    <tableColumn id="3" xr3:uid="{43F7EF5F-E38A-4D47-A233-4A43932D4408}" name="AtkSpdBuff" dataDxfId="83"/>
    <tableColumn id="4" xr3:uid="{FE4BC6C8-CE9D-4857-AD4C-F53BB9404D5F}" name="AbilityAtkSpd" dataDxfId="82"/>
    <tableColumn id="5" xr3:uid="{463A28D2-C6CD-4A57-B72A-59D174C34153}" name="HitspeedBuff" dataDxfId="81">
      <calculatedColumnFormula>1.2/V4</calculatedColumnFormula>
    </tableColumn>
    <tableColumn id="6" xr3:uid="{CEA10DB2-0C42-4510-88A2-2B1F1473E852}" name="Hitspeed passive + active" dataDxfId="80">
      <calculatedColumnFormula>X4/W4</calculatedColumnFormula>
    </tableColumn>
    <tableColumn id="7" xr3:uid="{CAD74E01-817D-449F-88B1-1D98B522714C}" name="SPDBuff" dataDxfId="79"/>
    <tableColumn id="8" xr3:uid="{30325175-F7D0-4E6D-BEED-3882513A0297}" name="Duration" dataDxfId="78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8FB973-253C-4AB9-9401-136F3A0322E7}" name="Table8" displayName="Table8" ref="N3:P30" totalsRowShown="0" headerRowDxfId="77" dataDxfId="76">
  <autoFilter ref="N3:P30" xr:uid="{908FB973-253C-4AB9-9401-136F3A0322E7}"/>
  <tableColumns count="3">
    <tableColumn id="1" xr3:uid="{FFC65F28-B3AE-4B85-BA6E-E40E7670D18D}" name="Level" dataDxfId="75"/>
    <tableColumn id="2" xr3:uid="{794BCACB-2991-44DD-ACFF-F3D0D3BFEFB1}" name="DPSBuff" dataDxfId="74"/>
    <tableColumn id="3" xr3:uid="{ABAA939B-AEC0-4306-A23A-7DAA450A285D}" name="AbilityHitBuff" dataDxfId="73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3165B50-97E6-44CA-B6B7-9EA8D76F31D6}" name="Table10" displayName="Table10" ref="I3:J21" totalsRowShown="0" headerRowDxfId="72" dataDxfId="71">
  <autoFilter ref="I3:J21" xr:uid="{F3165B50-97E6-44CA-B6B7-9EA8D76F31D6}"/>
  <tableColumns count="2">
    <tableColumn id="1" xr3:uid="{ABA129B5-B68B-4048-BD1F-5A2314343746}" name="Level" dataDxfId="70"/>
    <tableColumn id="2" xr3:uid="{DB87A710-2727-4E3F-8F6A-7855E8F25958}" name="DPSBuff" dataDxfId="69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E07EED1-7E4F-4D0D-AE22-6D03B44A5A69}" name="Table11" displayName="Table11" ref="C3:E30" totalsRowShown="0" headerRowDxfId="68" dataDxfId="67">
  <autoFilter ref="C3:E30" xr:uid="{2E07EED1-7E4F-4D0D-AE22-6D03B44A5A69}"/>
  <tableColumns count="3">
    <tableColumn id="1" xr3:uid="{19FD8BB5-63E0-4D70-99DD-E78535D0E15F}" name="Level" dataDxfId="66"/>
    <tableColumn id="2" xr3:uid="{B8F05E6E-B730-4109-A2E5-7D27BF66BA62}" name="AuraDPS" dataDxfId="65"/>
    <tableColumn id="3" xr3:uid="{CC84BFBB-2968-479A-B01E-16075CA9E63C}" name="AuraDPHit" dataDxfId="64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1EE3F79-ECC7-4A84-B5CC-ADEA7457962D}" name="DMGSpiritFox" displayName="DMGSpiritFox" ref="Y3:AB13" totalsRowShown="0" headerRowDxfId="63" dataDxfId="62">
  <autoFilter ref="Y3:AB13" xr:uid="{31EE3F79-ECC7-4A84-B5CC-ADEA7457962D}"/>
  <tableColumns count="4">
    <tableColumn id="1" xr3:uid="{8DDC2E62-F1F8-4568-A96C-6A68D0A7CE3D}" name="Level" dataDxfId="61"/>
    <tableColumn id="2" xr3:uid="{7C64444B-A959-4ED8-B54D-9EA3B0ACE7B6}" name="DPS" dataDxfId="60"/>
    <tableColumn id="3" xr3:uid="{7FBE3383-3F04-47AC-8239-798DB9C94D55}" name="DPHit" dataDxfId="59"/>
    <tableColumn id="4" xr3:uid="{16724A01-B3BD-4417-93E1-830340F0F6C7}" name="InvisTime" dataDxfId="58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5E73DE-F885-4592-AE1D-D44E66FDE721}" name="Table9" displayName="Table9" ref="T3:U8" totalsRowShown="0" dataDxfId="57">
  <autoFilter ref="T3:U8" xr:uid="{905E73DE-F885-4592-AE1D-D44E66FDE721}"/>
  <tableColumns count="2">
    <tableColumn id="1" xr3:uid="{2FDE6F3D-6C8F-4B94-8B63-60701A00E86C}" name="Level" dataDxfId="56"/>
    <tableColumn id="2" xr3:uid="{0F488ECB-C5C1-4613-A1A7-D6C5F5076CA7}" name="DMG/Log" dataDxfId="55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F230A2E-C755-47C5-B434-6CD3E8682B19}" name="Table12" displayName="Table12" ref="M3:P8" totalsRowShown="0" headerRowDxfId="54">
  <autoFilter ref="M3:P8" xr:uid="{0F230A2E-C755-47C5-B434-6CD3E8682B19}"/>
  <tableColumns count="4">
    <tableColumn id="1" xr3:uid="{CD5CB40C-F857-4751-A1E3-224280280757}" name="Level" dataDxfId="53"/>
    <tableColumn id="2" xr3:uid="{A415036D-23B9-4220-A18D-B7C047717337}" name="DPS%" dataDxfId="52"/>
    <tableColumn id="3" xr3:uid="{8E5F4BE9-C3FC-45A9-B13A-E8A2F7080D4F}" name="EQPenalty" dataDxfId="51"/>
    <tableColumn id="4" xr3:uid="{0C83716F-1B54-4195-8F9A-ADE9289AAE19}" name="Penalty%" dataDxfId="50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F7F8550-9D22-4B00-9C7D-05D97A9545CF}" name="Table13" displayName="Table13" ref="H3:I21" totalsRowShown="0" dataDxfId="49">
  <autoFilter ref="H3:I21" xr:uid="{9F7F8550-9D22-4B00-9C7D-05D97A9545CF}"/>
  <tableColumns count="2">
    <tableColumn id="1" xr3:uid="{AD02F2DF-346B-45EA-A490-7B2956239065}" name="Level" dataDxfId="48"/>
    <tableColumn id="2" xr3:uid="{6EF87028-7F2E-4811-86B7-5B1718C702EA}" name="DMG" dataDxfId="47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0AAB76D-7893-42F4-AC81-05ACA3CF1C55}" name="Table14" displayName="Table14" ref="C3:D21" totalsRowShown="0">
  <autoFilter ref="C3:D21" xr:uid="{40AAB76D-7893-42F4-AC81-05ACA3CF1C55}"/>
  <tableColumns count="2">
    <tableColumn id="1" xr3:uid="{3734C60E-DB33-4E67-9DFA-77E7BADB07A4}" name="Level" dataDxfId="46"/>
    <tableColumn id="2" xr3:uid="{9F2E8BB8-F2D4-4409-A570-1040822AF1A5}" name="DMG" dataDxfId="45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4341A1A-01D2-43BF-A321-97591E41B574}" name="Table15" displayName="Table15" ref="AF3:AI13" totalsRowShown="0" headerRowDxfId="44" dataDxfId="43">
  <autoFilter ref="AF3:AI13" xr:uid="{94341A1A-01D2-43BF-A321-97591E41B574}"/>
  <tableColumns count="4">
    <tableColumn id="1" xr3:uid="{0AC8EA2E-823B-4B46-A6AA-48228D02C86E}" name="Level" dataDxfId="42"/>
    <tableColumn id="2" xr3:uid="{242D8EDE-E22F-4D38-81F9-93D48C45F6A9}" name="DPS" dataDxfId="41"/>
    <tableColumn id="3" xr3:uid="{5D83B56B-6ADB-468A-B587-529DB5F471E7}" name="DPHit" dataDxfId="40"/>
    <tableColumn id="4" xr3:uid="{82583593-0A3C-4BD2-9177-9A45741A95C9}" name="RevivalTime" dataDxfId="39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246960-45B4-42E0-ABF7-84DE43F9C797}" name="Table1" displayName="Table1" ref="C1:E22" totalsRowShown="0">
  <autoFilter ref="C1:E22" xr:uid="{AD246960-45B4-42E0-ABF7-84DE43F9C797}"/>
  <tableColumns count="3">
    <tableColumn id="1" xr3:uid="{E2DE99A0-995E-4755-A0A5-0199B1B57FB6}" name="Defense Name"/>
    <tableColumn id="2" xr3:uid="{E6334A6D-5242-49C2-89B4-43A8DA92F68F}" name="Level Cap" dataDxfId="38">
      <calculatedColumnFormula>COUNT(#REF!)</calculatedColumnFormula>
    </tableColumn>
    <tableColumn id="3" xr3:uid="{515D86F6-1231-4A6B-BF50-D76106998B1C}" name="Image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97FC34-A210-4E4A-8BC4-2063E18F29D7}" name="Table5" displayName="Table5" ref="A1:B7" totalsRowShown="0">
  <autoFilter ref="A1:B7" xr:uid="{0B97FC34-A210-4E4A-8BC4-2063E18F29D7}"/>
  <tableColumns count="2">
    <tableColumn id="1" xr3:uid="{9DC270D2-7A6B-477A-9BF4-97607294405E}" name="EQ1"/>
    <tableColumn id="2" xr3:uid="{890F1978-68F6-4ABB-A5FA-09256B7FE0CE}" name="EQ1Img"/>
  </tableColumns>
  <tableStyleInfo name="TableStyleLight1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7CA752-E0B1-4959-8CFF-B283F6E8023C}" name="Table2" displayName="Table2" ref="F1:H7" totalsRowShown="0" dataDxfId="37">
  <autoFilter ref="F1:H7" xr:uid="{D67CA752-E0B1-4959-8CFF-B283F6E8023C}"/>
  <tableColumns count="3">
    <tableColumn id="1" xr3:uid="{7C241D22-D319-48FA-A1CB-FAAF06260C89}" name="BBLVL" dataDxfId="36"/>
    <tableColumn id="2" xr3:uid="{AF0E577C-8F92-4BFC-8E6A-4AD8D368D8C2}" name="Repair/sec" dataDxfId="35"/>
    <tableColumn id="3" xr3:uid="{2CB00BB3-1B0E-4A18-948C-0816CE51CD91}" name="Repair/hit" dataDxfId="34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3E5ED5-7F24-49C4-8530-6CD03D64B269}" name="Table3" displayName="Table3" ref="K1:AE22" totalsRowShown="0">
  <autoFilter ref="K1:AE22" xr:uid="{D33E5ED5-7F24-49C4-8530-6CD03D64B269}"/>
  <tableColumns count="21">
    <tableColumn id="1" xr3:uid="{0EE4171E-2D32-479B-BA17-7BC24FAF9C29}" name="Level">
      <calculatedColumnFormula>K1+1</calculatedColumnFormula>
    </tableColumn>
    <tableColumn id="2" xr3:uid="{B46E14D3-24F2-4F99-9D21-FB21A67874BD}" name="Cannon"/>
    <tableColumn id="3" xr3:uid="{F072B5ED-D156-442C-A571-520A572F6392}" name="Archer Tower"/>
    <tableColumn id="4" xr3:uid="{DD72CA15-7974-48A6-937A-2E94EDD49C1E}" name="Mortar"/>
    <tableColumn id="5" xr3:uid="{2D406750-69B8-4AB8-8137-C1D272B1F156}" name="Air Defense"/>
    <tableColumn id="6" xr3:uid="{32255C43-F46D-460F-A7C8-460ADCDA940E}" name="Wizard Tower"/>
    <tableColumn id="7" xr3:uid="{48B5D07E-2489-4893-8D37-5DD6CFCDFA08}" name="Air Sweeper"/>
    <tableColumn id="8" xr3:uid="{8063781C-D443-48EC-AB8B-E20CABA24B66}" name="Hidden Tesla"/>
    <tableColumn id="9" xr3:uid="{45AE28C8-DE69-46CA-AC0C-E5AE0364A7DE}" name="Bomb Tower"/>
    <tableColumn id="10" xr3:uid="{B9EBDA4F-F04F-49BF-AAC9-9AF484BE7DBC}" name="X-Bow"/>
    <tableColumn id="11" xr3:uid="{92C30EF5-EC63-4885-959C-3A5546A8D599}" name="Inferno Tower"/>
    <tableColumn id="12" xr3:uid="{DDDD26BB-5589-4A78-AEEA-C24C5D12BB68}" name="Eagle Artillery"/>
    <tableColumn id="13" xr3:uid="{3D0EBF28-785D-4731-A407-3F90736B1131}" name="Town Hall"/>
    <tableColumn id="14" xr3:uid="{5E61A26E-AE3D-4A9E-8EDD-05217C0B80F1}" name="Scattershot"/>
    <tableColumn id="15" xr3:uid="{A9FD7F3F-1938-400A-9340-7AFFCF64F772}" name="Builder Hut"/>
    <tableColumn id="16" xr3:uid="{46DC7F21-2A40-49E1-971D-6AEED6A39047}" name="Spell Tower"/>
    <tableColumn id="17" xr3:uid="{F18AE74A-6AED-44A0-883D-03F098720D64}" name="Monolith"/>
    <tableColumn id="18" xr3:uid="{7832FD0C-7F8E-4523-8FAE-6C5F897A43C3}" name="Ricochet Cannon"/>
    <tableColumn id="19" xr3:uid="{0DA807D2-BEE4-4440-9E47-6EE66995C71F}" name="Multi-Archer Tower"/>
    <tableColumn id="20" xr3:uid="{C25EEE98-2CFA-49B7-B29A-5A9E5ECC9F14}" name="Firespitter"/>
    <tableColumn id="21" xr3:uid="{AF925C07-D797-4822-A991-482DCAD261E2}" name="Multi-Gear Towe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9227AC-90AA-4621-ADCA-7DB5A073AE2E}" name="PetDropdownTable" displayName="PetDropdownTable" ref="J1:J4" totalsRowShown="0">
  <autoFilter ref="J1:J4" xr:uid="{799227AC-90AA-4621-ADCA-7DB5A073AE2E}"/>
  <tableColumns count="1">
    <tableColumn id="1" xr3:uid="{8572CBAB-6EE2-42FB-A16F-32E985344719}" name="Pet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EBF2AEF-8586-4E91-91B3-40C5A2771265}" name="Table17" displayName="Table17" ref="I11:I21" totalsRowShown="0">
  <autoFilter ref="I11:I21" xr:uid="{8EBF2AEF-8586-4E91-91B3-40C5A2771265}"/>
  <tableColumns count="1">
    <tableColumn id="1" xr3:uid="{19931A3B-1863-4636-AD92-5C3948F7F411}" name="ChargeStep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7548B4E-BA76-45E0-811E-A5F0B182B791}" name="Table18" displayName="Table18" ref="I31:I39" totalsRowShown="0">
  <autoFilter ref="I31:I39" xr:uid="{77548B4E-BA76-45E0-811E-A5F0B182B791}"/>
  <tableColumns count="1">
    <tableColumn id="1" xr3:uid="{8FECFC8E-126A-4741-8A5C-E14CC2F1D027}" name="Concurrent Event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8" dT="2025-08-02T19:49:02.77" personId="{A4B11643-50CC-4C71-BF74-72926DC798A9}" id="{7C99214E-3C0D-43CE-81EC-A0521E27FAD8}">
    <text>Flat DMG</text>
  </threadedComment>
  <threadedComment ref="L16" dT="2025-08-02T03:00:36.13" personId="{A4B11643-50CC-4C71-BF74-72926DC798A9}" id="{68B23F01-D90B-4319-A76A-24E63B84757C}">
    <text>Eboots Damage is an additional damage source, calculated differently.</text>
  </threadedComment>
  <threadedComment ref="M18" dT="2025-08-02T19:49:37.73" personId="{A4B11643-50CC-4C71-BF74-72926DC798A9}" id="{19C8A0B7-AB1C-47F4-80C0-BD396922599E}">
    <text>Added to damage per shot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557C-A229-4912-A020-BA8A35490422}">
  <dimension ref="A1:U26"/>
  <sheetViews>
    <sheetView tabSelected="1" workbookViewId="0">
      <selection activeCell="C20" sqref="C20:D20"/>
    </sheetView>
  </sheetViews>
  <sheetFormatPr defaultColWidth="0" defaultRowHeight="14.6" zeroHeight="1" x14ac:dyDescent="0.4"/>
  <cols>
    <col min="1" max="21" width="9.23046875" customWidth="1"/>
    <col min="22" max="16384" width="9.23046875" hidden="1"/>
  </cols>
  <sheetData>
    <row r="1" spans="1:21" ht="15" customHeight="1" x14ac:dyDescent="0.4">
      <c r="A1" s="62"/>
      <c r="B1" s="62"/>
      <c r="C1" s="62"/>
      <c r="D1" s="62"/>
      <c r="E1" s="62"/>
      <c r="F1" s="152" t="s">
        <v>76</v>
      </c>
      <c r="G1" s="152"/>
      <c r="H1" s="152"/>
      <c r="I1" s="152"/>
      <c r="J1" s="152"/>
      <c r="K1" s="152"/>
      <c r="L1" s="152"/>
      <c r="M1" s="152"/>
      <c r="N1" s="94"/>
      <c r="O1" s="89"/>
      <c r="P1" s="36"/>
      <c r="Q1" s="36"/>
      <c r="R1" s="149" t="s">
        <v>95</v>
      </c>
      <c r="S1" s="149"/>
      <c r="T1" s="149"/>
      <c r="U1" s="93"/>
    </row>
    <row r="2" spans="1:21" ht="14.6" customHeight="1" x14ac:dyDescent="0.4">
      <c r="A2" s="62"/>
      <c r="B2" s="62"/>
      <c r="C2" s="62"/>
      <c r="D2" s="62"/>
      <c r="E2" s="62"/>
      <c r="F2" s="152"/>
      <c r="G2" s="152"/>
      <c r="H2" s="152"/>
      <c r="I2" s="152"/>
      <c r="J2" s="152"/>
      <c r="K2" s="152"/>
      <c r="L2" s="152"/>
      <c r="M2" s="152"/>
      <c r="N2" s="95"/>
      <c r="O2" s="36"/>
      <c r="P2" s="36"/>
      <c r="Q2" s="36"/>
      <c r="R2" s="149"/>
      <c r="S2" s="149"/>
      <c r="T2" s="149"/>
      <c r="U2" s="93"/>
    </row>
    <row r="3" spans="1:21" ht="14.6" customHeight="1" x14ac:dyDescent="0.4">
      <c r="A3" s="62"/>
      <c r="B3" s="62"/>
      <c r="C3" s="62"/>
      <c r="D3" s="62"/>
      <c r="E3" s="62"/>
      <c r="F3" s="153" t="s">
        <v>78</v>
      </c>
      <c r="G3" s="154"/>
      <c r="H3" s="154"/>
      <c r="I3" s="134" t="s">
        <v>64</v>
      </c>
      <c r="J3" s="88" t="s">
        <v>2</v>
      </c>
      <c r="K3" s="88" t="s">
        <v>79</v>
      </c>
      <c r="L3" s="146" t="s">
        <v>115</v>
      </c>
      <c r="M3" s="146"/>
      <c r="N3" s="36"/>
      <c r="O3" s="36"/>
      <c r="P3" s="36"/>
      <c r="Q3" s="36"/>
      <c r="R3" s="163" t="s">
        <v>96</v>
      </c>
      <c r="S3" s="164"/>
      <c r="T3" s="165"/>
      <c r="U3" s="93"/>
    </row>
    <row r="4" spans="1:21" x14ac:dyDescent="0.4">
      <c r="A4" s="62"/>
      <c r="B4" s="62"/>
      <c r="C4" s="62"/>
      <c r="D4" s="62"/>
      <c r="E4" s="62"/>
      <c r="F4" s="154"/>
      <c r="G4" s="154"/>
      <c r="H4" s="154"/>
      <c r="I4" s="17" t="str">
        <f>IF(SetLevels!E18=1,"^^","")</f>
        <v>^^</v>
      </c>
      <c r="J4" s="134">
        <v>1</v>
      </c>
      <c r="K4" s="88">
        <f ca="1">IFERROR(OFFSET(DEFENSES!A1,J4+2,MATCH(I3,DEFENSES!A1:CF1,0))*IF(M4=1,1.2,1),"")</f>
        <v>300</v>
      </c>
      <c r="L4" s="12"/>
      <c r="M4" s="135">
        <v>0</v>
      </c>
      <c r="N4" s="36"/>
      <c r="O4" s="36"/>
      <c r="P4" s="36"/>
      <c r="Q4" s="36"/>
      <c r="R4" s="92"/>
      <c r="S4" s="138">
        <v>0</v>
      </c>
      <c r="T4" s="91"/>
      <c r="U4" s="93"/>
    </row>
    <row r="5" spans="1:21" x14ac:dyDescent="0.4">
      <c r="A5" s="62"/>
      <c r="B5" s="62"/>
      <c r="C5" s="62"/>
      <c r="D5" s="62"/>
      <c r="E5" s="62"/>
      <c r="F5" s="154" t="e" vm="1">
        <f>IFERROR(VLOOKUP(J4,TablingImageLibrary,MATCH(I3,Table3[[#Headers],[Cannon]:[Multi-Gear Tower]],0)+1,FALSE),"")</f>
        <v>#VALUE!</v>
      </c>
      <c r="G5" s="154"/>
      <c r="H5" s="154"/>
      <c r="I5" s="96" t="str">
        <f>IFERROR("Choose a level between 1 and "&amp;VLOOKUP(I3,TablingLevelCapDefenses,2,FALSE),"")</f>
        <v>Choose a level between 1 and 21</v>
      </c>
      <c r="J5" s="96"/>
      <c r="K5" s="96"/>
      <c r="L5" s="168" t="s">
        <v>116</v>
      </c>
      <c r="M5" s="168"/>
      <c r="N5" s="36"/>
      <c r="O5" s="36"/>
      <c r="P5" s="36"/>
      <c r="Q5" s="36"/>
      <c r="R5" s="160" t="s">
        <v>87</v>
      </c>
      <c r="S5" s="161"/>
      <c r="T5" s="161"/>
      <c r="U5" s="93"/>
    </row>
    <row r="6" spans="1:21" x14ac:dyDescent="0.4">
      <c r="A6" s="62"/>
      <c r="B6" s="62"/>
      <c r="C6" s="62"/>
      <c r="D6" s="62"/>
      <c r="E6" s="62"/>
      <c r="F6" s="154"/>
      <c r="G6" s="154"/>
      <c r="H6" s="154"/>
      <c r="I6" s="36"/>
      <c r="J6" s="36"/>
      <c r="K6" s="36"/>
      <c r="L6" s="36"/>
      <c r="M6" s="36"/>
      <c r="N6" s="36"/>
      <c r="O6" s="36"/>
      <c r="P6" s="36"/>
      <c r="Q6" s="36"/>
      <c r="R6" s="150" t="s">
        <v>97</v>
      </c>
      <c r="S6" s="151"/>
      <c r="T6" s="151"/>
      <c r="U6" s="93"/>
    </row>
    <row r="7" spans="1:21" x14ac:dyDescent="0.4">
      <c r="A7" s="62"/>
      <c r="B7" s="62"/>
      <c r="C7" s="62"/>
      <c r="D7" s="62"/>
      <c r="E7" s="62"/>
      <c r="F7" s="154"/>
      <c r="G7" s="154"/>
      <c r="H7" s="154"/>
      <c r="I7" s="36"/>
      <c r="J7" s="36"/>
      <c r="K7" s="36"/>
      <c r="L7" s="36"/>
      <c r="M7" s="36"/>
      <c r="N7" s="36"/>
      <c r="O7" s="36"/>
      <c r="P7" s="36"/>
      <c r="Q7" s="36"/>
      <c r="R7" s="158" t="s">
        <v>88</v>
      </c>
      <c r="S7" s="166"/>
      <c r="T7" s="167"/>
      <c r="U7" s="93"/>
    </row>
    <row r="8" spans="1:21" x14ac:dyDescent="0.4">
      <c r="A8" s="62"/>
      <c r="B8" s="62"/>
      <c r="C8" s="62"/>
      <c r="D8" s="62"/>
      <c r="E8" s="62"/>
      <c r="F8" s="154"/>
      <c r="G8" s="154"/>
      <c r="H8" s="154"/>
      <c r="I8" s="36"/>
      <c r="J8" s="36"/>
      <c r="K8" s="36"/>
      <c r="L8" s="36"/>
      <c r="M8" s="36"/>
      <c r="N8" s="36"/>
      <c r="O8" s="36"/>
      <c r="P8" s="36"/>
      <c r="Q8" s="36"/>
      <c r="R8" s="92"/>
      <c r="S8" s="138">
        <v>0</v>
      </c>
      <c r="T8" s="91"/>
      <c r="U8" s="93"/>
    </row>
    <row r="9" spans="1:21" x14ac:dyDescent="0.4">
      <c r="A9" s="62"/>
      <c r="B9" s="62"/>
      <c r="C9" s="62"/>
      <c r="D9" s="62"/>
      <c r="E9" s="62"/>
      <c r="F9" s="154"/>
      <c r="G9" s="154"/>
      <c r="H9" s="154"/>
      <c r="I9" s="36"/>
      <c r="J9" s="36"/>
      <c r="K9" s="36"/>
      <c r="L9" s="162"/>
      <c r="M9" s="162"/>
      <c r="N9" s="36"/>
      <c r="O9" s="36"/>
      <c r="P9" s="36"/>
      <c r="Q9" s="36"/>
      <c r="R9" s="160" t="s">
        <v>98</v>
      </c>
      <c r="S9" s="161"/>
      <c r="T9" s="161"/>
      <c r="U9" s="93"/>
    </row>
    <row r="10" spans="1:21" x14ac:dyDescent="0.4">
      <c r="A10" s="62"/>
      <c r="B10" s="62"/>
      <c r="C10" s="62"/>
      <c r="D10" s="62"/>
      <c r="E10" s="62"/>
      <c r="F10" s="154"/>
      <c r="G10" s="154"/>
      <c r="H10" s="154"/>
      <c r="I10" s="36"/>
      <c r="J10" s="36"/>
      <c r="K10" s="36"/>
      <c r="L10" s="162"/>
      <c r="M10" s="162"/>
      <c r="N10" s="36"/>
      <c r="O10" s="36"/>
      <c r="P10" s="36"/>
      <c r="Q10" s="36"/>
      <c r="R10" s="150" t="s">
        <v>99</v>
      </c>
      <c r="S10" s="151"/>
      <c r="T10" s="151"/>
      <c r="U10" s="93"/>
    </row>
    <row r="11" spans="1:21" x14ac:dyDescent="0.4">
      <c r="A11" s="62"/>
      <c r="B11" s="62"/>
      <c r="C11" s="62"/>
      <c r="D11" s="62"/>
      <c r="E11" s="62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158" t="s">
        <v>112</v>
      </c>
      <c r="S11" s="159"/>
      <c r="T11" s="159"/>
      <c r="U11" s="93"/>
    </row>
    <row r="12" spans="1:21" x14ac:dyDescent="0.4">
      <c r="A12" s="62"/>
      <c r="B12" s="62"/>
      <c r="C12" s="62"/>
      <c r="D12" s="62"/>
      <c r="E12" s="62"/>
      <c r="F12" s="36"/>
      <c r="G12" s="36"/>
      <c r="H12" s="36"/>
      <c r="I12" s="96" t="s">
        <v>103</v>
      </c>
      <c r="J12" s="97" t="s">
        <v>90</v>
      </c>
      <c r="K12" s="36"/>
      <c r="L12" s="36"/>
      <c r="M12" s="106" t="s">
        <v>105</v>
      </c>
      <c r="N12" s="84"/>
      <c r="O12" s="90" t="str">
        <f>IF(T25=TRUE,"Boots TTD", "")</f>
        <v/>
      </c>
      <c r="P12" s="90" t="str">
        <f>IF(T25=TRUE,"TTD Time", "")</f>
        <v/>
      </c>
      <c r="Q12" s="36"/>
      <c r="R12" s="111" t="s">
        <v>113</v>
      </c>
      <c r="S12" s="112"/>
      <c r="T12" s="112"/>
      <c r="U12" s="93"/>
    </row>
    <row r="13" spans="1:21" x14ac:dyDescent="0.4">
      <c r="A13" s="62"/>
      <c r="B13" s="62"/>
      <c r="C13" s="62"/>
      <c r="D13" s="62"/>
      <c r="E13" s="62"/>
      <c r="F13" s="36"/>
      <c r="G13" s="36"/>
      <c r="H13" s="36"/>
      <c r="I13" s="137">
        <v>0</v>
      </c>
      <c r="J13" s="62">
        <f>IF(AND(OR(A20="Rocket Spear",C20="Rocket Spear"), S4=1),VLOOKUP(SetLevels!K18,EquipmentRocketSpear,3,FALSE)+S19*I13,S19*I13)</f>
        <v>0</v>
      </c>
      <c r="K13" s="36"/>
      <c r="L13" s="36"/>
      <c r="M13" s="50">
        <f ca="1">IFERROR(IF(IF(S8=1,K4*(1-0.29)-J15,IF(K4-J15&lt;0,0,K4-J15))&lt;0, 0,IF(S8=1,K4*(1-0.29)-J15,IF(K4-J15&lt;0,0,K4-J15))),"")</f>
        <v>300</v>
      </c>
      <c r="N13" s="107">
        <f ca="1">IFERROR(M13/K4,"")</f>
        <v>1</v>
      </c>
      <c r="O13" s="36" t="str">
        <f>IFERROR(IF(T25=TRUE,_xlfn.FLOOR.MATH(M13/R23)+IF(MOD(M13,R23)&gt;0,1,0),""),"")</f>
        <v/>
      </c>
      <c r="P13" s="36" t="str">
        <f>IFERROR(O13*R25,"")</f>
        <v/>
      </c>
      <c r="Q13" s="36"/>
      <c r="R13" s="92" t="s">
        <v>102</v>
      </c>
      <c r="S13" s="14"/>
      <c r="T13" s="138">
        <v>1</v>
      </c>
      <c r="U13" s="93"/>
    </row>
    <row r="14" spans="1:21" x14ac:dyDescent="0.4">
      <c r="A14" s="62"/>
      <c r="B14" s="62"/>
      <c r="C14" s="62"/>
      <c r="D14" s="62"/>
      <c r="E14" s="62"/>
      <c r="F14" s="36"/>
      <c r="G14" s="36"/>
      <c r="H14" s="36"/>
      <c r="I14" s="97" t="s">
        <v>104</v>
      </c>
      <c r="J14" s="97" t="s">
        <v>109</v>
      </c>
      <c r="K14" s="36"/>
      <c r="L14" s="36"/>
      <c r="M14" s="106" t="s">
        <v>111</v>
      </c>
      <c r="N14" s="50"/>
      <c r="O14" s="90" t="str">
        <f>IF(T25=TRUE,"Boots TTD", "")</f>
        <v/>
      </c>
      <c r="P14" s="90" t="str">
        <f>IF(T25=TRUE,"TTD Time", "")</f>
        <v/>
      </c>
      <c r="Q14" s="36"/>
      <c r="R14" s="92" t="s">
        <v>101</v>
      </c>
      <c r="S14" s="14"/>
      <c r="T14" s="138">
        <v>2</v>
      </c>
      <c r="U14" s="93"/>
    </row>
    <row r="15" spans="1:21" x14ac:dyDescent="0.4">
      <c r="A15" s="62"/>
      <c r="B15" s="62"/>
      <c r="C15" s="62"/>
      <c r="D15" s="62"/>
      <c r="E15" s="62"/>
      <c r="F15" s="36"/>
      <c r="G15" s="36"/>
      <c r="H15" s="36"/>
      <c r="I15" s="62">
        <f>IF(T25=TRUE,(T19*I13)+I17*R25,T19*I13)</f>
        <v>0</v>
      </c>
      <c r="J15" s="62">
        <f>IF(T25=TRUE,_xlfn.FLOOR.MATH(I15/R25)*R23+I17*R23+J13+J17,J13+J17)</f>
        <v>0</v>
      </c>
      <c r="K15" s="36"/>
      <c r="L15" s="36"/>
      <c r="M15" s="50">
        <f ca="1">IFERROR(IF(IF(S8=1,K4*(1-0.29)-J15+(I15/0.75)*T15,IF(K4-J15+(I15/0.75)*T15&lt;0,0,K4-J15+(I15/0.75)*T15))&lt;0, 0,IF(S8=1,K4*(1-0.29)-J15+(I15/0.75)*T15,IF(K4-J15+(I15/0.75)*T15&lt;0,0,K4-J15+(I15/0.75)*T15))),"")</f>
        <v>300</v>
      </c>
      <c r="N15" s="107">
        <f ca="1">IFERROR(M15/K4,"")</f>
        <v>1</v>
      </c>
      <c r="O15" s="36" t="str">
        <f>IFERROR(IF(T25=TRUE,_xlfn.FLOOR.MATH(M15/R23)+IF(MOD(M15,R23)&gt;0,1,0),""),"")</f>
        <v/>
      </c>
      <c r="P15" s="36" t="str">
        <f>IFERROR(O15*R25,"")</f>
        <v/>
      </c>
      <c r="Q15" s="36"/>
      <c r="R15" s="92" t="s">
        <v>114</v>
      </c>
      <c r="S15" s="14"/>
      <c r="T15" s="14">
        <f>VLOOKUP(T14,Table2[],3,FALSE)*T13</f>
        <v>37.5</v>
      </c>
      <c r="U15" s="93"/>
    </row>
    <row r="16" spans="1:21" ht="14.6" customHeight="1" x14ac:dyDescent="0.4">
      <c r="A16" s="62"/>
      <c r="B16" s="62"/>
      <c r="C16" s="62"/>
      <c r="D16" s="62"/>
      <c r="E16" s="62"/>
      <c r="F16" s="36"/>
      <c r="G16" s="36"/>
      <c r="H16" s="36"/>
      <c r="I16" s="97" t="s">
        <v>168</v>
      </c>
      <c r="J16" s="110" t="s">
        <v>110</v>
      </c>
      <c r="K16" s="36"/>
      <c r="L16" s="36"/>
      <c r="M16" s="36"/>
      <c r="N16" s="36"/>
      <c r="O16" s="36"/>
      <c r="P16" s="36"/>
      <c r="Q16" s="36"/>
      <c r="R16" s="155" t="s">
        <v>100</v>
      </c>
      <c r="S16" s="156"/>
      <c r="T16" s="156"/>
      <c r="U16" s="93"/>
    </row>
    <row r="17" spans="1:21" x14ac:dyDescent="0.4">
      <c r="A17" s="62"/>
      <c r="B17" s="62"/>
      <c r="C17" s="62"/>
      <c r="D17" s="62"/>
      <c r="E17" s="62"/>
      <c r="F17" s="36"/>
      <c r="G17" s="36"/>
      <c r="H17" s="36"/>
      <c r="I17" s="136">
        <v>0</v>
      </c>
      <c r="J17" s="109">
        <f>IF(AND(S4=1,OR(A20="Seeking Shield",C20="Seeking Shield")),SetLevels!M8,0)</f>
        <v>0</v>
      </c>
      <c r="K17" s="36"/>
      <c r="L17" s="36"/>
      <c r="M17" s="36"/>
      <c r="N17" s="36"/>
      <c r="O17" s="36"/>
      <c r="P17" s="36"/>
      <c r="Q17" s="36"/>
      <c r="R17" s="157"/>
      <c r="S17" s="156"/>
      <c r="T17" s="156"/>
      <c r="U17" s="93"/>
    </row>
    <row r="18" spans="1:21" x14ac:dyDescent="0.4">
      <c r="A18" s="62"/>
      <c r="B18" s="62"/>
      <c r="C18" s="62"/>
      <c r="D18" s="62"/>
      <c r="E18" s="62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100" t="s">
        <v>84</v>
      </c>
      <c r="S18" s="101" t="s">
        <v>90</v>
      </c>
      <c r="T18" s="101" t="s">
        <v>85</v>
      </c>
      <c r="U18" s="93"/>
    </row>
    <row r="19" spans="1:21" x14ac:dyDescent="0.4">
      <c r="A19" s="63" t="s">
        <v>48</v>
      </c>
      <c r="B19" s="64"/>
      <c r="C19" s="148">
        <f>SetLevels!H3</f>
        <v>1</v>
      </c>
      <c r="D19" s="148"/>
      <c r="E19" s="62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102">
        <f>(VLOOKUP(SetLevels!H3,RCStats,2,FALSE)+VLOOKUP(A20,SetLevels!F7:O25,7,FALSE)+VLOOKUP(C20,SetLevels!F7:O25,7,FALSE))*IF(M4=1,0.9,1)</f>
        <v>375</v>
      </c>
      <c r="S19" s="17">
        <f>R19*1.2</f>
        <v>450</v>
      </c>
      <c r="T19" s="17">
        <f>IF(AND(S4=1,OR(A20="Haste Vial",C20="Haste Vial")),1.2/VLOOKUP(A20,SetLevels!F8:O23,9,FALSE)/VLOOKUP(C20,SetLevels!F8:O23,9,FALSE)/SetLevels!M12,1.2/VLOOKUP(A20,SetLevels!F8:O23,9,FALSE)/VLOOKUP(C20,SetLevels!F8:O23,9,FALSE))</f>
        <v>1.2</v>
      </c>
      <c r="U19" s="93"/>
    </row>
    <row r="20" spans="1:21" x14ac:dyDescent="0.4">
      <c r="A20" s="147" t="s">
        <v>35</v>
      </c>
      <c r="B20" s="147"/>
      <c r="C20" s="147" t="s">
        <v>36</v>
      </c>
      <c r="D20" s="147"/>
      <c r="E20" s="62"/>
      <c r="F20" s="140" t="str">
        <f>IF(SetLevels!E18=1,"Click on Equipment Names to open dropdown menus and select different equipment.","")</f>
        <v>Click on Equipment Names to open dropdown menus and select different equipment.</v>
      </c>
      <c r="G20" s="141"/>
      <c r="H20" s="140" t="str">
        <f>IF(SetLevels!E18=1,"Change the # of spear shots to alter damage output. If Electro Boots are selected, you can adjust prior DMG ticks.","")</f>
        <v>Change the # of spear shots to alter damage output. If Electro Boots are selected, you can adjust prior DMG ticks.</v>
      </c>
      <c r="I20" s="141"/>
      <c r="J20" s="36"/>
      <c r="K20" s="36"/>
      <c r="L20" s="36"/>
      <c r="M20" s="36"/>
      <c r="N20" s="36"/>
      <c r="O20" s="36"/>
      <c r="P20" s="36"/>
      <c r="Q20" s="36"/>
      <c r="R20" s="142" t="s">
        <v>92</v>
      </c>
      <c r="S20" s="143"/>
      <c r="T20" s="143"/>
      <c r="U20" s="93"/>
    </row>
    <row r="21" spans="1:21" x14ac:dyDescent="0.4">
      <c r="A21" s="146" t="e" vm="2">
        <f>VLOOKUP(A20,TablingImageEquipmentLibrary,2,FALSE)</f>
        <v>#VALUE!</v>
      </c>
      <c r="B21" s="146"/>
      <c r="C21" s="146" t="e" vm="3">
        <f>VLOOKUP(C20,Tabling!A2:B7,2,FALSE)</f>
        <v>#VALUE!</v>
      </c>
      <c r="D21" s="146"/>
      <c r="E21" s="62"/>
      <c r="F21" s="140"/>
      <c r="G21" s="141"/>
      <c r="H21" s="140"/>
      <c r="I21" s="141"/>
      <c r="J21" s="36"/>
      <c r="K21" s="36"/>
      <c r="L21" s="36"/>
      <c r="M21" s="36"/>
      <c r="N21" s="36"/>
      <c r="O21" s="90"/>
      <c r="P21" s="36"/>
      <c r="Q21" s="36"/>
      <c r="R21" s="144"/>
      <c r="S21" s="143"/>
      <c r="T21" s="143"/>
      <c r="U21" s="93"/>
    </row>
    <row r="22" spans="1:21" x14ac:dyDescent="0.4">
      <c r="A22" s="146"/>
      <c r="B22" s="146"/>
      <c r="C22" s="146"/>
      <c r="D22" s="146"/>
      <c r="E22" s="62"/>
      <c r="F22" s="140"/>
      <c r="G22" s="141"/>
      <c r="H22" s="140"/>
      <c r="I22" s="141"/>
      <c r="J22" s="36"/>
      <c r="K22" s="36"/>
      <c r="L22" s="36"/>
      <c r="M22" s="36"/>
      <c r="N22" s="36"/>
      <c r="O22" s="36"/>
      <c r="P22" s="36"/>
      <c r="Q22" s="36"/>
      <c r="R22" s="103" t="s">
        <v>93</v>
      </c>
      <c r="S22" s="104" t="s">
        <v>7</v>
      </c>
      <c r="T22" s="145" t="s">
        <v>89</v>
      </c>
      <c r="U22" s="93"/>
    </row>
    <row r="23" spans="1:21" x14ac:dyDescent="0.4">
      <c r="A23" s="146"/>
      <c r="B23" s="146"/>
      <c r="C23" s="146"/>
      <c r="D23" s="146"/>
      <c r="E23" s="62"/>
      <c r="F23" s="140"/>
      <c r="G23" s="141"/>
      <c r="H23" s="140"/>
      <c r="I23" s="141"/>
      <c r="J23" s="36"/>
      <c r="K23" s="36"/>
      <c r="L23" s="36"/>
      <c r="M23" s="36"/>
      <c r="N23" s="90"/>
      <c r="O23" s="36"/>
      <c r="P23" s="36"/>
      <c r="Q23" s="36"/>
      <c r="R23" s="105">
        <f>VLOOKUP(SetLevels!K16,EquipmentElectroBoots,3,FALSE)</f>
        <v>52.8</v>
      </c>
      <c r="S23" s="65">
        <f>VLOOKUP(SetLevels!K16,EquipmentElectroBoots,2,FALSE)</f>
        <v>132</v>
      </c>
      <c r="T23" s="145"/>
      <c r="U23" s="93"/>
    </row>
    <row r="24" spans="1:21" x14ac:dyDescent="0.4">
      <c r="A24" s="146"/>
      <c r="B24" s="146"/>
      <c r="C24" s="146"/>
      <c r="D24" s="146"/>
      <c r="E24" s="62"/>
      <c r="F24" s="140"/>
      <c r="G24" s="141"/>
      <c r="H24" s="140"/>
      <c r="I24" s="141"/>
      <c r="J24" s="36"/>
      <c r="K24" s="36"/>
      <c r="L24" s="36"/>
      <c r="M24" s="36"/>
      <c r="N24" s="36"/>
      <c r="O24" s="36"/>
      <c r="P24" s="36"/>
      <c r="Q24" s="36"/>
      <c r="R24" s="103" t="s">
        <v>86</v>
      </c>
      <c r="S24" s="104" t="s">
        <v>94</v>
      </c>
      <c r="T24" s="145"/>
      <c r="U24" s="93"/>
    </row>
    <row r="25" spans="1:21" x14ac:dyDescent="0.4">
      <c r="A25" s="97" t="s">
        <v>33</v>
      </c>
      <c r="B25" s="108">
        <f>IF(M4=1,IF(OR(AND(VLOOKUP(A20,SetLevels!F7:K25,5,FALSE)="Epic",VLOOKUP(A20,SetLevels!F7:K25,6,FALSE)&gt;21),AND(VLOOKUP(A20,SetLevels!F7:K25,5,FALSE)="Common",VLOOKUP(A20,SetLevels!F7:K25,6,FALSE)&gt;15)),IF(VLOOKUP(A20,SetLevels!F7:K25,5,FALSE)="Epic",21,15),VLOOKUP(A20,SetLevels!F7:K25,6,FALSE)),VLOOKUP(A20,SetLevels!F7:K25,6,FALSE))</f>
        <v>1</v>
      </c>
      <c r="C25" s="98" t="s">
        <v>33</v>
      </c>
      <c r="D25" s="99">
        <f>IF(M4=1,IF(OR(AND(VLOOKUP(C20,SetLevels!F7:K25,5,FALSE)="Epic",VLOOKUP(C20,SetLevels!F7:K25,6,FALSE)&gt;21),AND(VLOOKUP(C20,SetLevels!F7:K25,5,FALSE)="Common",VLOOKUP(C20,SetLevels!F7:K25,6,FALSE)&gt;15)),IF(VLOOKUP(C20,SetLevels!F7:K25,5,FALSE)="Epic",21,15),VLOOKUP(C20,SetLevels!F7:K25,6,FALSE)),VLOOKUP(C20,SetLevels!F7:K25,6,FALSE))</f>
        <v>1</v>
      </c>
      <c r="E25" s="62"/>
      <c r="F25" s="140"/>
      <c r="G25" s="141"/>
      <c r="H25" s="140"/>
      <c r="I25" s="141"/>
      <c r="J25" s="36"/>
      <c r="K25" s="36"/>
      <c r="L25" s="36"/>
      <c r="M25" s="36"/>
      <c r="N25" s="36"/>
      <c r="O25" s="36"/>
      <c r="P25" s="36"/>
      <c r="Q25" s="36"/>
      <c r="R25" s="105">
        <v>0.4</v>
      </c>
      <c r="S25" s="65">
        <v>2.5</v>
      </c>
      <c r="T25" s="65" t="b">
        <f>OR(A20="Electro Boots",C20="Electro Boots")</f>
        <v>0</v>
      </c>
      <c r="U25" s="93"/>
    </row>
    <row r="26" spans="1:21" hidden="1" x14ac:dyDescent="0.4">
      <c r="A26" s="62"/>
      <c r="B26" s="62"/>
      <c r="C26" s="62"/>
      <c r="D26" s="62"/>
      <c r="E26" s="62"/>
    </row>
  </sheetData>
  <mergeCells count="24">
    <mergeCell ref="C19:D19"/>
    <mergeCell ref="R1:T2"/>
    <mergeCell ref="R6:T6"/>
    <mergeCell ref="F1:M2"/>
    <mergeCell ref="F3:H4"/>
    <mergeCell ref="R16:T17"/>
    <mergeCell ref="R11:T11"/>
    <mergeCell ref="R9:T9"/>
    <mergeCell ref="R10:T10"/>
    <mergeCell ref="L9:M10"/>
    <mergeCell ref="F5:H10"/>
    <mergeCell ref="R3:T3"/>
    <mergeCell ref="R5:T5"/>
    <mergeCell ref="R7:T7"/>
    <mergeCell ref="L3:M3"/>
    <mergeCell ref="L5:M5"/>
    <mergeCell ref="F20:G25"/>
    <mergeCell ref="H20:I25"/>
    <mergeCell ref="R20:T21"/>
    <mergeCell ref="T22:T24"/>
    <mergeCell ref="A21:B24"/>
    <mergeCell ref="C21:D24"/>
    <mergeCell ref="A20:B20"/>
    <mergeCell ref="C20:D20"/>
  </mergeCells>
  <conditionalFormatting sqref="B19:D19">
    <cfRule type="cellIs" dxfId="31" priority="22" operator="equal">
      <formula>50</formula>
    </cfRule>
  </conditionalFormatting>
  <conditionalFormatting sqref="I16">
    <cfRule type="expression" dxfId="26" priority="4">
      <formula>$T$25</formula>
    </cfRule>
  </conditionalFormatting>
  <conditionalFormatting sqref="I17">
    <cfRule type="expression" dxfId="25" priority="5">
      <formula>$T$25</formula>
    </cfRule>
  </conditionalFormatting>
  <conditionalFormatting sqref="M13">
    <cfRule type="colorScale" priority="19">
      <colorScale>
        <cfvo type="num" val="0"/>
        <cfvo type="num" val="$K$4/2"/>
        <cfvo type="formula" val="$K$4"/>
        <color rgb="FFF8696B"/>
        <color rgb="FFFFEB84"/>
        <color rgb="FF63BE7B"/>
      </colorScale>
    </cfRule>
  </conditionalFormatting>
  <conditionalFormatting sqref="M15">
    <cfRule type="colorScale" priority="16">
      <colorScale>
        <cfvo type="num" val="0"/>
        <cfvo type="num" val="$K$4/2"/>
        <cfvo type="formula" val="$K$4"/>
        <color rgb="FFF8696B"/>
        <color rgb="FFFFEB84"/>
        <color rgb="FF63BE7B"/>
      </colorScale>
    </cfRule>
  </conditionalFormatting>
  <conditionalFormatting sqref="O12:P15">
    <cfRule type="expression" dxfId="24" priority="6">
      <formula>$T$25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986A1C82-65A5-47D0-A3FD-B554DF0644B4}">
            <xm:f>VLOOKUP($A$20,SetLevels!$F$7:$J$25,5,FALSE)="Common"</xm:f>
            <x14:dxf>
              <fill>
                <patternFill>
                  <bgColor theme="4" tint="0.39994506668294322"/>
                </patternFill>
              </fill>
            </x14:dxf>
          </x14:cfRule>
          <x14:cfRule type="expression" priority="15" id="{B024BBAE-AB2A-4722-891D-E99F425DFC46}">
            <xm:f>VLOOKUP($A$20,SetLevels!$F$7:$J$25,5,FALSE)="Epic"</xm:f>
            <x14:dxf>
              <fill>
                <patternFill>
                  <bgColor theme="8" tint="0.39994506668294322"/>
                </patternFill>
              </fill>
            </x14:dxf>
          </x14:cfRule>
          <xm:sqref>A21:B24</xm:sqref>
        </x14:conditionalFormatting>
        <x14:conditionalFormatting xmlns:xm="http://schemas.microsoft.com/office/excel/2006/main">
          <x14:cfRule type="expression" priority="12" id="{7ABF7CB1-B3A8-41C1-AA0B-77683BFFDAD1}">
            <xm:f>VLOOKUP($C$20,SetLevels!$F$7:$J$25,5,FALSE)="Common"</xm:f>
            <x14:dxf>
              <fill>
                <patternFill>
                  <bgColor theme="4" tint="0.39994506668294322"/>
                </patternFill>
              </fill>
            </x14:dxf>
          </x14:cfRule>
          <x14:cfRule type="expression" priority="13" id="{A21FB2EA-8531-434B-A060-2B2A34051791}">
            <xm:f>VLOOKUP($C$20,SetLevels!$F$7:$J$25,5,FALSE)="Epic"</xm:f>
            <x14:dxf>
              <fill>
                <patternFill>
                  <bgColor theme="8" tint="0.39994506668294322"/>
                </patternFill>
              </fill>
            </x14:dxf>
          </x14:cfRule>
          <xm:sqref>C21:D24</xm:sqref>
        </x14:conditionalFormatting>
        <x14:conditionalFormatting xmlns:xm="http://schemas.microsoft.com/office/excel/2006/main">
          <x14:cfRule type="expression" priority="1" id="{ECC4C76F-C1FF-4356-8C48-D930CB1F38D6}">
            <xm:f>SetLevels!$E$18=0</xm:f>
            <x14:dxf>
              <fill>
                <patternFill>
                  <bgColor theme="5" tint="0.59996337778862885"/>
                </patternFill>
              </fill>
              <border>
                <left/>
                <right/>
                <top/>
                <bottom/>
                <vertical/>
                <horizontal/>
              </border>
            </x14:dxf>
          </x14:cfRule>
          <xm:sqref>F20:I25</xm:sqref>
        </x14:conditionalFormatting>
        <x14:conditionalFormatting xmlns:xm="http://schemas.microsoft.com/office/excel/2006/main">
          <x14:cfRule type="expression" priority="3" id="{38954998-3FBF-4E2B-A77D-735D668C9B5D}">
            <xm:f>SetLevels!$E$18=0</xm:f>
            <x14:dxf>
              <fill>
                <patternFill>
                  <bgColor theme="9" tint="0.79998168889431442"/>
                </patternFill>
              </fill>
            </x14:dxf>
          </x14:cfRule>
          <xm:sqref>I4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promptTitle="Select Second Equipment" xr:uid="{0C1DC860-75B2-4CF3-B654-24FBC9024FC1}">
          <x14:formula1>
            <xm:f>Tabling!$A$2:$A$7</xm:f>
          </x14:formula1>
          <xm:sqref>C20:D20</xm:sqref>
        </x14:dataValidation>
        <x14:dataValidation type="list" allowBlank="1" showInputMessage="1" showErrorMessage="1" errorTitle="InvalidEquipmentName" error="Equipment name is invalid or doesn't exist." promptTitle="Select First Equipment" xr:uid="{53984D5A-848E-4CFE-A825-DD1BDBDA50F1}">
          <x14:formula1>
            <xm:f>Tabling!$A$2:$A$7</xm:f>
          </x14:formula1>
          <xm:sqref>A20:B20</xm:sqref>
        </x14:dataValidation>
        <x14:dataValidation type="list" allowBlank="1" showInputMessage="1" showErrorMessage="1" xr:uid="{89A9F877-FD71-4D62-B44C-4B0AD72BD170}">
          <x14:formula1>
            <xm:f>Tabling!$C$2:$C$22</xm:f>
          </x14:formula1>
          <xm:sqref>I3</xm:sqref>
        </x14:dataValidation>
        <x14:dataValidation type="list" allowBlank="1" showInputMessage="1" showErrorMessage="1" xr:uid="{2B4D9522-DCEC-4A49-A0EA-62D2C6FCAC03}">
          <x14:formula1>
            <xm:f>Tabling!$I$2:$I$7</xm:f>
          </x14:formula1>
          <xm:sqref>T13</xm:sqref>
        </x14:dataValidation>
        <x14:dataValidation type="list" allowBlank="1" showInputMessage="1" showErrorMessage="1" xr:uid="{61C8F62C-5080-4988-B4CB-5EF2D301F50B}">
          <x14:formula1>
            <xm:f>Tabling!$F$2:$F$7</xm:f>
          </x14:formula1>
          <xm:sqref>T14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B8C13-A59B-43F6-B810-A312B06CBBEA}">
  <sheetPr>
    <tabColor theme="9" tint="0.59999389629810485"/>
  </sheetPr>
  <dimension ref="A1:U45"/>
  <sheetViews>
    <sheetView workbookViewId="0">
      <selection activeCell="O9" sqref="O9:P9"/>
    </sheetView>
  </sheetViews>
  <sheetFormatPr defaultColWidth="0" defaultRowHeight="14.6" zeroHeight="1" x14ac:dyDescent="0.4"/>
  <cols>
    <col min="1" max="21" width="9.23046875" customWidth="1"/>
    <col min="22" max="16384" width="9.23046875" hidden="1"/>
  </cols>
  <sheetData>
    <row r="1" spans="1:21" ht="14.6" customHeight="1" x14ac:dyDescent="0.4">
      <c r="A1" s="114"/>
      <c r="B1" s="176" t="str">
        <f>IF(SetLevels!E18=1,"Select defenses with dropdown menus. Manually input level and time spent. Check RCStats for Movement &amp; Range Stats.","")</f>
        <v>Select defenses with dropdown menus. Manually input level and time spent. Check RCStats for Movement &amp; Range Stats.</v>
      </c>
      <c r="C1" s="176"/>
      <c r="D1" s="176"/>
      <c r="E1" s="176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72" t="s">
        <v>136</v>
      </c>
      <c r="S1" s="172"/>
      <c r="T1" s="172"/>
      <c r="U1" s="93"/>
    </row>
    <row r="2" spans="1:21" ht="14.6" customHeight="1" x14ac:dyDescent="0.4">
      <c r="A2" s="114"/>
      <c r="B2" s="176"/>
      <c r="C2" s="176"/>
      <c r="D2" s="176"/>
      <c r="E2" s="176"/>
      <c r="F2" s="114"/>
      <c r="G2" s="176" t="str">
        <f>IF(SetLevels!E18=1,"Use dropdowns to select charge step.","")</f>
        <v>Use dropdowns to select charge step.</v>
      </c>
      <c r="H2" s="176"/>
      <c r="I2" s="114"/>
      <c r="J2" s="114"/>
      <c r="K2" s="114"/>
      <c r="L2" s="114"/>
      <c r="M2" s="114"/>
      <c r="N2" s="114"/>
      <c r="O2" s="176" t="str">
        <f>IF(SetLevels!E18=1,"Use dropdowns to select event.","")</f>
        <v>Use dropdowns to select event.</v>
      </c>
      <c r="P2" s="176"/>
      <c r="Q2" s="114"/>
      <c r="R2" s="172"/>
      <c r="S2" s="172"/>
      <c r="T2" s="172"/>
      <c r="U2" s="93"/>
    </row>
    <row r="3" spans="1:21" ht="14.6" customHeight="1" x14ac:dyDescent="0.4">
      <c r="A3" s="114"/>
      <c r="B3" s="176"/>
      <c r="C3" s="176"/>
      <c r="D3" s="176"/>
      <c r="E3" s="176"/>
      <c r="F3" s="114"/>
      <c r="G3" s="176"/>
      <c r="H3" s="176"/>
      <c r="I3" s="114"/>
      <c r="J3" s="114"/>
      <c r="K3" s="114"/>
      <c r="L3" s="114"/>
      <c r="M3" s="114"/>
      <c r="N3" s="114"/>
      <c r="O3" s="176"/>
      <c r="P3" s="176"/>
      <c r="Q3" s="114"/>
      <c r="R3" s="172"/>
      <c r="S3" s="172"/>
      <c r="T3" s="172"/>
      <c r="U3" s="93"/>
    </row>
    <row r="4" spans="1:21" ht="14.6" customHeight="1" x14ac:dyDescent="0.4">
      <c r="A4" s="114"/>
      <c r="B4" s="171" t="s">
        <v>119</v>
      </c>
      <c r="C4" s="171"/>
      <c r="D4" s="171"/>
      <c r="E4" s="171"/>
      <c r="F4" s="115"/>
      <c r="G4" s="179" t="s">
        <v>175</v>
      </c>
      <c r="H4" s="179"/>
      <c r="I4" s="179"/>
      <c r="J4" s="179"/>
      <c r="K4" s="179"/>
      <c r="L4" s="179"/>
      <c r="M4" s="179"/>
      <c r="N4" s="179"/>
      <c r="O4" s="179"/>
      <c r="P4" s="179"/>
      <c r="Q4" s="115"/>
      <c r="R4" s="92"/>
      <c r="S4" s="117" t="s">
        <v>125</v>
      </c>
      <c r="T4" s="14"/>
      <c r="U4" s="93"/>
    </row>
    <row r="5" spans="1:21" ht="14.6" customHeight="1" x14ac:dyDescent="0.4">
      <c r="A5" s="114"/>
      <c r="B5" s="171"/>
      <c r="C5" s="171"/>
      <c r="D5" s="171"/>
      <c r="E5" s="171"/>
      <c r="F5" s="115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15"/>
      <c r="R5" s="118" t="s">
        <v>124</v>
      </c>
      <c r="S5" s="175" t="s">
        <v>126</v>
      </c>
      <c r="T5" s="175"/>
      <c r="U5" s="93"/>
    </row>
    <row r="6" spans="1:21" x14ac:dyDescent="0.4">
      <c r="A6" s="114"/>
      <c r="B6" s="177" t="s">
        <v>120</v>
      </c>
      <c r="C6" s="178"/>
      <c r="D6" s="116" t="s">
        <v>2</v>
      </c>
      <c r="E6" s="116" t="s">
        <v>121</v>
      </c>
      <c r="F6" s="115"/>
      <c r="G6" s="154" t="s">
        <v>132</v>
      </c>
      <c r="H6" s="154"/>
      <c r="I6" s="50" t="s">
        <v>128</v>
      </c>
      <c r="J6" s="50" t="s">
        <v>131</v>
      </c>
      <c r="K6" s="50" t="s">
        <v>129</v>
      </c>
      <c r="L6" s="50"/>
      <c r="M6" s="50" t="s">
        <v>121</v>
      </c>
      <c r="N6" s="50" t="s">
        <v>165</v>
      </c>
      <c r="O6" s="50" t="s">
        <v>130</v>
      </c>
      <c r="P6" s="50"/>
      <c r="Q6" s="115"/>
      <c r="R6" s="173" t="str">
        <f>IF(SetLevels!E18=1, "Select Pet w/  S5 Dropdown Menu", "")</f>
        <v>Select Pet w/  S5 Dropdown Menu</v>
      </c>
      <c r="S6" s="174"/>
      <c r="T6" s="174"/>
      <c r="U6" s="93"/>
    </row>
    <row r="7" spans="1:21" x14ac:dyDescent="0.4">
      <c r="A7" s="73" t="str">
        <f>IF(SetLevels!E18=1,"-&gt;","")</f>
        <v>-&gt;</v>
      </c>
      <c r="B7" s="169"/>
      <c r="C7" s="170"/>
      <c r="D7" s="133"/>
      <c r="E7" s="133"/>
      <c r="F7" s="115"/>
      <c r="G7" s="182"/>
      <c r="H7" s="183"/>
      <c r="I7" t="str" cm="1">
        <f t="array" ref="I7">IFERROR(_xlfn.IFS(OR(G7="SpiritFox Invis",G7="Phoenix Revival"),T10,G7="Invis Spell",4.25,G7="Ice Block Spell", 7,G7="Recall Spell", "-----------------",G7="Giga Bomb Triggered",2),"")</f>
        <v/>
      </c>
      <c r="J7" s="122" t="str">
        <f>IFERROR(VLOOKUP(D7,TablingImageLibrary,MATCH(B7,Table3[[#Headers],[Cannon]:[Multi-Gear Tower]],0)+1,FALSE),"")</f>
        <v/>
      </c>
      <c r="K7" s="188" t="str">
        <f>IF(B7=0,"",B7)</f>
        <v/>
      </c>
      <c r="L7" s="188"/>
      <c r="M7" t="str">
        <f>IF(E7=0,"",E7)</f>
        <v/>
      </c>
      <c r="N7" t="str">
        <f>M7</f>
        <v/>
      </c>
      <c r="O7" s="187"/>
      <c r="P7" s="187"/>
      <c r="Q7" s="115"/>
      <c r="R7" s="184" t="str" cm="1">
        <f t="array" ref="R7">IFERROR(_xlfn.IFS(S5="Spirit Fox",spiritfox_img, S5="Phoenix", phoenix_img),"")</f>
        <v/>
      </c>
      <c r="S7" s="184"/>
      <c r="T7" s="125" t="s">
        <v>2</v>
      </c>
      <c r="U7" s="93"/>
    </row>
    <row r="8" spans="1:21" x14ac:dyDescent="0.4">
      <c r="A8" s="114"/>
      <c r="B8" s="169"/>
      <c r="C8" s="170"/>
      <c r="D8" s="133"/>
      <c r="E8" s="133"/>
      <c r="F8" s="115"/>
      <c r="G8" s="182"/>
      <c r="H8" s="183"/>
      <c r="I8" t="str" cm="1">
        <f t="array" ref="I8">IFERROR(_xlfn.IFS(OR(G8="SpiritFox Invis",G8="Phoenix Revival"),T10,G8="Invis Spell",4.25,G8="Ice Block Spell", 7,G8="Recall Spell", "-----------------",G8="Giga Bomb Triggered",2),"")</f>
        <v/>
      </c>
      <c r="J8" s="122" t="str">
        <f>IFERROR(VLOOKUP(D8,TablingImageLibrary,MATCH(B8,Table3[[#Headers],[Cannon]:[Multi-Gear Tower]],0)+1,FALSE),"")</f>
        <v/>
      </c>
      <c r="K8" s="188" t="str">
        <f>IF(B8=0,"",B8)</f>
        <v/>
      </c>
      <c r="L8" s="188"/>
      <c r="M8" t="str">
        <f t="shared" ref="M8:M25" si="0">IF(E8=0,"",E8)</f>
        <v/>
      </c>
      <c r="N8" t="str">
        <f>IFERROR(M8+M7,"")</f>
        <v/>
      </c>
      <c r="O8" s="187"/>
      <c r="P8" s="187"/>
      <c r="Q8" s="115"/>
      <c r="R8" s="185"/>
      <c r="S8" s="185"/>
      <c r="T8" s="124" t="str" cm="1">
        <f t="array" ref="T8">IFERROR(_xlfn.IFS(S5="Spirit Fox",SetLevels!AA11,S5="Phoenix",SetLevels!AA9),"")</f>
        <v/>
      </c>
      <c r="U8" s="93"/>
    </row>
    <row r="9" spans="1:21" x14ac:dyDescent="0.4">
      <c r="A9" s="114"/>
      <c r="B9" s="169"/>
      <c r="C9" s="170"/>
      <c r="D9" s="133"/>
      <c r="E9" s="133"/>
      <c r="F9" s="115"/>
      <c r="G9" s="182"/>
      <c r="H9" s="183"/>
      <c r="I9" t="str" cm="1">
        <f t="array" ref="I9">IFERROR(_xlfn.IFS(OR(G9="SpiritFox Invis",G9="Phoenix Revival"),T10,G9="Invis Spell",4.25,G9="Ice Block Spell", 7,G9="Recall Spell", "-----------------",G9="Giga Bomb Triggered",2),"")</f>
        <v/>
      </c>
      <c r="J9" s="122" t="str">
        <f>IFERROR(VLOOKUP(D9,TablingImageLibrary,MATCH(B9,Table3[[#Headers],[Cannon]:[Multi-Gear Tower]],0)+1,FALSE),"")</f>
        <v/>
      </c>
      <c r="K9" s="188" t="str">
        <f>IF(B9=0,"",B9)</f>
        <v/>
      </c>
      <c r="L9" s="188"/>
      <c r="M9" t="str">
        <f t="shared" si="0"/>
        <v/>
      </c>
      <c r="N9" t="str">
        <f>IFERROR(M9+N8,"")</f>
        <v/>
      </c>
      <c r="O9" s="187"/>
      <c r="P9" s="187"/>
      <c r="Q9" s="115"/>
      <c r="R9" s="185"/>
      <c r="S9" s="185"/>
      <c r="T9" s="123" t="str" cm="1">
        <f t="array" ref="T9">IFERROR(_xlfn.IFS(S5="Spirit Fox","Invis",S5="Phoenix","Revival"),"")</f>
        <v/>
      </c>
      <c r="U9" s="93"/>
    </row>
    <row r="10" spans="1:21" x14ac:dyDescent="0.4">
      <c r="A10" s="114"/>
      <c r="B10" s="169"/>
      <c r="C10" s="170"/>
      <c r="D10" s="133"/>
      <c r="E10" s="133"/>
      <c r="F10" s="115"/>
      <c r="G10" s="182"/>
      <c r="H10" s="183"/>
      <c r="I10" t="str" cm="1">
        <f t="array" ref="I10">IFERROR(_xlfn.IFS(OR(G10="SpiritFox Invis",G10="Phoenix Revival"),T10,G10="Invis Spell",4.25,G10="Ice Block Spell", 7,G10="Recall Spell", "-----------------",G10="Giga Bomb Triggered",2),"")</f>
        <v/>
      </c>
      <c r="J10" s="122" t="str">
        <f>IFERROR(VLOOKUP(D10,TablingImageLibrary,MATCH(B10,Table3[[#Headers],[Cannon]:[Multi-Gear Tower]],0)+1,FALSE),"")</f>
        <v/>
      </c>
      <c r="K10" s="188" t="str">
        <f t="shared" ref="K10:K25" si="1">IF(B10=0,"",B10)</f>
        <v/>
      </c>
      <c r="L10" s="188"/>
      <c r="M10" t="str">
        <f t="shared" si="0"/>
        <v/>
      </c>
      <c r="N10" t="str">
        <f t="shared" ref="N10:N25" si="2">IFERROR(M10+N9,"")</f>
        <v/>
      </c>
      <c r="O10" s="187"/>
      <c r="P10" s="187"/>
      <c r="Q10" s="115"/>
      <c r="R10" s="186"/>
      <c r="S10" s="186"/>
      <c r="T10" s="124" t="str" cm="1">
        <f t="array" ref="T10">IFERROR(_xlfn.IFS(S5="Spirit Fox",SetLevels!AD11, S5="Phoenix",SetLevels!AD9),"")</f>
        <v/>
      </c>
      <c r="U10" s="93"/>
    </row>
    <row r="11" spans="1:21" x14ac:dyDescent="0.4">
      <c r="A11" s="114"/>
      <c r="B11" s="169"/>
      <c r="C11" s="170"/>
      <c r="D11" s="133"/>
      <c r="E11" s="133"/>
      <c r="F11" s="115"/>
      <c r="G11" s="182"/>
      <c r="H11" s="183"/>
      <c r="I11" t="str" cm="1">
        <f t="array" ref="I11">IFERROR(_xlfn.IFS(OR(G11="SpiritFox Invis",G11="Phoenix Revival"),T10,G11="Invis Spell",4.25,G11="Ice Block Spell", 7,G11="Recall Spell", "-----------------",G11="Giga Bomb Triggered",2),"")</f>
        <v/>
      </c>
      <c r="J11" s="122" t="str">
        <f>IFERROR(VLOOKUP(D11,TablingImageLibrary,MATCH(B11,Table3[[#Headers],[Cannon]:[Multi-Gear Tower]],0)+1,FALSE),"")</f>
        <v/>
      </c>
      <c r="K11" s="188" t="str">
        <f t="shared" si="1"/>
        <v/>
      </c>
      <c r="L11" s="188"/>
      <c r="M11" t="str">
        <f t="shared" si="0"/>
        <v/>
      </c>
      <c r="N11" t="str">
        <f t="shared" si="2"/>
        <v/>
      </c>
      <c r="O11" s="187"/>
      <c r="P11" s="187"/>
      <c r="Q11" s="115"/>
      <c r="R11" s="180" t="s">
        <v>133</v>
      </c>
      <c r="S11" s="181"/>
      <c r="T11" s="181"/>
      <c r="U11" s="93"/>
    </row>
    <row r="12" spans="1:21" x14ac:dyDescent="0.4">
      <c r="A12" s="114"/>
      <c r="B12" s="169"/>
      <c r="C12" s="170"/>
      <c r="D12" s="133"/>
      <c r="E12" s="133"/>
      <c r="F12" s="115"/>
      <c r="G12" s="182"/>
      <c r="H12" s="183"/>
      <c r="I12" t="str" cm="1">
        <f t="array" ref="I12">IFERROR(_xlfn.IFS(OR(G12="SpiritFox Invis",G12="Phoenix Revival"),T10,G12="Invis Spell",4.25,G12="Ice Block Spell", 7,G12="Recall Spell", "-----------------",G12="Giga Bomb Triggered",2),"")</f>
        <v/>
      </c>
      <c r="J12" s="122" t="str">
        <f>IFERROR(VLOOKUP(D12,TablingImageLibrary,MATCH(B12,Table3[[#Headers],[Cannon]:[Multi-Gear Tower]],0)+1,FALSE),"")</f>
        <v/>
      </c>
      <c r="K12" s="188" t="str">
        <f t="shared" si="1"/>
        <v/>
      </c>
      <c r="L12" s="188"/>
      <c r="M12" t="str">
        <f t="shared" si="0"/>
        <v/>
      </c>
      <c r="N12" t="str">
        <f t="shared" si="2"/>
        <v/>
      </c>
      <c r="O12" s="187"/>
      <c r="P12" s="187"/>
      <c r="Q12" s="115"/>
      <c r="R12" s="189" t="e" vm="2">
        <f>DamageCalc!A21</f>
        <v>#VALUE!</v>
      </c>
      <c r="S12" s="115"/>
      <c r="T12" s="191" t="e" vm="3">
        <f>DamageCalc!C21</f>
        <v>#VALUE!</v>
      </c>
      <c r="U12" s="93"/>
    </row>
    <row r="13" spans="1:21" x14ac:dyDescent="0.4">
      <c r="A13" s="114"/>
      <c r="B13" s="169"/>
      <c r="C13" s="170"/>
      <c r="D13" s="133"/>
      <c r="E13" s="133"/>
      <c r="F13" s="115"/>
      <c r="G13" s="182"/>
      <c r="H13" s="183"/>
      <c r="I13" t="str" cm="1">
        <f t="array" ref="I13">IFERROR(_xlfn.IFS(OR(G13="SpiritFox Invis",G13="Phoenix Revival"),T10,G13="Invis Spell",4.25,G13="Ice Block Spell", 7,G13="Recall Spell", "-----------------",G13="Giga Bomb Triggered",2),"")</f>
        <v/>
      </c>
      <c r="J13" s="122" t="str">
        <f>IFERROR(VLOOKUP(D13,TablingImageLibrary,MATCH(B13,Table3[[#Headers],[Cannon]:[Multi-Gear Tower]],0)+1,FALSE),"")</f>
        <v/>
      </c>
      <c r="K13" s="188" t="str">
        <f t="shared" si="1"/>
        <v/>
      </c>
      <c r="L13" s="188"/>
      <c r="M13" t="str">
        <f t="shared" si="0"/>
        <v/>
      </c>
      <c r="N13" t="str">
        <f t="shared" si="2"/>
        <v/>
      </c>
      <c r="O13" s="187"/>
      <c r="P13" s="187"/>
      <c r="Q13" s="115"/>
      <c r="R13" s="190"/>
      <c r="S13" s="126"/>
      <c r="T13" s="192"/>
      <c r="U13" s="93"/>
    </row>
    <row r="14" spans="1:21" x14ac:dyDescent="0.4">
      <c r="A14" s="114"/>
      <c r="B14" s="169"/>
      <c r="C14" s="170"/>
      <c r="D14" s="133"/>
      <c r="E14" s="133"/>
      <c r="F14" s="115"/>
      <c r="G14" s="182"/>
      <c r="H14" s="183"/>
      <c r="I14" t="str" cm="1">
        <f t="array" ref="I14">IFERROR(_xlfn.IFS(OR(G14="SpiritFox Invis",G14="Phoenix Revival"),T10,G14="Invis Spell",4.25,G14="Ice Block Spell", 7,G14="Recall Spell", "-----------------",G14="Giga Bomb Triggered",2),"")</f>
        <v/>
      </c>
      <c r="J14" s="122" t="str">
        <f>IFERROR(VLOOKUP(D14,TablingImageLibrary,MATCH(B14,Table3[[#Headers],[Cannon]:[Multi-Gear Tower]],0)+1,FALSE),"")</f>
        <v/>
      </c>
      <c r="K14" s="188" t="str">
        <f t="shared" si="1"/>
        <v/>
      </c>
      <c r="L14" s="188"/>
      <c r="M14" t="str">
        <f t="shared" si="0"/>
        <v/>
      </c>
      <c r="N14" t="str">
        <f t="shared" si="2"/>
        <v/>
      </c>
      <c r="O14" s="187"/>
      <c r="P14" s="187"/>
      <c r="Q14" s="115"/>
      <c r="R14" s="127">
        <f>DamageCalc!B25</f>
        <v>1</v>
      </c>
      <c r="S14" s="128"/>
      <c r="T14" s="127">
        <f>DamageCalc!D25</f>
        <v>1</v>
      </c>
      <c r="U14" s="93"/>
    </row>
    <row r="15" spans="1:21" x14ac:dyDescent="0.4">
      <c r="A15" s="114"/>
      <c r="B15" s="169"/>
      <c r="C15" s="170"/>
      <c r="D15" s="133"/>
      <c r="E15" s="133"/>
      <c r="F15" s="115"/>
      <c r="G15" s="182"/>
      <c r="H15" s="183"/>
      <c r="I15" t="str" cm="1">
        <f t="array" ref="I15">IFERROR(_xlfn.IFS(OR(G15="SpiritFox Invis",G15="Phoenix Revival"),T10,G15="Invis Spell",4.25,G15="Ice Block Spell", 7,G15="Recall Spell", "-----------------",G15="Giga Bomb Triggered",2),"")</f>
        <v/>
      </c>
      <c r="J15" s="122" t="str">
        <f>IFERROR(VLOOKUP(D15,TablingImageLibrary,MATCH(B15,Table3[[#Headers],[Cannon]:[Multi-Gear Tower]],0)+1,FALSE),"")</f>
        <v/>
      </c>
      <c r="K15" s="188" t="str">
        <f t="shared" si="1"/>
        <v/>
      </c>
      <c r="L15" s="188"/>
      <c r="M15" t="str">
        <f t="shared" si="0"/>
        <v/>
      </c>
      <c r="N15" t="str">
        <f t="shared" si="2"/>
        <v/>
      </c>
      <c r="O15" s="187"/>
      <c r="P15" s="187"/>
      <c r="Q15" s="115"/>
      <c r="R15" s="195" t="s">
        <v>147</v>
      </c>
      <c r="S15" s="195"/>
      <c r="T15" s="195"/>
      <c r="U15" s="93"/>
    </row>
    <row r="16" spans="1:21" x14ac:dyDescent="0.4">
      <c r="A16" s="114"/>
      <c r="B16" s="169"/>
      <c r="C16" s="170"/>
      <c r="D16" s="133"/>
      <c r="E16" s="133"/>
      <c r="F16" s="115"/>
      <c r="G16" s="182"/>
      <c r="H16" s="183"/>
      <c r="I16" t="str" cm="1">
        <f t="array" ref="I16">IFERROR(_xlfn.IFS(OR(G16="SpiritFox Invis",G16="Phoenix Revival"),T10,G16="Invis Spell",4.25,G16="Ice Block Spell", 7,G16="Recall Spell", "-----------------",G16="Giga Bomb Triggered",2),"")</f>
        <v/>
      </c>
      <c r="J16" s="122" t="str">
        <f>IFERROR(VLOOKUP(D16,TablingImageLibrary,MATCH(B16,Table3[[#Headers],[Cannon]:[Multi-Gear Tower]],0)+1,FALSE),"")</f>
        <v/>
      </c>
      <c r="K16" s="188" t="str">
        <f t="shared" si="1"/>
        <v/>
      </c>
      <c r="L16" s="188"/>
      <c r="M16" t="str">
        <f t="shared" si="0"/>
        <v/>
      </c>
      <c r="N16" t="str">
        <f t="shared" si="2"/>
        <v/>
      </c>
      <c r="O16" s="187"/>
      <c r="P16" s="187"/>
      <c r="Q16" s="115"/>
      <c r="R16" s="196" t="e" vm="4">
        <v>#VALUE!</v>
      </c>
      <c r="S16" s="197" t="e" vm="5">
        <v>#VALUE!</v>
      </c>
      <c r="T16" s="198" t="e" vm="6">
        <v>#VALUE!</v>
      </c>
      <c r="U16" s="93"/>
    </row>
    <row r="17" spans="1:21" x14ac:dyDescent="0.4">
      <c r="A17" s="114"/>
      <c r="B17" s="169"/>
      <c r="C17" s="170"/>
      <c r="D17" s="133"/>
      <c r="E17" s="133"/>
      <c r="F17" s="115"/>
      <c r="G17" s="182"/>
      <c r="H17" s="183"/>
      <c r="I17" t="str" cm="1">
        <f t="array" ref="I17">IFERROR(_xlfn.IFS(OR(G17="SpiritFox Invis",G17="Phoenix Revival"),T10,G17="Invis Spell",4.25,G17="Ice Block Spell", 7,G17="Recall Spell", "-----------------",G17="Giga Bomb Triggered",2),"")</f>
        <v/>
      </c>
      <c r="J17" s="122" t="str">
        <f>IFERROR(VLOOKUP(D17,TablingImageLibrary,MATCH(B17,Table3[[#Headers],[Cannon]:[Multi-Gear Tower]],0)+1,FALSE),"")</f>
        <v/>
      </c>
      <c r="K17" s="188" t="str">
        <f t="shared" si="1"/>
        <v/>
      </c>
      <c r="L17" s="188"/>
      <c r="M17" t="str">
        <f t="shared" si="0"/>
        <v/>
      </c>
      <c r="N17" t="str">
        <f t="shared" si="2"/>
        <v/>
      </c>
      <c r="O17" s="187"/>
      <c r="P17" s="187"/>
      <c r="Q17" s="115"/>
      <c r="R17" s="196"/>
      <c r="S17" s="197"/>
      <c r="T17" s="198"/>
      <c r="U17" s="93"/>
    </row>
    <row r="18" spans="1:21" x14ac:dyDescent="0.4">
      <c r="A18" s="114"/>
      <c r="B18" s="169"/>
      <c r="C18" s="170"/>
      <c r="D18" s="133"/>
      <c r="E18" s="133"/>
      <c r="F18" s="115"/>
      <c r="G18" s="182"/>
      <c r="H18" s="183"/>
      <c r="I18" t="str" cm="1">
        <f t="array" ref="I18">IFERROR(_xlfn.IFS(OR(G18="SpiritFox Invis",G18="Phoenix Revival"),T10,G18="Invis Spell",4.25,G18="Ice Block Spell", 7,G18="Recall Spell", "-----------------",G18="Giga Bomb Triggered",2),"")</f>
        <v/>
      </c>
      <c r="J18" s="122" t="str">
        <f>IFERROR(VLOOKUP(D18,TablingImageLibrary,MATCH(B18,Table3[[#Headers],[Cannon]:[Multi-Gear Tower]],0)+1,FALSE),"")</f>
        <v/>
      </c>
      <c r="K18" s="188" t="str">
        <f t="shared" si="1"/>
        <v/>
      </c>
      <c r="L18" s="188"/>
      <c r="M18" t="str">
        <f t="shared" si="0"/>
        <v/>
      </c>
      <c r="N18" t="str">
        <f t="shared" si="2"/>
        <v/>
      </c>
      <c r="O18" s="187"/>
      <c r="P18" s="187"/>
      <c r="Q18" s="115"/>
      <c r="R18" s="129">
        <f>COUNTIF(G7:H25,"Invis Spell")+COUNTIF(O7:P25,"Invisibility Redirect")</f>
        <v>0</v>
      </c>
      <c r="S18" s="129">
        <f>COUNTIF(O7:P25,"Earthquake Spell")</f>
        <v>0</v>
      </c>
      <c r="T18" s="129">
        <f>COUNTIF(G7:H25,"Ice Block Spell")</f>
        <v>0</v>
      </c>
      <c r="U18" s="93"/>
    </row>
    <row r="19" spans="1:21" x14ac:dyDescent="0.4">
      <c r="A19" s="114"/>
      <c r="B19" s="169"/>
      <c r="C19" s="170"/>
      <c r="D19" s="133"/>
      <c r="E19" s="133"/>
      <c r="F19" s="115"/>
      <c r="G19" s="182"/>
      <c r="H19" s="183"/>
      <c r="I19" t="str" cm="1">
        <f t="array" ref="I19">IFERROR(_xlfn.IFS(OR(G19="SpiritFox Invis",G19="Phoenix Revival"),T10,G19="Invis Spell",4.25,G19="Ice Block Spell", 7,G19="Recall Spell", "-----------------",G19="Giga Bomb Triggered",2),"")</f>
        <v/>
      </c>
      <c r="J19" s="122" t="str">
        <f>IFERROR(VLOOKUP(D19,TablingImageLibrary,MATCH(B19,Table3[[#Headers],[Cannon]:[Multi-Gear Tower]],0)+1,FALSE),"")</f>
        <v/>
      </c>
      <c r="K19" s="188" t="str">
        <f t="shared" si="1"/>
        <v/>
      </c>
      <c r="L19" s="188"/>
      <c r="M19" t="str">
        <f t="shared" si="0"/>
        <v/>
      </c>
      <c r="N19" t="str">
        <f t="shared" si="2"/>
        <v/>
      </c>
      <c r="O19" s="187"/>
      <c r="P19" s="187"/>
      <c r="Q19" s="115"/>
      <c r="R19" s="163" t="s">
        <v>149</v>
      </c>
      <c r="S19" s="164"/>
      <c r="T19" s="164"/>
      <c r="U19" s="93"/>
    </row>
    <row r="20" spans="1:21" x14ac:dyDescent="0.4">
      <c r="A20" s="114"/>
      <c r="B20" s="169"/>
      <c r="C20" s="170"/>
      <c r="D20" s="133"/>
      <c r="E20" s="133"/>
      <c r="F20" s="115"/>
      <c r="G20" s="182"/>
      <c r="H20" s="183"/>
      <c r="I20" t="str" cm="1">
        <f t="array" ref="I20">IFERROR(_xlfn.IFS(OR(G20="SpiritFox Invis",G20="Phoenix Revival"),T10,G20="Invis Spell",4.25,G20="Ice Block Spell", 7,G20="Recall Spell", "-----------------",G20="Giga Bomb Triggered",2),"")</f>
        <v/>
      </c>
      <c r="J20" s="122" t="str">
        <f>IFERROR(VLOOKUP(D20,TablingImageLibrary,MATCH(B20,Table3[[#Headers],[Cannon]:[Multi-Gear Tower]],0)+1,FALSE),"")</f>
        <v/>
      </c>
      <c r="K20" s="188" t="str">
        <f t="shared" si="1"/>
        <v/>
      </c>
      <c r="L20" s="188"/>
      <c r="M20" t="str">
        <f t="shared" si="0"/>
        <v/>
      </c>
      <c r="N20" t="str">
        <f t="shared" si="2"/>
        <v/>
      </c>
      <c r="O20" s="187"/>
      <c r="P20" s="187"/>
      <c r="Q20" s="115"/>
      <c r="R20" s="92" t="s">
        <v>150</v>
      </c>
      <c r="S20" s="14"/>
      <c r="T20" s="14">
        <f>SUM(M7:M25)</f>
        <v>0</v>
      </c>
      <c r="U20" s="93"/>
    </row>
    <row r="21" spans="1:21" x14ac:dyDescent="0.4">
      <c r="A21" s="114"/>
      <c r="B21" s="169"/>
      <c r="C21" s="170"/>
      <c r="D21" s="133"/>
      <c r="E21" s="133"/>
      <c r="F21" s="115"/>
      <c r="G21" s="182"/>
      <c r="H21" s="183"/>
      <c r="I21" t="str" cm="1">
        <f t="array" ref="I21">IFERROR(_xlfn.IFS(OR(G21="SpiritFox Invis",G21="Phoenix Revival"),T10,G21="Invis Spell",4.25,G21="Ice Block Spell", 7,G21="Recall Spell", "-----------------",G21="Giga Bomb Triggered",2),"")</f>
        <v/>
      </c>
      <c r="J21" s="122" t="str">
        <f>IFERROR(VLOOKUP(D21,TablingImageLibrary,MATCH(B21,Table3[[#Headers],[Cannon]:[Multi-Gear Tower]],0)+1,FALSE),"")</f>
        <v/>
      </c>
      <c r="K21" s="188" t="str">
        <f t="shared" si="1"/>
        <v/>
      </c>
      <c r="L21" s="188"/>
      <c r="M21" t="str">
        <f t="shared" si="0"/>
        <v/>
      </c>
      <c r="N21" t="str">
        <f t="shared" si="2"/>
        <v/>
      </c>
      <c r="O21" s="187"/>
      <c r="P21" s="187"/>
      <c r="Q21" s="115"/>
      <c r="R21" s="92" t="s">
        <v>148</v>
      </c>
      <c r="S21" s="14"/>
      <c r="T21" s="14">
        <f>19-COUNTBLANK(K7:K25)</f>
        <v>0</v>
      </c>
      <c r="U21" s="93"/>
    </row>
    <row r="22" spans="1:21" x14ac:dyDescent="0.4">
      <c r="A22" s="114"/>
      <c r="B22" s="169"/>
      <c r="C22" s="170"/>
      <c r="D22" s="133"/>
      <c r="E22" s="133"/>
      <c r="F22" s="115"/>
      <c r="G22" s="182"/>
      <c r="H22" s="183"/>
      <c r="I22" t="str" cm="1">
        <f t="array" ref="I22">IFERROR(_xlfn.IFS(OR(G22="SpiritFox Invis",G22="Phoenix Revival"),T10,G22="Invis Spell",4.25,G22="Ice Block Spell", 7,G22="Recall Spell", "-----------------",G22="Giga Bomb Triggered",2),"")</f>
        <v/>
      </c>
      <c r="J22" s="122" t="str">
        <f>IFERROR(VLOOKUP(D22,TablingImageLibrary,MATCH(B22,Table3[[#Headers],[Cannon]:[Multi-Gear Tower]],0)+1,FALSE),"")</f>
        <v/>
      </c>
      <c r="K22" s="188" t="str">
        <f t="shared" si="1"/>
        <v/>
      </c>
      <c r="L22" s="188"/>
      <c r="M22" t="str">
        <f t="shared" si="0"/>
        <v/>
      </c>
      <c r="N22" t="str">
        <f t="shared" si="2"/>
        <v/>
      </c>
      <c r="O22" s="187"/>
      <c r="P22" s="187"/>
      <c r="Q22" s="115"/>
      <c r="R22" s="92" t="s">
        <v>166</v>
      </c>
      <c r="S22" s="14"/>
      <c r="T22" s="72" t="str">
        <f>IF(COUNTIF(O7:P25,"CC Destroyed")&gt;0, "Destroyed",IF(COUNTIF(O7:P25,"CC Alerted")&gt;0,"Alerted","Inactive"))</f>
        <v>Inactive</v>
      </c>
      <c r="U22" s="93"/>
    </row>
    <row r="23" spans="1:21" x14ac:dyDescent="0.4">
      <c r="A23" s="114"/>
      <c r="B23" s="169"/>
      <c r="C23" s="170"/>
      <c r="D23" s="133"/>
      <c r="E23" s="133"/>
      <c r="F23" s="115"/>
      <c r="G23" s="182"/>
      <c r="H23" s="183"/>
      <c r="I23" t="str" cm="1">
        <f t="array" ref="I23">IFERROR(_xlfn.IFS(OR(G23="SpiritFox Invis",G23="Phoenix Revival"),T10,G23="Invis Spell",4.25,G23="Ice Block Spell", 7,G23="Recall Spell", "-----------------",G23="Giga Bomb Triggered",2),"")</f>
        <v/>
      </c>
      <c r="J23" s="122" t="str">
        <f>IFERROR(VLOOKUP(D23,TablingImageLibrary,MATCH(B23,Table3[[#Headers],[Cannon]:[Multi-Gear Tower]],0)+1,FALSE),"")</f>
        <v/>
      </c>
      <c r="K23" s="188" t="str">
        <f t="shared" si="1"/>
        <v/>
      </c>
      <c r="L23" s="188"/>
      <c r="M23" t="str">
        <f t="shared" si="0"/>
        <v/>
      </c>
      <c r="N23" t="str">
        <f t="shared" si="2"/>
        <v/>
      </c>
      <c r="O23" s="187"/>
      <c r="P23" s="187"/>
      <c r="Q23" s="115"/>
      <c r="R23" s="193" t="str">
        <f>IF(COUNTIF(G7:H25,"Recall Spell")&gt;0,"RECALLED","")</f>
        <v/>
      </c>
      <c r="S23" s="194"/>
      <c r="T23" s="194"/>
      <c r="U23" s="93"/>
    </row>
    <row r="24" spans="1:21" x14ac:dyDescent="0.4">
      <c r="A24" s="114"/>
      <c r="B24" s="169"/>
      <c r="C24" s="170"/>
      <c r="D24" s="133"/>
      <c r="E24" s="133"/>
      <c r="F24" s="115"/>
      <c r="G24" s="182"/>
      <c r="H24" s="183"/>
      <c r="I24" t="str" cm="1">
        <f t="array" ref="I24">IFERROR(_xlfn.IFS(OR(G24="SpiritFox Invis",G24="Phoenix Revival"),T10,G24="Invis Spell",4.25,G24="Ice Block Spell", 7,G24="Recall Spell", "-----------------",G24="Giga Bomb Triggered",2),"")</f>
        <v/>
      </c>
      <c r="J24" s="122" t="str">
        <f>IFERROR(VLOOKUP(D24,TablingImageLibrary,MATCH(B24,Table3[[#Headers],[Cannon]:[Multi-Gear Tower]],0)+1,FALSE),"")</f>
        <v/>
      </c>
      <c r="K24" s="188" t="str">
        <f t="shared" si="1"/>
        <v/>
      </c>
      <c r="L24" s="188"/>
      <c r="M24" t="str">
        <f t="shared" si="0"/>
        <v/>
      </c>
      <c r="N24" t="str">
        <f t="shared" si="2"/>
        <v/>
      </c>
      <c r="O24" s="187"/>
      <c r="P24" s="187"/>
      <c r="Q24" s="115"/>
      <c r="R24" s="194"/>
      <c r="S24" s="194"/>
      <c r="T24" s="194"/>
      <c r="U24" s="93"/>
    </row>
    <row r="25" spans="1:21" x14ac:dyDescent="0.4">
      <c r="A25" s="114"/>
      <c r="B25" s="169"/>
      <c r="C25" s="170"/>
      <c r="D25" s="133"/>
      <c r="E25" s="133"/>
      <c r="F25" s="115"/>
      <c r="G25" s="182"/>
      <c r="H25" s="183"/>
      <c r="I25" t="str" cm="1">
        <f t="array" ref="I25">IFERROR(_xlfn.IFS(OR(G25="SpiritFox Invis",G25="Phoenix Revival"),T10,G25="Invis Spell",4.25,G25="Ice Block Spell", 7,G25="Recall Spell", "-----------------",G25="Giga Bomb Triggered",2),"")</f>
        <v/>
      </c>
      <c r="J25" s="122" t="str">
        <f>IFERROR(VLOOKUP(D25,TablingImageLibrary,MATCH(B25,Table3[[#Headers],[Cannon]:[Multi-Gear Tower]],0)+1,FALSE),"")</f>
        <v/>
      </c>
      <c r="K25" s="188" t="str">
        <f t="shared" si="1"/>
        <v/>
      </c>
      <c r="L25" s="188"/>
      <c r="M25" t="str">
        <f t="shared" si="0"/>
        <v/>
      </c>
      <c r="N25" t="str">
        <f t="shared" si="2"/>
        <v/>
      </c>
      <c r="O25" s="187"/>
      <c r="P25" s="187"/>
      <c r="Q25" s="115"/>
      <c r="R25" s="194"/>
      <c r="S25" s="194"/>
      <c r="T25" s="194"/>
      <c r="U25" s="93"/>
    </row>
    <row r="33" customFormat="1" hidden="1" x14ac:dyDescent="0.4"/>
    <row r="34" customFormat="1" hidden="1" x14ac:dyDescent="0.4"/>
    <row r="35" customFormat="1" hidden="1" x14ac:dyDescent="0.4"/>
    <row r="36" customFormat="1" hidden="1" x14ac:dyDescent="0.4"/>
    <row r="37" customFormat="1" hidden="1" x14ac:dyDescent="0.4"/>
    <row r="38" customFormat="1" hidden="1" x14ac:dyDescent="0.4"/>
    <row r="39" customFormat="1" hidden="1" x14ac:dyDescent="0.4"/>
    <row r="40" customFormat="1" hidden="1" x14ac:dyDescent="0.4"/>
    <row r="41" customFormat="1" hidden="1" x14ac:dyDescent="0.4"/>
    <row r="42" customFormat="1" hidden="1" x14ac:dyDescent="0.4"/>
    <row r="43" customFormat="1" hidden="1" x14ac:dyDescent="0.4"/>
    <row r="44" customFormat="1" hidden="1" x14ac:dyDescent="0.4"/>
    <row r="45" customFormat="1" hidden="1" x14ac:dyDescent="0.4"/>
  </sheetData>
  <protectedRanges>
    <protectedRange sqref="B7:E25" name="ChargeTrackerInputs"/>
  </protectedRanges>
  <mergeCells count="96">
    <mergeCell ref="O23:P23"/>
    <mergeCell ref="O24:P24"/>
    <mergeCell ref="O25:P25"/>
    <mergeCell ref="O18:P18"/>
    <mergeCell ref="O19:P19"/>
    <mergeCell ref="O20:P20"/>
    <mergeCell ref="O21:P21"/>
    <mergeCell ref="O22:P22"/>
    <mergeCell ref="R12:R13"/>
    <mergeCell ref="T12:T13"/>
    <mergeCell ref="K22:L22"/>
    <mergeCell ref="K23:L23"/>
    <mergeCell ref="K12:L12"/>
    <mergeCell ref="K13:L13"/>
    <mergeCell ref="K14:L14"/>
    <mergeCell ref="K15:L15"/>
    <mergeCell ref="K16:L16"/>
    <mergeCell ref="R19:T19"/>
    <mergeCell ref="R23:T25"/>
    <mergeCell ref="R15:T15"/>
    <mergeCell ref="R16:R17"/>
    <mergeCell ref="S16:S17"/>
    <mergeCell ref="T16:T17"/>
    <mergeCell ref="O12:P12"/>
    <mergeCell ref="K24:L24"/>
    <mergeCell ref="K25:L25"/>
    <mergeCell ref="K17:L17"/>
    <mergeCell ref="K18:L18"/>
    <mergeCell ref="K19:L19"/>
    <mergeCell ref="K20:L20"/>
    <mergeCell ref="K21:L21"/>
    <mergeCell ref="K10:L10"/>
    <mergeCell ref="K11:L11"/>
    <mergeCell ref="G17:H17"/>
    <mergeCell ref="G18:H18"/>
    <mergeCell ref="G19:H19"/>
    <mergeCell ref="G12:H12"/>
    <mergeCell ref="G13:H13"/>
    <mergeCell ref="G16:H16"/>
    <mergeCell ref="G14:H14"/>
    <mergeCell ref="G15:H15"/>
    <mergeCell ref="B15:C15"/>
    <mergeCell ref="B25:C25"/>
    <mergeCell ref="B18:C18"/>
    <mergeCell ref="B19:C19"/>
    <mergeCell ref="G23:H23"/>
    <mergeCell ref="B17:C17"/>
    <mergeCell ref="G24:H24"/>
    <mergeCell ref="G25:H25"/>
    <mergeCell ref="G20:H20"/>
    <mergeCell ref="G21:H21"/>
    <mergeCell ref="G22:H22"/>
    <mergeCell ref="O13:P13"/>
    <mergeCell ref="O14:P14"/>
    <mergeCell ref="O15:P15"/>
    <mergeCell ref="O16:P16"/>
    <mergeCell ref="O17:P17"/>
    <mergeCell ref="R11:T11"/>
    <mergeCell ref="G6:H6"/>
    <mergeCell ref="G7:H7"/>
    <mergeCell ref="G8:H8"/>
    <mergeCell ref="G9:H9"/>
    <mergeCell ref="G10:H10"/>
    <mergeCell ref="R7:S10"/>
    <mergeCell ref="O7:P7"/>
    <mergeCell ref="O8:P8"/>
    <mergeCell ref="O9:P9"/>
    <mergeCell ref="O10:P10"/>
    <mergeCell ref="O11:P11"/>
    <mergeCell ref="G11:H11"/>
    <mergeCell ref="K7:L7"/>
    <mergeCell ref="K8:L8"/>
    <mergeCell ref="K9:L9"/>
    <mergeCell ref="B4:E5"/>
    <mergeCell ref="R1:T3"/>
    <mergeCell ref="R6:T6"/>
    <mergeCell ref="S5:T5"/>
    <mergeCell ref="G2:H3"/>
    <mergeCell ref="O2:P3"/>
    <mergeCell ref="B1:E3"/>
    <mergeCell ref="B6:C6"/>
    <mergeCell ref="G4:P5"/>
    <mergeCell ref="B7:C7"/>
    <mergeCell ref="B8:C8"/>
    <mergeCell ref="B9:C9"/>
    <mergeCell ref="B24:C24"/>
    <mergeCell ref="B14:C14"/>
    <mergeCell ref="B11:C11"/>
    <mergeCell ref="B20:C20"/>
    <mergeCell ref="B21:C21"/>
    <mergeCell ref="B22:C22"/>
    <mergeCell ref="B23:C23"/>
    <mergeCell ref="B12:C12"/>
    <mergeCell ref="B13:C13"/>
    <mergeCell ref="B10:C10"/>
    <mergeCell ref="B16:C16"/>
  </mergeCells>
  <conditionalFormatting sqref="G7:H25">
    <cfRule type="containsText" dxfId="22" priority="1" operator="containsText" text="Spring Trap Triggered">
      <formula>NOT(ISERROR(SEARCH("Spring Trap Triggered",G7)))</formula>
    </cfRule>
    <cfRule type="containsText" dxfId="21" priority="22" operator="containsText" text="Phoenix Revival">
      <formula>NOT(ISERROR(SEARCH("Phoenix Revival",G7)))</formula>
    </cfRule>
    <cfRule type="containsText" dxfId="20" priority="23" operator="containsText" text="Giga Bomb Triggered">
      <formula>NOT(ISERROR(SEARCH("Giga Bomb Triggered",G7)))</formula>
    </cfRule>
    <cfRule type="containsText" dxfId="19" priority="24" operator="containsText" text="Recall Spell">
      <formula>NOT(ISERROR(SEARCH("Recall Spell",G7)))</formula>
    </cfRule>
    <cfRule type="containsText" dxfId="18" priority="25" operator="containsText" text="Ice Block Spell">
      <formula>NOT(ISERROR(SEARCH("Ice Block Spell",G7)))</formula>
    </cfRule>
    <cfRule type="containsText" dxfId="17" priority="26" operator="containsText" text="Invis Spell">
      <formula>NOT(ISERROR(SEARCH("Invis Spell",G7)))</formula>
    </cfRule>
    <cfRule type="beginsWith" dxfId="16" priority="27" operator="beginsWith" text="SpiritFox Invis">
      <formula>LEFT(G7,LEN("SpiritFox Invis"))="SpiritFox Invis"</formula>
    </cfRule>
  </conditionalFormatting>
  <conditionalFormatting sqref="O7:P25">
    <cfRule type="containsText" dxfId="15" priority="7" operator="containsText" text="Invisibility Redirect">
      <formula>NOT(ISERROR(SEARCH("Invisibility Redirect",O7)))</formula>
    </cfRule>
    <cfRule type="containsText" dxfId="14" priority="8" operator="containsText" text="Activate Ability">
      <formula>NOT(ISERROR(SEARCH("Activate Ability",O7)))</formula>
    </cfRule>
    <cfRule type="containsText" dxfId="13" priority="9" operator="containsText" text="Poison Tower Triggered">
      <formula>NOT(ISERROR(SEARCH("Poison Tower Triggered",O7)))</formula>
    </cfRule>
    <cfRule type="containsText" dxfId="12" priority="10" operator="containsText" text="Earthquake Spell">
      <formula>NOT(ISERROR(SEARCH("Earthquake Spell",O7)))</formula>
    </cfRule>
    <cfRule type="containsText" dxfId="11" priority="11" operator="containsText" text="Spirit Fox Dies">
      <formula>NOT(ISERROR(SEARCH("Spirit Fox Dies",O7)))</formula>
    </cfRule>
  </conditionalFormatting>
  <conditionalFormatting sqref="R23:T25">
    <cfRule type="containsText" dxfId="8" priority="6" operator="containsText" text="RECALLED">
      <formula>NOT(ISERROR(SEARCH("RECALLED",R23)))</formula>
    </cfRule>
  </conditionalFormatting>
  <dataValidations count="3">
    <dataValidation type="list" allowBlank="1" showInputMessage="1" showErrorMessage="1" sqref="S5:T5" xr:uid="{B66DEBF2-B2B2-4FDD-8E56-EA55E114ADFF}">
      <formula1>PetTableDD</formula1>
    </dataValidation>
    <dataValidation type="list" allowBlank="1" showInputMessage="1" showErrorMessage="1" sqref="G7:H25" xr:uid="{0B3C6558-4EC5-4FBF-A37D-108681A6ABDB}">
      <formula1>ChargeStepTable</formula1>
    </dataValidation>
    <dataValidation type="list" allowBlank="1" showInputMessage="1" showErrorMessage="1" sqref="O7:P25" xr:uid="{2DBCCA95-15A5-4F29-83A5-5A50BF4491C0}">
      <formula1>ConcurrentEventsTable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2F029743-847E-44DF-9BAC-207C90D75EB7}">
            <xm:f>SetLevels!$E$18=0</xm:f>
            <x14:dxf>
              <fill>
                <patternFill>
                  <bgColor rgb="FF5FE7AE"/>
                </patternFill>
              </fill>
            </x14:dxf>
          </x14:cfRule>
          <xm:sqref>B1 F2:P3 A7</xm:sqref>
        </x14:conditionalFormatting>
        <x14:conditionalFormatting xmlns:xm="http://schemas.microsoft.com/office/excel/2006/main">
          <x14:cfRule type="expression" priority="40" id="{E08BFDB2-1D57-458D-8BCC-7E81FBEDBEBE}">
            <xm:f>VLOOKUP($A$20,SetLevels!$F$7:$J$25,5,FALSE)="Common"</xm:f>
            <x14:dxf>
              <fill>
                <patternFill>
                  <bgColor theme="4" tint="0.39994506668294322"/>
                </patternFill>
              </fill>
            </x14:dxf>
          </x14:cfRule>
          <xm:sqref>R12</xm:sqref>
        </x14:conditionalFormatting>
        <x14:conditionalFormatting xmlns:xm="http://schemas.microsoft.com/office/excel/2006/main">
          <x14:cfRule type="expression" priority="3" id="{5DFB0B77-3CD0-4007-B86F-627A20FF84CA}">
            <xm:f>SetLevels!$E$18=0</xm:f>
            <x14:dxf>
              <fill>
                <patternFill>
                  <bgColor theme="0" tint="-0.14996795556505021"/>
                </patternFill>
              </fill>
            </x14:dxf>
          </x14:cfRule>
          <xm:sqref>R6:T6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F65BCB-258D-4579-981B-54BC36D34FD9}">
          <x14:formula1>
            <xm:f>Tabling!$C$2:$C$22</xm:f>
          </x14:formula1>
          <xm:sqref>B7:C25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B8322-59E3-43C8-8A0B-3EDCA2FE71D6}">
  <sheetPr>
    <tabColor rgb="FFFFFF00"/>
  </sheetPr>
  <dimension ref="A1:AK25"/>
  <sheetViews>
    <sheetView workbookViewId="0">
      <selection activeCell="AE4" sqref="AE4"/>
    </sheetView>
  </sheetViews>
  <sheetFormatPr defaultColWidth="0" defaultRowHeight="14.6" zeroHeight="1" x14ac:dyDescent="0.4"/>
  <cols>
    <col min="1" max="37" width="9.23046875" customWidth="1"/>
    <col min="38" max="16384" width="9.23046875" hidden="1"/>
  </cols>
  <sheetData>
    <row r="1" spans="1:37" ht="25.75" customHeight="1" x14ac:dyDescent="0.4">
      <c r="A1" s="59"/>
      <c r="B1" s="59"/>
      <c r="C1" s="59"/>
      <c r="D1" s="59"/>
      <c r="E1" s="60"/>
      <c r="F1" s="226" t="s">
        <v>41</v>
      </c>
      <c r="G1" s="226"/>
      <c r="H1" s="226"/>
      <c r="I1" s="226"/>
      <c r="J1" s="226"/>
      <c r="K1" s="226"/>
      <c r="L1" s="61"/>
      <c r="M1" s="59"/>
      <c r="N1" s="59"/>
      <c r="O1" s="59"/>
      <c r="P1" s="59"/>
      <c r="Q1" s="59"/>
      <c r="R1" s="59"/>
      <c r="S1" s="59"/>
      <c r="T1" s="59"/>
      <c r="U1" s="59"/>
      <c r="V1" s="234" t="s">
        <v>137</v>
      </c>
      <c r="W1" s="226"/>
      <c r="X1" s="226"/>
      <c r="Y1" s="226"/>
      <c r="Z1" s="226"/>
      <c r="AA1" s="235"/>
      <c r="AB1" s="59"/>
      <c r="AC1" s="59"/>
      <c r="AD1" s="59"/>
      <c r="AE1" s="59"/>
      <c r="AF1" s="59"/>
      <c r="AG1" s="59"/>
      <c r="AH1" s="198" t="e" vm="7">
        <f>spiritfox_img</f>
        <v>#VALUE!</v>
      </c>
      <c r="AI1" s="198"/>
      <c r="AJ1" s="198"/>
      <c r="AK1" s="198"/>
    </row>
    <row r="2" spans="1:37" ht="23.6" customHeight="1" thickBot="1" x14ac:dyDescent="0.45">
      <c r="A2" s="59"/>
      <c r="B2" s="59"/>
      <c r="C2" s="59"/>
      <c r="D2" s="59"/>
      <c r="E2" s="60"/>
      <c r="F2" s="227"/>
      <c r="G2" s="227"/>
      <c r="H2" s="227"/>
      <c r="I2" s="227"/>
      <c r="J2" s="227"/>
      <c r="K2" s="227"/>
      <c r="L2" s="61"/>
      <c r="M2" s="59"/>
      <c r="N2" s="59"/>
      <c r="O2" s="59"/>
      <c r="P2" s="59"/>
      <c r="Q2" s="59"/>
      <c r="R2" s="59"/>
      <c r="S2" s="59"/>
      <c r="T2" s="59"/>
      <c r="U2" s="59"/>
      <c r="V2" s="236"/>
      <c r="W2" s="227"/>
      <c r="X2" s="227"/>
      <c r="Y2" s="227"/>
      <c r="Z2" s="227"/>
      <c r="AA2" s="237"/>
      <c r="AB2" s="59"/>
      <c r="AC2" s="59"/>
      <c r="AD2" s="59"/>
      <c r="AE2" s="59"/>
      <c r="AF2" s="59"/>
      <c r="AG2" s="59"/>
      <c r="AH2" s="198"/>
      <c r="AI2" s="198"/>
      <c r="AJ2" s="198"/>
      <c r="AK2" s="198"/>
    </row>
    <row r="3" spans="1:37" ht="23.6" x14ac:dyDescent="0.4">
      <c r="A3" s="59"/>
      <c r="B3" s="59"/>
      <c r="C3" s="59"/>
      <c r="D3" s="59"/>
      <c r="E3" s="60"/>
      <c r="F3" s="71" t="s">
        <v>42</v>
      </c>
      <c r="G3" s="71"/>
      <c r="H3" s="71">
        <v>1</v>
      </c>
      <c r="I3" s="59"/>
      <c r="J3" s="59"/>
      <c r="K3" s="59"/>
      <c r="L3" s="61"/>
      <c r="M3" s="59"/>
      <c r="N3" s="59"/>
      <c r="O3" s="59"/>
      <c r="P3" s="59"/>
      <c r="Q3" s="59"/>
      <c r="R3" s="59"/>
      <c r="S3" s="59"/>
      <c r="T3" s="59"/>
      <c r="U3" s="59"/>
      <c r="V3" s="71" t="s">
        <v>42</v>
      </c>
      <c r="W3" s="71"/>
      <c r="X3" s="71">
        <f>H3</f>
        <v>1</v>
      </c>
      <c r="Y3" s="59"/>
      <c r="Z3" s="59"/>
      <c r="AA3" s="119"/>
      <c r="AB3" s="59"/>
      <c r="AC3" s="59"/>
      <c r="AD3" s="59"/>
      <c r="AE3" s="59"/>
      <c r="AF3" s="59"/>
      <c r="AG3" s="59"/>
      <c r="AH3" s="198"/>
      <c r="AI3" s="198"/>
      <c r="AJ3" s="198"/>
      <c r="AK3" s="198"/>
    </row>
    <row r="4" spans="1:37" x14ac:dyDescent="0.4">
      <c r="A4" s="59"/>
      <c r="B4" s="59"/>
      <c r="C4" s="59"/>
      <c r="D4" s="59"/>
      <c r="E4" s="60"/>
      <c r="F4" s="59"/>
      <c r="G4" s="59"/>
      <c r="H4" s="59"/>
      <c r="I4" s="59"/>
      <c r="J4" s="59"/>
      <c r="K4" s="59"/>
      <c r="L4" s="61"/>
      <c r="M4" s="59"/>
      <c r="N4" s="59"/>
      <c r="O4" s="59"/>
      <c r="P4" s="59"/>
      <c r="Q4" s="59"/>
      <c r="R4" s="59"/>
      <c r="S4" s="59"/>
      <c r="T4" s="59"/>
      <c r="U4" s="59"/>
      <c r="V4" s="61"/>
      <c r="W4" s="59"/>
      <c r="X4" s="59"/>
      <c r="Y4" s="59"/>
      <c r="Z4" s="59"/>
      <c r="AA4" s="60"/>
      <c r="AB4" s="59"/>
      <c r="AC4" s="59"/>
      <c r="AD4" s="59"/>
      <c r="AE4" s="59"/>
      <c r="AF4" s="59"/>
      <c r="AG4" s="59"/>
      <c r="AH4" s="198"/>
      <c r="AI4" s="198"/>
      <c r="AJ4" s="198"/>
      <c r="AK4" s="198"/>
    </row>
    <row r="5" spans="1:37" x14ac:dyDescent="0.4">
      <c r="A5" s="59"/>
      <c r="B5" s="59"/>
      <c r="C5" s="59"/>
      <c r="D5" s="59"/>
      <c r="E5" s="60"/>
      <c r="F5" s="211" t="str">
        <f>IF(E18=1,"Scroll right to set Pet Levels!","")</f>
        <v>Scroll right to set Pet Levels!</v>
      </c>
      <c r="G5" s="212"/>
      <c r="H5" s="212"/>
      <c r="I5" s="232" t="str">
        <f>IF(E18=1,"Set Equipment Levels Below!","")</f>
        <v>Set Equipment Levels Below!</v>
      </c>
      <c r="J5" s="232"/>
      <c r="K5" s="233"/>
      <c r="L5" s="61"/>
      <c r="M5" s="59"/>
      <c r="N5" s="59"/>
      <c r="O5" s="59"/>
      <c r="P5" s="59"/>
      <c r="Q5" s="59"/>
      <c r="R5" s="59"/>
      <c r="S5" s="59"/>
      <c r="T5" s="59"/>
      <c r="U5" s="59"/>
      <c r="V5" s="61"/>
      <c r="W5" s="59"/>
      <c r="X5" s="59"/>
      <c r="Y5" s="59"/>
      <c r="Z5" s="59"/>
      <c r="AA5" s="60"/>
      <c r="AB5" s="59"/>
      <c r="AC5" s="59"/>
      <c r="AD5" s="59"/>
      <c r="AE5" s="59"/>
      <c r="AF5" s="59"/>
      <c r="AG5" s="59"/>
      <c r="AH5" s="198"/>
      <c r="AI5" s="198"/>
      <c r="AJ5" s="198"/>
      <c r="AK5" s="198"/>
    </row>
    <row r="6" spans="1:37" x14ac:dyDescent="0.4">
      <c r="A6" s="59"/>
      <c r="B6" s="59"/>
      <c r="C6" s="59"/>
      <c r="D6" s="59"/>
      <c r="E6" s="60"/>
      <c r="F6" s="86" t="s">
        <v>77</v>
      </c>
      <c r="G6" s="87"/>
      <c r="H6" s="87"/>
      <c r="I6" s="87"/>
      <c r="J6" s="87"/>
      <c r="K6" s="87"/>
      <c r="L6" s="86" t="s">
        <v>83</v>
      </c>
      <c r="M6" s="87"/>
      <c r="N6" s="87"/>
      <c r="O6" s="87"/>
      <c r="P6" s="59"/>
      <c r="Q6" s="59"/>
      <c r="R6" s="59"/>
      <c r="S6" s="59"/>
      <c r="T6" s="59"/>
      <c r="U6" s="59"/>
      <c r="V6" s="211" t="str">
        <f>IF(E18=1,"Scroll left to set Equipment LVLs!","")</f>
        <v>Scroll left to set Equipment LVLs!</v>
      </c>
      <c r="W6" s="212"/>
      <c r="X6" s="212"/>
      <c r="Y6" s="232" t="str">
        <f>IF(E18=1,"Set Pet Levels Below!","")</f>
        <v>Set Pet Levels Below!</v>
      </c>
      <c r="Z6" s="232"/>
      <c r="AA6" s="233"/>
      <c r="AB6" s="59"/>
      <c r="AC6" s="59"/>
      <c r="AD6" s="59"/>
      <c r="AE6" s="59"/>
      <c r="AF6" s="59"/>
      <c r="AG6" s="59"/>
      <c r="AH6" s="198"/>
      <c r="AI6" s="198"/>
      <c r="AJ6" s="198"/>
      <c r="AK6" s="198"/>
    </row>
    <row r="7" spans="1:37" x14ac:dyDescent="0.4">
      <c r="A7" s="59"/>
      <c r="B7" s="59"/>
      <c r="C7" s="59"/>
      <c r="D7" s="59"/>
      <c r="E7" s="60"/>
      <c r="F7" s="230" t="s">
        <v>46</v>
      </c>
      <c r="G7" s="228"/>
      <c r="H7" s="228" t="s">
        <v>47</v>
      </c>
      <c r="I7" s="228"/>
      <c r="J7" s="20" t="s">
        <v>43</v>
      </c>
      <c r="K7" s="96" t="s">
        <v>2</v>
      </c>
      <c r="L7" s="20" t="s">
        <v>10</v>
      </c>
      <c r="M7" s="20" t="s">
        <v>82</v>
      </c>
      <c r="N7" s="20" t="s">
        <v>91</v>
      </c>
      <c r="O7" s="20" t="s">
        <v>31</v>
      </c>
      <c r="P7" s="59"/>
      <c r="Q7" s="59"/>
      <c r="R7" s="59"/>
      <c r="S7" s="59"/>
      <c r="T7" s="59"/>
      <c r="U7" s="59"/>
      <c r="V7" s="86" t="s">
        <v>138</v>
      </c>
      <c r="W7" s="87"/>
      <c r="X7" s="87"/>
      <c r="Y7" s="87"/>
      <c r="Z7" s="87"/>
      <c r="AA7" s="87"/>
      <c r="AB7" s="86" t="s">
        <v>142</v>
      </c>
      <c r="AC7" s="87"/>
      <c r="AD7" s="87"/>
      <c r="AE7" s="87"/>
      <c r="AF7" s="59"/>
      <c r="AG7" s="59"/>
      <c r="AH7" s="198"/>
      <c r="AI7" s="198"/>
      <c r="AJ7" s="198"/>
      <c r="AK7" s="198"/>
    </row>
    <row r="8" spans="1:37" x14ac:dyDescent="0.4">
      <c r="A8" s="59"/>
      <c r="B8" s="59"/>
      <c r="C8" s="59"/>
      <c r="D8" s="59"/>
      <c r="E8" s="60"/>
      <c r="F8" s="218" t="s">
        <v>35</v>
      </c>
      <c r="G8" s="219"/>
      <c r="H8" s="217" t="e" vm="2">
        <f>[0]!ss_img</f>
        <v>#VALUE!</v>
      </c>
      <c r="I8" s="221"/>
      <c r="J8" s="231" t="s">
        <v>44</v>
      </c>
      <c r="K8" s="203">
        <v>1</v>
      </c>
      <c r="L8" s="217">
        <v>0</v>
      </c>
      <c r="M8" s="223">
        <f>VLOOKUP(K8,DMGSeekingShield,2,FALSE)</f>
        <v>1000</v>
      </c>
      <c r="N8" s="223">
        <v>1</v>
      </c>
      <c r="O8" s="14"/>
      <c r="P8" s="59"/>
      <c r="Q8" s="59"/>
      <c r="R8" s="59"/>
      <c r="S8" s="59"/>
      <c r="T8" s="59"/>
      <c r="U8" s="59"/>
      <c r="V8" s="230" t="s">
        <v>139</v>
      </c>
      <c r="W8" s="228"/>
      <c r="X8" s="228" t="s">
        <v>140</v>
      </c>
      <c r="Y8" s="228"/>
      <c r="Z8" s="20" t="s">
        <v>141</v>
      </c>
      <c r="AA8" s="96" t="s">
        <v>2</v>
      </c>
      <c r="AB8" s="20" t="s">
        <v>3</v>
      </c>
      <c r="AC8" s="20" t="s">
        <v>82</v>
      </c>
      <c r="AD8" s="20" t="s">
        <v>31</v>
      </c>
      <c r="AE8" s="20" t="s">
        <v>143</v>
      </c>
      <c r="AF8" s="59"/>
      <c r="AG8" s="59"/>
      <c r="AH8" s="198"/>
      <c r="AI8" s="198"/>
      <c r="AJ8" s="198"/>
      <c r="AK8" s="198"/>
    </row>
    <row r="9" spans="1:37" ht="14.6" customHeight="1" x14ac:dyDescent="0.4">
      <c r="A9" s="59"/>
      <c r="B9" s="59"/>
      <c r="C9" s="59"/>
      <c r="D9" s="59"/>
      <c r="E9" s="60"/>
      <c r="F9" s="201"/>
      <c r="G9" s="202"/>
      <c r="H9" s="208"/>
      <c r="I9" s="222"/>
      <c r="J9" s="231"/>
      <c r="K9" s="204"/>
      <c r="L9" s="217"/>
      <c r="M9" s="223"/>
      <c r="N9" s="223"/>
      <c r="O9" s="14"/>
      <c r="P9" s="59"/>
      <c r="Q9" s="59"/>
      <c r="R9" s="59"/>
      <c r="S9" s="59"/>
      <c r="T9" s="59"/>
      <c r="U9" s="59"/>
      <c r="V9" s="218" t="s">
        <v>122</v>
      </c>
      <c r="W9" s="219"/>
      <c r="X9" s="217" t="e" vm="8">
        <f>phoenix_img</f>
        <v>#VALUE!</v>
      </c>
      <c r="Y9" s="221"/>
      <c r="Z9" s="213">
        <v>15</v>
      </c>
      <c r="AA9" s="215">
        <v>1</v>
      </c>
      <c r="AB9" s="210">
        <f>VLOOKUP(AA9,DMGPhoenix,2,TRUE)</f>
        <v>178</v>
      </c>
      <c r="AC9" s="224" t="s">
        <v>144</v>
      </c>
      <c r="AD9" s="210">
        <f>VLOOKUP(AA9,DMGPhoenix,4,TRUE)</f>
        <v>6</v>
      </c>
      <c r="AE9" s="210" t="s">
        <v>145</v>
      </c>
      <c r="AF9" s="59"/>
      <c r="AG9" s="59"/>
      <c r="AH9" s="59"/>
      <c r="AI9" s="59"/>
      <c r="AJ9" s="59"/>
      <c r="AK9" s="59"/>
    </row>
    <row r="10" spans="1:37" x14ac:dyDescent="0.4">
      <c r="A10" s="59"/>
      <c r="B10" s="59"/>
      <c r="C10" s="59"/>
      <c r="D10" s="59"/>
      <c r="E10" s="60"/>
      <c r="F10" s="199" t="s">
        <v>36</v>
      </c>
      <c r="G10" s="200"/>
      <c r="H10" s="207" t="e" vm="3">
        <f>[0]!rgem_img</f>
        <v>#VALUE!</v>
      </c>
      <c r="I10" s="229"/>
      <c r="J10" s="231" t="s">
        <v>44</v>
      </c>
      <c r="K10" s="203">
        <v>1</v>
      </c>
      <c r="L10" s="217">
        <f>VLOOKUP(K10,EquipmentRoyalGem,2,FALSE)</f>
        <v>35</v>
      </c>
      <c r="M10" s="223">
        <v>0</v>
      </c>
      <c r="N10" s="223">
        <v>1</v>
      </c>
      <c r="O10" s="14"/>
      <c r="P10" s="59"/>
      <c r="Q10" s="59"/>
      <c r="R10" s="59"/>
      <c r="S10" s="59"/>
      <c r="T10" s="59"/>
      <c r="U10" s="59"/>
      <c r="V10" s="201"/>
      <c r="W10" s="202"/>
      <c r="X10" s="208"/>
      <c r="Y10" s="222"/>
      <c r="Z10" s="214"/>
      <c r="AA10" s="216"/>
      <c r="AB10" s="210"/>
      <c r="AC10" s="224"/>
      <c r="AD10" s="210"/>
      <c r="AE10" s="210"/>
      <c r="AF10" s="59"/>
      <c r="AG10" s="59"/>
      <c r="AH10" s="59"/>
      <c r="AI10" s="59"/>
      <c r="AJ10" s="59"/>
      <c r="AK10" s="59"/>
    </row>
    <row r="11" spans="1:37" x14ac:dyDescent="0.4">
      <c r="A11" s="59"/>
      <c r="B11" s="59"/>
      <c r="C11" s="59"/>
      <c r="D11" s="59"/>
      <c r="E11" s="60"/>
      <c r="F11" s="201"/>
      <c r="G11" s="202"/>
      <c r="H11" s="208"/>
      <c r="I11" s="222"/>
      <c r="J11" s="231"/>
      <c r="K11" s="204"/>
      <c r="L11" s="217"/>
      <c r="M11" s="223"/>
      <c r="N11" s="223"/>
      <c r="O11" s="14"/>
      <c r="P11" s="59"/>
      <c r="Q11" s="59"/>
      <c r="R11" s="59"/>
      <c r="S11" s="59"/>
      <c r="T11" s="59"/>
      <c r="U11" s="59"/>
      <c r="V11" s="218" t="s">
        <v>123</v>
      </c>
      <c r="W11" s="219"/>
      <c r="X11" s="217" t="e" vm="7">
        <f>spiritfox_img</f>
        <v>#VALUE!</v>
      </c>
      <c r="Y11" s="221"/>
      <c r="Z11" s="213">
        <v>16</v>
      </c>
      <c r="AA11" s="215">
        <v>1</v>
      </c>
      <c r="AB11" s="210">
        <f>VLOOKUP(AA11,DMGSpiritFox[],2,TRUE)</f>
        <v>108</v>
      </c>
      <c r="AC11" s="224" t="s">
        <v>146</v>
      </c>
      <c r="AD11" s="210">
        <f>VLOOKUP(AA11,DMGSpiritFox[],4,TRUE)</f>
        <v>3</v>
      </c>
      <c r="AE11" s="210" t="s">
        <v>127</v>
      </c>
      <c r="AF11" s="59"/>
      <c r="AG11" s="59"/>
      <c r="AH11" s="59"/>
      <c r="AI11" s="59"/>
      <c r="AJ11" s="59"/>
      <c r="AK11" s="59"/>
    </row>
    <row r="12" spans="1:37" x14ac:dyDescent="0.4">
      <c r="A12" s="59"/>
      <c r="B12" s="59"/>
      <c r="C12" s="59"/>
      <c r="D12" s="59"/>
      <c r="E12" s="60"/>
      <c r="F12" s="199" t="s">
        <v>37</v>
      </c>
      <c r="G12" s="200"/>
      <c r="H12" s="207" t="e" vm="9">
        <f>[0]!hvial_img</f>
        <v>#VALUE!</v>
      </c>
      <c r="I12" s="159"/>
      <c r="J12" s="205" t="s">
        <v>44</v>
      </c>
      <c r="K12" s="203">
        <v>1</v>
      </c>
      <c r="L12" s="217">
        <f>VLOOKUP(K12,EquipmentHasteVial,2,FALSE)</f>
        <v>20</v>
      </c>
      <c r="M12" s="223">
        <f>VLOOKUP(K12,EquipmentHasteVial,4,FALSE)</f>
        <v>1.6</v>
      </c>
      <c r="N12" s="223">
        <f>VLOOKUP(K12,EquipmentHasteVial,3,FALSE)</f>
        <v>1.05</v>
      </c>
      <c r="O12" s="223" t="str">
        <f>VLOOKUP(K12,EquipmentHasteVial,8,FALSE)</f>
        <v>7.0s</v>
      </c>
      <c r="P12" s="59"/>
      <c r="Q12" s="59"/>
      <c r="R12" s="59"/>
      <c r="S12" s="59"/>
      <c r="T12" s="59"/>
      <c r="U12" s="59"/>
      <c r="V12" s="218"/>
      <c r="W12" s="219"/>
      <c r="X12" s="217"/>
      <c r="Y12" s="221"/>
      <c r="Z12" s="213"/>
      <c r="AA12" s="215"/>
      <c r="AB12" s="210"/>
      <c r="AC12" s="224"/>
      <c r="AD12" s="210"/>
      <c r="AE12" s="210"/>
      <c r="AF12" s="59"/>
      <c r="AG12" s="59"/>
      <c r="AH12" s="59"/>
      <c r="AI12" s="59"/>
      <c r="AJ12" s="59"/>
      <c r="AK12" s="59"/>
    </row>
    <row r="13" spans="1:37" x14ac:dyDescent="0.4">
      <c r="A13" s="59"/>
      <c r="B13" s="59"/>
      <c r="C13" s="59"/>
      <c r="D13" s="59"/>
      <c r="E13" s="60"/>
      <c r="F13" s="201"/>
      <c r="G13" s="202"/>
      <c r="H13" s="208"/>
      <c r="I13" s="209"/>
      <c r="J13" s="205"/>
      <c r="K13" s="204"/>
      <c r="L13" s="217"/>
      <c r="M13" s="223"/>
      <c r="N13" s="223"/>
      <c r="O13" s="223"/>
      <c r="P13" s="59"/>
      <c r="Q13" s="59"/>
      <c r="R13" s="59"/>
      <c r="S13" s="59"/>
      <c r="T13" s="59"/>
      <c r="U13" s="59"/>
      <c r="V13" s="220"/>
      <c r="W13" s="220"/>
      <c r="X13" s="198"/>
      <c r="Y13" s="198"/>
      <c r="Z13" s="220"/>
      <c r="AA13" s="220"/>
      <c r="AB13" s="220"/>
      <c r="AC13" s="225"/>
      <c r="AD13" s="220"/>
      <c r="AE13" s="59"/>
      <c r="AF13" s="59"/>
      <c r="AG13" s="59"/>
      <c r="AH13" s="59"/>
      <c r="AI13" s="59"/>
      <c r="AJ13" s="59"/>
      <c r="AK13" s="59"/>
    </row>
    <row r="14" spans="1:37" x14ac:dyDescent="0.4">
      <c r="A14" s="59"/>
      <c r="B14" s="59"/>
      <c r="C14" s="59"/>
      <c r="D14" s="59"/>
      <c r="E14" s="60"/>
      <c r="F14" s="199" t="s">
        <v>38</v>
      </c>
      <c r="G14" s="200"/>
      <c r="H14" s="207" t="e" vm="10">
        <f>[0]!hrpuppet_img</f>
        <v>#VALUE!</v>
      </c>
      <c r="I14" s="159"/>
      <c r="J14" s="205" t="s">
        <v>44</v>
      </c>
      <c r="K14" s="203">
        <v>1</v>
      </c>
      <c r="L14" s="217">
        <v>0</v>
      </c>
      <c r="M14" s="223">
        <v>0</v>
      </c>
      <c r="N14" s="223">
        <v>1</v>
      </c>
      <c r="O14" s="14"/>
      <c r="P14" s="59"/>
      <c r="Q14" s="59"/>
      <c r="R14" s="59"/>
      <c r="S14" s="59"/>
      <c r="T14" s="59"/>
      <c r="U14" s="59"/>
      <c r="V14" s="220"/>
      <c r="W14" s="220"/>
      <c r="X14" s="198"/>
      <c r="Y14" s="198"/>
      <c r="Z14" s="220"/>
      <c r="AA14" s="220"/>
      <c r="AB14" s="220"/>
      <c r="AC14" s="225"/>
      <c r="AD14" s="220"/>
      <c r="AE14" s="59"/>
      <c r="AF14" s="59"/>
      <c r="AG14" s="59"/>
      <c r="AH14" s="59"/>
      <c r="AI14" s="59"/>
      <c r="AJ14" s="59"/>
      <c r="AK14" s="59"/>
    </row>
    <row r="15" spans="1:37" x14ac:dyDescent="0.4">
      <c r="A15" s="59"/>
      <c r="B15" s="59"/>
      <c r="C15" s="59"/>
      <c r="D15" s="59"/>
      <c r="E15" s="60"/>
      <c r="F15" s="201"/>
      <c r="G15" s="202"/>
      <c r="H15" s="208"/>
      <c r="I15" s="209"/>
      <c r="J15" s="205"/>
      <c r="K15" s="204"/>
      <c r="L15" s="217"/>
      <c r="M15" s="223"/>
      <c r="N15" s="223"/>
      <c r="O15" s="14"/>
      <c r="P15" s="59"/>
      <c r="Q15" s="59"/>
      <c r="R15" s="59"/>
      <c r="S15" s="59"/>
      <c r="T15" s="59"/>
      <c r="U15" s="59"/>
      <c r="V15" s="220"/>
      <c r="W15" s="220"/>
      <c r="X15" s="198"/>
      <c r="Y15" s="198"/>
      <c r="Z15" s="220"/>
      <c r="AA15" s="220"/>
      <c r="AB15" s="220"/>
      <c r="AC15" s="225"/>
      <c r="AD15" s="220"/>
      <c r="AE15" s="59"/>
      <c r="AF15" s="59"/>
      <c r="AG15" s="59"/>
      <c r="AH15" s="59"/>
      <c r="AI15" s="59"/>
      <c r="AJ15" s="59"/>
      <c r="AK15" s="59"/>
    </row>
    <row r="16" spans="1:37" x14ac:dyDescent="0.4">
      <c r="A16" s="59"/>
      <c r="B16" s="59"/>
      <c r="C16" s="59"/>
      <c r="D16" s="59"/>
      <c r="E16" s="60"/>
      <c r="F16" s="199" t="s">
        <v>9</v>
      </c>
      <c r="G16" s="200"/>
      <c r="H16" s="207" t="e" vm="11">
        <f>[0]!eboots_img</f>
        <v>#VALUE!</v>
      </c>
      <c r="I16" s="159"/>
      <c r="J16" s="206" t="s">
        <v>45</v>
      </c>
      <c r="K16" s="203">
        <v>1</v>
      </c>
      <c r="L16" s="217">
        <v>0</v>
      </c>
      <c r="M16" s="223">
        <v>0</v>
      </c>
      <c r="N16" s="223">
        <v>1</v>
      </c>
      <c r="O16" s="14"/>
      <c r="P16" s="59"/>
      <c r="Q16" s="59"/>
      <c r="R16" s="59"/>
      <c r="S16" s="59"/>
      <c r="T16" s="59"/>
      <c r="U16" s="59"/>
      <c r="V16" s="220"/>
      <c r="W16" s="220"/>
      <c r="X16" s="198"/>
      <c r="Y16" s="198"/>
      <c r="Z16" s="220"/>
      <c r="AA16" s="220"/>
      <c r="AB16" s="220"/>
      <c r="AC16" s="225"/>
      <c r="AD16" s="220"/>
      <c r="AE16" s="59"/>
      <c r="AF16" s="59"/>
      <c r="AG16" s="59"/>
      <c r="AH16" s="59"/>
      <c r="AI16" s="59"/>
      <c r="AJ16" s="59"/>
      <c r="AK16" s="59"/>
    </row>
    <row r="17" spans="1:37" x14ac:dyDescent="0.4">
      <c r="A17" s="87"/>
      <c r="B17" s="87"/>
      <c r="C17" s="87"/>
      <c r="D17" s="87"/>
      <c r="E17" s="87"/>
      <c r="F17" s="201"/>
      <c r="G17" s="202"/>
      <c r="H17" s="208"/>
      <c r="I17" s="209"/>
      <c r="J17" s="206"/>
      <c r="K17" s="204"/>
      <c r="L17" s="217"/>
      <c r="M17" s="223"/>
      <c r="N17" s="223"/>
      <c r="O17" s="14"/>
      <c r="P17" s="59"/>
      <c r="Q17" s="59"/>
      <c r="R17" s="59"/>
      <c r="S17" s="59"/>
      <c r="T17" s="59"/>
      <c r="U17" s="59"/>
      <c r="V17" s="220"/>
      <c r="W17" s="220"/>
      <c r="X17" s="198"/>
      <c r="Y17" s="198"/>
      <c r="Z17" s="220"/>
      <c r="AA17" s="220"/>
      <c r="AB17" s="220"/>
      <c r="AC17" s="225"/>
      <c r="AD17" s="220"/>
      <c r="AE17" s="59"/>
      <c r="AF17" s="59"/>
      <c r="AG17" s="59"/>
      <c r="AH17" s="59"/>
      <c r="AI17" s="59"/>
      <c r="AJ17" s="59"/>
      <c r="AK17" s="59"/>
    </row>
    <row r="18" spans="1:37" x14ac:dyDescent="0.4">
      <c r="A18" s="269" t="s">
        <v>169</v>
      </c>
      <c r="B18" s="269"/>
      <c r="C18" s="269"/>
      <c r="D18" s="269"/>
      <c r="E18" s="139">
        <v>1</v>
      </c>
      <c r="F18" s="199" t="s">
        <v>39</v>
      </c>
      <c r="G18" s="200"/>
      <c r="H18" s="207" t="e" vm="12">
        <f>[0]!rspr_img</f>
        <v>#VALUE!</v>
      </c>
      <c r="I18" s="159"/>
      <c r="J18" s="205" t="s">
        <v>45</v>
      </c>
      <c r="K18" s="203">
        <v>1</v>
      </c>
      <c r="L18" s="217">
        <f>VLOOKUP(K18,EquipmentRocketSpear,2,FALSE)</f>
        <v>35</v>
      </c>
      <c r="M18" s="223">
        <f>VLOOKUP(K18,EquipmentRocketSpear,3,FALSE)</f>
        <v>350</v>
      </c>
      <c r="N18" s="223">
        <v>1</v>
      </c>
      <c r="O18" s="14"/>
      <c r="P18" s="59"/>
      <c r="Q18" s="59"/>
      <c r="R18" s="59"/>
      <c r="S18" s="59"/>
      <c r="T18" s="59"/>
      <c r="U18" s="59"/>
      <c r="V18" s="220"/>
      <c r="W18" s="220"/>
      <c r="X18" s="198"/>
      <c r="Y18" s="198"/>
      <c r="Z18" s="220"/>
      <c r="AA18" s="220"/>
      <c r="AB18" s="220"/>
      <c r="AC18" s="225"/>
      <c r="AD18" s="220"/>
      <c r="AE18" s="59"/>
      <c r="AF18" s="59"/>
      <c r="AG18" s="59"/>
      <c r="AH18" s="59"/>
      <c r="AI18" s="59"/>
      <c r="AJ18" s="59"/>
      <c r="AK18" s="59"/>
    </row>
    <row r="19" spans="1:37" x14ac:dyDescent="0.4">
      <c r="A19" s="87"/>
      <c r="B19" s="87"/>
      <c r="C19" s="87"/>
      <c r="D19" s="87"/>
      <c r="E19" s="87"/>
      <c r="F19" s="201"/>
      <c r="G19" s="202"/>
      <c r="H19" s="208"/>
      <c r="I19" s="209"/>
      <c r="J19" s="205"/>
      <c r="K19" s="204"/>
      <c r="L19" s="217"/>
      <c r="M19" s="223"/>
      <c r="N19" s="223"/>
      <c r="O19" s="14"/>
      <c r="P19" s="59"/>
      <c r="Q19" s="59"/>
      <c r="R19" s="59"/>
      <c r="S19" s="59"/>
      <c r="T19" s="59"/>
      <c r="U19" s="59"/>
      <c r="V19" s="220"/>
      <c r="W19" s="220"/>
      <c r="X19" s="198"/>
      <c r="Y19" s="198"/>
      <c r="Z19" s="220"/>
      <c r="AA19" s="220"/>
      <c r="AB19" s="220"/>
      <c r="AC19" s="225"/>
      <c r="AD19" s="220"/>
      <c r="AE19" s="59"/>
      <c r="AF19" s="59"/>
      <c r="AG19" s="59"/>
      <c r="AH19" s="59"/>
      <c r="AI19" s="59"/>
      <c r="AJ19" s="59"/>
      <c r="AK19" s="59"/>
    </row>
    <row r="20" spans="1:37" x14ac:dyDescent="0.4">
      <c r="A20" s="59"/>
      <c r="B20" s="59"/>
      <c r="C20" s="59"/>
      <c r="D20" s="59"/>
      <c r="E20" s="60"/>
      <c r="F20" s="59"/>
      <c r="G20" s="59"/>
      <c r="H20" s="59"/>
      <c r="I20" s="59"/>
      <c r="J20" s="59"/>
      <c r="K20" s="59"/>
      <c r="L20" s="61"/>
      <c r="M20" s="59"/>
      <c r="N20" s="59"/>
      <c r="O20" s="59"/>
      <c r="P20" s="59"/>
      <c r="Q20" s="59"/>
      <c r="R20" s="59"/>
      <c r="S20" s="59"/>
      <c r="T20" s="59"/>
      <c r="U20" s="59"/>
      <c r="V20" s="220"/>
      <c r="W20" s="220"/>
      <c r="X20" s="198"/>
      <c r="Y20" s="198"/>
      <c r="Z20" s="220"/>
      <c r="AA20" s="220"/>
      <c r="AB20" s="220"/>
      <c r="AC20" s="225"/>
      <c r="AD20" s="220"/>
      <c r="AE20" s="59"/>
      <c r="AF20" s="59"/>
      <c r="AG20" s="59"/>
      <c r="AH20" s="59"/>
      <c r="AI20" s="59"/>
      <c r="AJ20" s="59"/>
      <c r="AK20" s="59"/>
    </row>
    <row r="21" spans="1:37" x14ac:dyDescent="0.4">
      <c r="A21" s="59"/>
      <c r="B21" s="59"/>
      <c r="C21" s="59"/>
      <c r="D21" s="59"/>
      <c r="E21" s="60"/>
      <c r="F21" s="59"/>
      <c r="G21" s="59"/>
      <c r="H21" s="59"/>
      <c r="I21" s="59"/>
      <c r="J21" s="59"/>
      <c r="K21" s="59"/>
      <c r="L21" s="61"/>
      <c r="M21" s="59"/>
      <c r="N21" s="59"/>
      <c r="O21" s="59"/>
      <c r="P21" s="59"/>
      <c r="Q21" s="59"/>
      <c r="R21" s="59"/>
      <c r="S21" s="59"/>
      <c r="T21" s="59"/>
      <c r="U21" s="59"/>
      <c r="V21" s="220"/>
      <c r="W21" s="220"/>
      <c r="X21" s="198"/>
      <c r="Y21" s="198"/>
      <c r="Z21" s="220"/>
      <c r="AA21" s="220"/>
      <c r="AB21" s="220"/>
      <c r="AC21" s="225"/>
      <c r="AD21" s="220"/>
      <c r="AE21" s="59"/>
      <c r="AF21" s="59"/>
      <c r="AG21" s="59"/>
      <c r="AH21" s="59"/>
      <c r="AI21" s="59"/>
      <c r="AJ21" s="59"/>
      <c r="AK21" s="59"/>
    </row>
    <row r="22" spans="1:37" x14ac:dyDescent="0.4">
      <c r="A22" s="59"/>
      <c r="B22" s="59"/>
      <c r="C22" s="59"/>
      <c r="D22" s="59"/>
      <c r="E22" s="60"/>
      <c r="F22" s="59"/>
      <c r="G22" s="59"/>
      <c r="H22" s="59"/>
      <c r="I22" s="59"/>
      <c r="J22" s="59"/>
      <c r="K22" s="59"/>
      <c r="L22" s="61"/>
      <c r="M22" s="59"/>
      <c r="N22" s="59"/>
      <c r="O22" s="59"/>
      <c r="P22" s="59"/>
      <c r="Q22" s="59"/>
      <c r="R22" s="59" t="str">
        <f t="shared" ref="R22:U25" si="0">"-&gt;"</f>
        <v>-&gt;</v>
      </c>
      <c r="S22" s="59" t="str">
        <f t="shared" si="0"/>
        <v>-&gt;</v>
      </c>
      <c r="T22" s="59" t="str">
        <f t="shared" si="0"/>
        <v>-&gt;</v>
      </c>
      <c r="U22" s="59" t="str">
        <f t="shared" si="0"/>
        <v>-&gt;</v>
      </c>
      <c r="V22" s="220"/>
      <c r="W22" s="220"/>
      <c r="X22" s="198"/>
      <c r="Y22" s="198"/>
      <c r="Z22" s="220"/>
      <c r="AA22" s="220"/>
      <c r="AB22" s="220"/>
      <c r="AC22" s="225"/>
      <c r="AD22" s="220"/>
      <c r="AE22" s="59"/>
      <c r="AF22" s="59"/>
      <c r="AG22" s="59"/>
      <c r="AH22" s="59"/>
      <c r="AI22" s="59"/>
      <c r="AJ22" s="59"/>
      <c r="AK22" s="59"/>
    </row>
    <row r="23" spans="1:37" x14ac:dyDescent="0.4">
      <c r="A23" s="59"/>
      <c r="B23" s="59"/>
      <c r="C23" s="59"/>
      <c r="D23" s="59"/>
      <c r="E23" s="60"/>
      <c r="F23" s="59"/>
      <c r="G23" s="59"/>
      <c r="H23" s="59"/>
      <c r="I23" s="59"/>
      <c r="J23" s="59"/>
      <c r="K23" s="59"/>
      <c r="L23" s="61"/>
      <c r="M23" s="59"/>
      <c r="N23" s="59"/>
      <c r="O23" s="59"/>
      <c r="P23" s="59"/>
      <c r="Q23" s="59"/>
      <c r="R23" s="59" t="str">
        <f t="shared" si="0"/>
        <v>-&gt;</v>
      </c>
      <c r="S23" s="59" t="str">
        <f t="shared" si="0"/>
        <v>-&gt;</v>
      </c>
      <c r="T23" s="59" t="str">
        <f t="shared" si="0"/>
        <v>-&gt;</v>
      </c>
      <c r="U23" s="59" t="str">
        <f t="shared" si="0"/>
        <v>-&gt;</v>
      </c>
      <c r="V23" s="220"/>
      <c r="W23" s="220"/>
      <c r="X23" s="198"/>
      <c r="Y23" s="198"/>
      <c r="Z23" s="220"/>
      <c r="AA23" s="220"/>
      <c r="AB23" s="220"/>
      <c r="AC23" s="225"/>
      <c r="AD23" s="220"/>
      <c r="AE23" s="59"/>
      <c r="AF23" s="59"/>
      <c r="AG23" s="59"/>
      <c r="AH23" s="59"/>
      <c r="AI23" s="59"/>
      <c r="AJ23" s="59"/>
      <c r="AK23" s="59"/>
    </row>
    <row r="24" spans="1:37" x14ac:dyDescent="0.4">
      <c r="A24" s="59"/>
      <c r="B24" s="59"/>
      <c r="C24" s="59"/>
      <c r="D24" s="59"/>
      <c r="E24" s="60"/>
      <c r="F24" s="59"/>
      <c r="G24" s="59"/>
      <c r="H24" s="59"/>
      <c r="I24" s="59"/>
      <c r="J24" s="59"/>
      <c r="K24" s="59"/>
      <c r="L24" s="61"/>
      <c r="M24" s="59"/>
      <c r="N24" s="59"/>
      <c r="O24" s="59"/>
      <c r="P24" s="59"/>
      <c r="Q24" s="59"/>
      <c r="R24" s="59" t="str">
        <f t="shared" si="0"/>
        <v>-&gt;</v>
      </c>
      <c r="S24" s="59" t="str">
        <f t="shared" si="0"/>
        <v>-&gt;</v>
      </c>
      <c r="T24" s="59" t="str">
        <f t="shared" si="0"/>
        <v>-&gt;</v>
      </c>
      <c r="U24" s="59" t="str">
        <f t="shared" si="0"/>
        <v>-&gt;</v>
      </c>
      <c r="V24" s="220"/>
      <c r="W24" s="220"/>
      <c r="X24" s="198"/>
      <c r="Y24" s="198"/>
      <c r="Z24" s="220"/>
      <c r="AA24" s="220"/>
      <c r="AB24" s="220"/>
      <c r="AC24" s="225"/>
      <c r="AD24" s="220"/>
      <c r="AE24" s="59"/>
      <c r="AF24" s="59"/>
      <c r="AG24" s="59"/>
      <c r="AH24" s="59"/>
      <c r="AI24" s="59"/>
      <c r="AJ24" s="59"/>
      <c r="AK24" s="59"/>
    </row>
    <row r="25" spans="1:37" x14ac:dyDescent="0.4">
      <c r="A25" s="59"/>
      <c r="B25" s="59"/>
      <c r="C25" s="59"/>
      <c r="D25" s="59"/>
      <c r="E25" s="60"/>
      <c r="F25" s="59"/>
      <c r="G25" s="59"/>
      <c r="H25" s="59"/>
      <c r="I25" s="59"/>
      <c r="J25" s="59"/>
      <c r="K25" s="59"/>
      <c r="L25" s="61"/>
      <c r="M25" s="59"/>
      <c r="N25" s="59"/>
      <c r="O25" s="59"/>
      <c r="P25" s="59"/>
      <c r="Q25" s="59"/>
      <c r="R25" s="59" t="str">
        <f t="shared" si="0"/>
        <v>-&gt;</v>
      </c>
      <c r="S25" s="59" t="str">
        <f t="shared" si="0"/>
        <v>-&gt;</v>
      </c>
      <c r="T25" s="59" t="str">
        <f t="shared" si="0"/>
        <v>-&gt;</v>
      </c>
      <c r="U25" s="59" t="str">
        <f t="shared" si="0"/>
        <v>-&gt;</v>
      </c>
      <c r="V25" s="220"/>
      <c r="W25" s="220"/>
      <c r="X25" s="198"/>
      <c r="Y25" s="198"/>
      <c r="Z25" s="120"/>
      <c r="AA25" s="120"/>
      <c r="AB25" s="120"/>
      <c r="AC25" s="121"/>
      <c r="AD25" s="120"/>
      <c r="AE25" s="59"/>
      <c r="AF25" s="59"/>
      <c r="AG25" s="59"/>
      <c r="AH25" s="59"/>
      <c r="AI25" s="59"/>
      <c r="AJ25" s="59"/>
      <c r="AK25" s="59"/>
    </row>
  </sheetData>
  <mergeCells count="115">
    <mergeCell ref="A18:D18"/>
    <mergeCell ref="L12:L13"/>
    <mergeCell ref="L14:L15"/>
    <mergeCell ref="L16:L17"/>
    <mergeCell ref="AB9:AB10"/>
    <mergeCell ref="AC9:AC10"/>
    <mergeCell ref="AD9:AD10"/>
    <mergeCell ref="AE9:AE10"/>
    <mergeCell ref="F1:K2"/>
    <mergeCell ref="H7:I7"/>
    <mergeCell ref="H8:I9"/>
    <mergeCell ref="H10:I11"/>
    <mergeCell ref="F7:G7"/>
    <mergeCell ref="F8:G9"/>
    <mergeCell ref="F10:G11"/>
    <mergeCell ref="J8:J9"/>
    <mergeCell ref="J10:J11"/>
    <mergeCell ref="K8:K9"/>
    <mergeCell ref="K10:K11"/>
    <mergeCell ref="I5:K5"/>
    <mergeCell ref="F5:H5"/>
    <mergeCell ref="V1:AA2"/>
    <mergeCell ref="Y6:AA6"/>
    <mergeCell ref="V8:W8"/>
    <mergeCell ref="X8:Y8"/>
    <mergeCell ref="AD21:AD22"/>
    <mergeCell ref="AD23:AD24"/>
    <mergeCell ref="AD11:AD12"/>
    <mergeCell ref="AD13:AD14"/>
    <mergeCell ref="AD15:AD16"/>
    <mergeCell ref="AD17:AD18"/>
    <mergeCell ref="AD19:AD20"/>
    <mergeCell ref="AB21:AB22"/>
    <mergeCell ref="AB23:AB24"/>
    <mergeCell ref="AC11:AC12"/>
    <mergeCell ref="AC13:AC14"/>
    <mergeCell ref="AC15:AC16"/>
    <mergeCell ref="AC17:AC18"/>
    <mergeCell ref="AC19:AC20"/>
    <mergeCell ref="AC21:AC22"/>
    <mergeCell ref="AC23:AC24"/>
    <mergeCell ref="AB11:AB12"/>
    <mergeCell ref="AB13:AB14"/>
    <mergeCell ref="AB15:AB16"/>
    <mergeCell ref="AB17:AB18"/>
    <mergeCell ref="AB19:AB20"/>
    <mergeCell ref="N18:N19"/>
    <mergeCell ref="N12:N13"/>
    <mergeCell ref="M12:M13"/>
    <mergeCell ref="O12:O13"/>
    <mergeCell ref="N8:N9"/>
    <mergeCell ref="N10:N11"/>
    <mergeCell ref="M8:M9"/>
    <mergeCell ref="M18:M19"/>
    <mergeCell ref="M10:M11"/>
    <mergeCell ref="M14:M15"/>
    <mergeCell ref="M16:M17"/>
    <mergeCell ref="N14:N15"/>
    <mergeCell ref="N16:N17"/>
    <mergeCell ref="AA21:AA22"/>
    <mergeCell ref="AA23:AA24"/>
    <mergeCell ref="Z11:Z12"/>
    <mergeCell ref="Z13:Z14"/>
    <mergeCell ref="Z15:Z16"/>
    <mergeCell ref="Z17:Z18"/>
    <mergeCell ref="Z19:Z20"/>
    <mergeCell ref="Z21:Z22"/>
    <mergeCell ref="Z23:Z24"/>
    <mergeCell ref="AA11:AA12"/>
    <mergeCell ref="AA13:AA14"/>
    <mergeCell ref="AA15:AA16"/>
    <mergeCell ref="AA17:AA18"/>
    <mergeCell ref="AA19:AA20"/>
    <mergeCell ref="X25:Y25"/>
    <mergeCell ref="V9:W10"/>
    <mergeCell ref="V11:W12"/>
    <mergeCell ref="V13:W14"/>
    <mergeCell ref="V15:W16"/>
    <mergeCell ref="V17:W18"/>
    <mergeCell ref="V19:W20"/>
    <mergeCell ref="V21:W22"/>
    <mergeCell ref="V23:W24"/>
    <mergeCell ref="V25:W25"/>
    <mergeCell ref="X11:Y12"/>
    <mergeCell ref="X13:Y14"/>
    <mergeCell ref="X15:Y16"/>
    <mergeCell ref="X17:Y18"/>
    <mergeCell ref="X19:Y20"/>
    <mergeCell ref="X21:Y22"/>
    <mergeCell ref="X23:Y24"/>
    <mergeCell ref="X9:Y10"/>
    <mergeCell ref="F18:G19"/>
    <mergeCell ref="F16:G17"/>
    <mergeCell ref="K18:K19"/>
    <mergeCell ref="F14:G15"/>
    <mergeCell ref="F12:G13"/>
    <mergeCell ref="AH1:AK8"/>
    <mergeCell ref="J12:J13"/>
    <mergeCell ref="J14:J15"/>
    <mergeCell ref="J16:J17"/>
    <mergeCell ref="J18:J19"/>
    <mergeCell ref="H16:I17"/>
    <mergeCell ref="H18:I19"/>
    <mergeCell ref="H12:I13"/>
    <mergeCell ref="H14:I15"/>
    <mergeCell ref="K12:K13"/>
    <mergeCell ref="K14:K15"/>
    <mergeCell ref="K16:K17"/>
    <mergeCell ref="AE11:AE12"/>
    <mergeCell ref="V6:X6"/>
    <mergeCell ref="Z9:Z10"/>
    <mergeCell ref="AA9:AA10"/>
    <mergeCell ref="L18:L19"/>
    <mergeCell ref="L8:L9"/>
    <mergeCell ref="L10:L11"/>
  </mergeCells>
  <phoneticPr fontId="2" type="noConversion"/>
  <conditionalFormatting sqref="F5:K5">
    <cfRule type="expression" dxfId="7" priority="2">
      <formula>$E$18=0</formula>
    </cfRule>
  </conditionalFormatting>
  <conditionalFormatting sqref="J8:J19">
    <cfRule type="containsText" dxfId="6" priority="7" operator="containsText" text="Epic">
      <formula>NOT(ISERROR(SEARCH("Epic",J8)))</formula>
    </cfRule>
    <cfRule type="containsText" dxfId="5" priority="8" operator="containsText" text="Common">
      <formula>NOT(ISERROR(SEARCH("Common",J8)))</formula>
    </cfRule>
    <cfRule type="cellIs" dxfId="4" priority="9" operator="equal">
      <formula>"""Common"""</formula>
    </cfRule>
  </conditionalFormatting>
  <conditionalFormatting sqref="V6:AA6">
    <cfRule type="expression" dxfId="3" priority="1">
      <formula>$E$18=0</formula>
    </cfRule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5B6D-BD98-4F5B-AD73-49B6F3EEBBB4}">
  <sheetPr>
    <tabColor theme="4" tint="0.59999389629810485"/>
  </sheetPr>
  <dimension ref="A1:J51"/>
  <sheetViews>
    <sheetView workbookViewId="0">
      <selection activeCell="I6" sqref="I6"/>
    </sheetView>
  </sheetViews>
  <sheetFormatPr defaultColWidth="0" defaultRowHeight="14.6" zeroHeight="1" x14ac:dyDescent="0.4"/>
  <cols>
    <col min="1" max="4" width="9.23046875" customWidth="1"/>
    <col min="5" max="5" width="10.3828125" customWidth="1"/>
    <col min="6" max="10" width="9.23046875" customWidth="1"/>
  </cols>
  <sheetData>
    <row r="1" spans="1:10" ht="14.6" customHeight="1" x14ac:dyDescent="0.4">
      <c r="A1" t="s">
        <v>2</v>
      </c>
      <c r="B1" t="s">
        <v>3</v>
      </c>
      <c r="C1" t="s">
        <v>4</v>
      </c>
      <c r="D1" t="s">
        <v>1</v>
      </c>
      <c r="E1" t="s">
        <v>5</v>
      </c>
      <c r="F1" s="131"/>
      <c r="G1" s="238" t="s">
        <v>170</v>
      </c>
      <c r="H1" s="238"/>
      <c r="I1" s="238"/>
      <c r="J1" s="131"/>
    </row>
    <row r="2" spans="1:10" ht="14.6" customHeight="1" x14ac:dyDescent="0.4">
      <c r="A2" s="1">
        <v>1</v>
      </c>
      <c r="B2" s="1">
        <v>340</v>
      </c>
      <c r="C2" s="1">
        <v>408</v>
      </c>
      <c r="D2" s="2">
        <v>2508</v>
      </c>
      <c r="E2" s="1">
        <v>400</v>
      </c>
      <c r="F2" s="131"/>
      <c r="G2" s="238"/>
      <c r="H2" s="238"/>
      <c r="I2" s="238"/>
      <c r="J2" s="131"/>
    </row>
    <row r="3" spans="1:10" x14ac:dyDescent="0.4">
      <c r="A3" s="1">
        <v>2</v>
      </c>
      <c r="B3" s="1">
        <v>350</v>
      </c>
      <c r="C3" s="1">
        <v>420</v>
      </c>
      <c r="D3" s="2">
        <v>2550</v>
      </c>
      <c r="E3" s="1">
        <v>400</v>
      </c>
      <c r="F3" s="131"/>
      <c r="G3" s="130" t="s">
        <v>6</v>
      </c>
      <c r="H3" s="115"/>
      <c r="I3" s="115"/>
      <c r="J3" s="131"/>
    </row>
    <row r="4" spans="1:10" x14ac:dyDescent="0.4">
      <c r="A4" s="1">
        <v>3</v>
      </c>
      <c r="B4" s="1">
        <v>360</v>
      </c>
      <c r="C4" s="1">
        <v>432</v>
      </c>
      <c r="D4" s="2">
        <v>2593</v>
      </c>
      <c r="E4" s="1">
        <v>400</v>
      </c>
      <c r="F4" s="131"/>
      <c r="G4" s="130" t="s">
        <v>171</v>
      </c>
      <c r="H4" s="115"/>
      <c r="I4" s="115"/>
      <c r="J4" s="131"/>
    </row>
    <row r="5" spans="1:10" x14ac:dyDescent="0.4">
      <c r="A5" s="1">
        <v>4</v>
      </c>
      <c r="B5" s="1">
        <v>370</v>
      </c>
      <c r="C5" s="1">
        <v>444</v>
      </c>
      <c r="D5" s="2">
        <v>2635</v>
      </c>
      <c r="E5" s="1">
        <v>400</v>
      </c>
      <c r="F5" s="131"/>
      <c r="G5" s="130" t="s">
        <v>172</v>
      </c>
      <c r="H5" s="115"/>
      <c r="I5" s="115"/>
      <c r="J5" s="131"/>
    </row>
    <row r="6" spans="1:10" x14ac:dyDescent="0.4">
      <c r="A6" s="1">
        <v>5</v>
      </c>
      <c r="B6" s="1">
        <v>375</v>
      </c>
      <c r="C6" s="1">
        <v>450</v>
      </c>
      <c r="D6" s="2">
        <v>2678</v>
      </c>
      <c r="E6" s="1">
        <v>500</v>
      </c>
      <c r="F6" s="131"/>
      <c r="G6" s="130" t="s">
        <v>176</v>
      </c>
      <c r="H6" s="115"/>
      <c r="I6" s="132" t="s">
        <v>177</v>
      </c>
      <c r="J6" s="131"/>
    </row>
    <row r="7" spans="1:10" x14ac:dyDescent="0.4">
      <c r="A7" s="1">
        <v>6</v>
      </c>
      <c r="B7" s="1">
        <v>380</v>
      </c>
      <c r="C7" s="1">
        <v>456</v>
      </c>
      <c r="D7" s="2">
        <v>2720</v>
      </c>
      <c r="E7" s="1">
        <v>500</v>
      </c>
      <c r="F7" s="131"/>
      <c r="G7" s="131"/>
      <c r="H7" s="131"/>
      <c r="I7" s="131"/>
      <c r="J7" s="131"/>
    </row>
    <row r="8" spans="1:10" x14ac:dyDescent="0.4">
      <c r="A8" s="1">
        <v>7</v>
      </c>
      <c r="B8" s="1">
        <v>385</v>
      </c>
      <c r="C8" s="1">
        <v>462</v>
      </c>
      <c r="D8" s="2">
        <v>2763</v>
      </c>
      <c r="E8" s="1">
        <v>500</v>
      </c>
      <c r="F8" s="131"/>
      <c r="G8" s="131"/>
      <c r="H8" s="131"/>
      <c r="I8" s="131"/>
      <c r="J8" s="131"/>
    </row>
    <row r="9" spans="1:10" x14ac:dyDescent="0.4">
      <c r="A9" s="1">
        <v>8</v>
      </c>
      <c r="B9" s="1">
        <v>390</v>
      </c>
      <c r="C9" s="1">
        <v>468</v>
      </c>
      <c r="D9" s="2">
        <v>2805</v>
      </c>
      <c r="E9" s="1">
        <v>500</v>
      </c>
      <c r="F9" s="131"/>
      <c r="G9" s="131"/>
      <c r="H9" s="131"/>
      <c r="I9" s="131"/>
      <c r="J9" s="131"/>
    </row>
    <row r="10" spans="1:10" x14ac:dyDescent="0.4">
      <c r="A10" s="1">
        <v>9</v>
      </c>
      <c r="B10" s="1">
        <v>396</v>
      </c>
      <c r="C10" s="1">
        <v>475.2</v>
      </c>
      <c r="D10" s="2">
        <v>2848</v>
      </c>
      <c r="E10" s="1">
        <v>500</v>
      </c>
      <c r="F10" s="131"/>
      <c r="G10" s="131"/>
      <c r="H10" s="131"/>
      <c r="I10" s="131"/>
      <c r="J10" s="131"/>
    </row>
    <row r="11" spans="1:10" x14ac:dyDescent="0.4">
      <c r="A11" s="1">
        <v>10</v>
      </c>
      <c r="B11" s="1">
        <v>402</v>
      </c>
      <c r="C11" s="1">
        <v>482.4</v>
      </c>
      <c r="D11" s="2">
        <v>2890</v>
      </c>
      <c r="E11" s="1">
        <v>600</v>
      </c>
      <c r="F11" s="131"/>
      <c r="G11" s="131"/>
      <c r="H11" s="131"/>
      <c r="I11" s="131"/>
      <c r="J11" s="131"/>
    </row>
    <row r="12" spans="1:10" x14ac:dyDescent="0.4">
      <c r="A12" s="1">
        <v>11</v>
      </c>
      <c r="B12" s="1">
        <v>408</v>
      </c>
      <c r="C12" s="1">
        <v>489.6</v>
      </c>
      <c r="D12" s="2">
        <v>2933</v>
      </c>
      <c r="E12" s="1">
        <v>600</v>
      </c>
      <c r="F12" s="131"/>
      <c r="G12" s="131"/>
      <c r="H12" s="131"/>
      <c r="I12" s="131"/>
      <c r="J12" s="131"/>
    </row>
    <row r="13" spans="1:10" x14ac:dyDescent="0.4">
      <c r="A13" s="1">
        <v>12</v>
      </c>
      <c r="B13" s="1">
        <v>414</v>
      </c>
      <c r="C13" s="1">
        <v>496.8</v>
      </c>
      <c r="D13" s="2">
        <v>2975</v>
      </c>
      <c r="E13" s="1">
        <v>600</v>
      </c>
      <c r="F13" s="131"/>
      <c r="G13" s="131"/>
      <c r="H13" s="131"/>
      <c r="I13" s="131"/>
      <c r="J13" s="131"/>
    </row>
    <row r="14" spans="1:10" x14ac:dyDescent="0.4">
      <c r="A14" s="1">
        <v>13</v>
      </c>
      <c r="B14" s="1">
        <v>420</v>
      </c>
      <c r="C14" s="1">
        <v>504</v>
      </c>
      <c r="D14" s="2">
        <v>3018</v>
      </c>
      <c r="E14" s="1">
        <v>600</v>
      </c>
      <c r="F14" s="131"/>
      <c r="G14" s="131"/>
      <c r="H14" s="131"/>
      <c r="I14" s="131"/>
      <c r="J14" s="131"/>
    </row>
    <row r="15" spans="1:10" x14ac:dyDescent="0.4">
      <c r="A15" s="1">
        <v>14</v>
      </c>
      <c r="B15" s="1">
        <v>426</v>
      </c>
      <c r="C15" s="1">
        <v>511.2</v>
      </c>
      <c r="D15" s="2">
        <v>3060</v>
      </c>
      <c r="E15" s="1">
        <v>600</v>
      </c>
      <c r="F15" s="131"/>
      <c r="G15" s="131"/>
      <c r="H15" s="131"/>
      <c r="I15" s="131"/>
      <c r="J15" s="131"/>
    </row>
    <row r="16" spans="1:10" x14ac:dyDescent="0.4">
      <c r="A16" s="1">
        <v>15</v>
      </c>
      <c r="B16" s="1">
        <v>432</v>
      </c>
      <c r="C16" s="1">
        <v>518.4</v>
      </c>
      <c r="D16" s="2">
        <v>3103</v>
      </c>
      <c r="E16" s="1">
        <v>700</v>
      </c>
      <c r="F16" s="131"/>
      <c r="G16" s="131"/>
      <c r="H16" s="131"/>
      <c r="I16" s="131"/>
      <c r="J16" s="131"/>
    </row>
    <row r="17" spans="1:10" x14ac:dyDescent="0.4">
      <c r="A17" s="1">
        <v>16</v>
      </c>
      <c r="B17" s="1">
        <v>438</v>
      </c>
      <c r="C17" s="1">
        <v>525.6</v>
      </c>
      <c r="D17" s="2">
        <v>3145</v>
      </c>
      <c r="E17" s="1">
        <v>700</v>
      </c>
      <c r="F17" s="131"/>
      <c r="G17" s="131"/>
      <c r="H17" s="131"/>
      <c r="I17" s="131"/>
      <c r="J17" s="131"/>
    </row>
    <row r="18" spans="1:10" x14ac:dyDescent="0.4">
      <c r="A18" s="1">
        <v>17</v>
      </c>
      <c r="B18" s="1">
        <v>444</v>
      </c>
      <c r="C18" s="1">
        <v>532.79999999999995</v>
      </c>
      <c r="D18" s="2">
        <v>3188</v>
      </c>
      <c r="E18" s="1">
        <v>700</v>
      </c>
      <c r="F18" s="131"/>
      <c r="G18" s="131"/>
      <c r="H18" s="131"/>
      <c r="I18" s="131"/>
      <c r="J18" s="131"/>
    </row>
    <row r="19" spans="1:10" x14ac:dyDescent="0.4">
      <c r="A19" s="1">
        <v>18</v>
      </c>
      <c r="B19" s="1">
        <v>448</v>
      </c>
      <c r="C19" s="1">
        <v>537.6</v>
      </c>
      <c r="D19" s="2">
        <v>3230</v>
      </c>
      <c r="E19" s="1">
        <v>700</v>
      </c>
      <c r="F19" s="131"/>
      <c r="G19" s="131"/>
      <c r="H19" s="131"/>
      <c r="I19" s="131"/>
      <c r="J19" s="131"/>
    </row>
    <row r="20" spans="1:10" x14ac:dyDescent="0.4">
      <c r="A20" s="1">
        <v>19</v>
      </c>
      <c r="B20" s="1">
        <v>452</v>
      </c>
      <c r="C20" s="1">
        <v>542.4</v>
      </c>
      <c r="D20" s="2">
        <v>3273</v>
      </c>
      <c r="E20" s="1">
        <v>700</v>
      </c>
      <c r="F20" s="131"/>
      <c r="G20" s="131"/>
      <c r="H20" s="131"/>
      <c r="I20" s="131"/>
      <c r="J20" s="131"/>
    </row>
    <row r="21" spans="1:10" x14ac:dyDescent="0.4">
      <c r="A21" s="1">
        <v>20</v>
      </c>
      <c r="B21" s="1">
        <v>456</v>
      </c>
      <c r="C21" s="1">
        <v>547.20000000000005</v>
      </c>
      <c r="D21" s="2">
        <v>3315</v>
      </c>
      <c r="E21" s="1">
        <v>800</v>
      </c>
      <c r="F21" s="131"/>
      <c r="G21" s="131"/>
      <c r="H21" s="131"/>
      <c r="I21" s="131"/>
      <c r="J21" s="131"/>
    </row>
    <row r="22" spans="1:10" x14ac:dyDescent="0.4">
      <c r="A22" s="1">
        <v>21</v>
      </c>
      <c r="B22" s="1">
        <v>460</v>
      </c>
      <c r="C22" s="1">
        <v>552</v>
      </c>
      <c r="D22" s="2">
        <v>3349</v>
      </c>
      <c r="E22" s="1">
        <v>800</v>
      </c>
      <c r="F22" s="131"/>
      <c r="G22" s="131"/>
      <c r="H22" s="131"/>
      <c r="I22" s="131"/>
      <c r="J22" s="131"/>
    </row>
    <row r="23" spans="1:10" x14ac:dyDescent="0.4">
      <c r="A23" s="1">
        <v>22</v>
      </c>
      <c r="B23" s="1">
        <v>465</v>
      </c>
      <c r="C23" s="1">
        <v>558</v>
      </c>
      <c r="D23" s="2">
        <v>3383</v>
      </c>
      <c r="E23" s="1">
        <v>800</v>
      </c>
      <c r="F23" s="131"/>
      <c r="G23" s="131"/>
      <c r="H23" s="131"/>
      <c r="I23" s="131"/>
      <c r="J23" s="131"/>
    </row>
    <row r="24" spans="1:10" x14ac:dyDescent="0.4">
      <c r="A24" s="1">
        <v>23</v>
      </c>
      <c r="B24" s="1">
        <v>470</v>
      </c>
      <c r="C24" s="1">
        <v>564</v>
      </c>
      <c r="D24" s="2">
        <v>3417</v>
      </c>
      <c r="E24" s="1">
        <v>800</v>
      </c>
      <c r="F24" s="131"/>
      <c r="G24" s="131"/>
      <c r="H24" s="131"/>
      <c r="I24" s="131"/>
      <c r="J24" s="131"/>
    </row>
    <row r="25" spans="1:10" x14ac:dyDescent="0.4">
      <c r="A25" s="1">
        <v>24</v>
      </c>
      <c r="B25" s="1">
        <v>474</v>
      </c>
      <c r="C25" s="1">
        <v>568.79999999999995</v>
      </c>
      <c r="D25" s="2">
        <v>3451</v>
      </c>
      <c r="E25" s="1">
        <v>800</v>
      </c>
      <c r="F25" s="131"/>
      <c r="G25" s="131"/>
      <c r="H25" s="131"/>
      <c r="I25" s="131"/>
      <c r="J25" s="131"/>
    </row>
    <row r="26" spans="1:10" x14ac:dyDescent="0.4">
      <c r="A26" s="1">
        <v>25</v>
      </c>
      <c r="B26" s="1">
        <v>477</v>
      </c>
      <c r="C26" s="1">
        <v>572.4</v>
      </c>
      <c r="D26" s="2">
        <v>3485</v>
      </c>
      <c r="E26" s="1">
        <v>900</v>
      </c>
      <c r="F26" s="131"/>
      <c r="G26" s="131"/>
      <c r="H26" s="131"/>
      <c r="I26" s="131"/>
      <c r="J26" s="131"/>
    </row>
    <row r="27" spans="1:10" x14ac:dyDescent="0.4">
      <c r="A27" s="1">
        <v>26</v>
      </c>
      <c r="B27" s="1">
        <v>480</v>
      </c>
      <c r="C27" s="1">
        <v>576</v>
      </c>
      <c r="D27" s="2">
        <v>3519</v>
      </c>
      <c r="E27" s="1">
        <v>900</v>
      </c>
      <c r="F27" s="131"/>
      <c r="G27" s="131"/>
      <c r="H27" s="131"/>
      <c r="I27" s="131"/>
      <c r="J27" s="131"/>
    </row>
    <row r="28" spans="1:10" x14ac:dyDescent="0.4">
      <c r="A28" s="1">
        <v>27</v>
      </c>
      <c r="B28" s="1">
        <v>483</v>
      </c>
      <c r="C28" s="1">
        <v>579.6</v>
      </c>
      <c r="D28" s="2">
        <v>3553</v>
      </c>
      <c r="E28" s="1">
        <v>900</v>
      </c>
      <c r="F28" s="131"/>
      <c r="G28" s="131"/>
      <c r="H28" s="131"/>
      <c r="I28" s="131"/>
      <c r="J28" s="131"/>
    </row>
    <row r="29" spans="1:10" x14ac:dyDescent="0.4">
      <c r="A29" s="1">
        <v>28</v>
      </c>
      <c r="B29" s="1">
        <v>486</v>
      </c>
      <c r="C29" s="1">
        <v>583.20000000000005</v>
      </c>
      <c r="D29" s="2">
        <v>3587</v>
      </c>
      <c r="E29" s="1">
        <v>900</v>
      </c>
      <c r="F29" s="131"/>
      <c r="G29" s="131"/>
      <c r="H29" s="131"/>
      <c r="I29" s="131"/>
      <c r="J29" s="131"/>
    </row>
    <row r="30" spans="1:10" x14ac:dyDescent="0.4">
      <c r="A30" s="1">
        <v>29</v>
      </c>
      <c r="B30" s="1">
        <v>489</v>
      </c>
      <c r="C30" s="1">
        <v>586.79999999999995</v>
      </c>
      <c r="D30" s="2">
        <v>3621</v>
      </c>
      <c r="E30" s="1">
        <v>900</v>
      </c>
      <c r="F30" s="131"/>
      <c r="G30" s="131"/>
      <c r="H30" s="131"/>
      <c r="I30" s="131"/>
      <c r="J30" s="131"/>
    </row>
    <row r="31" spans="1:10" x14ac:dyDescent="0.4">
      <c r="A31" s="1">
        <v>30</v>
      </c>
      <c r="B31" s="1">
        <v>492</v>
      </c>
      <c r="C31" s="1">
        <v>590.4</v>
      </c>
      <c r="D31" s="2">
        <v>3655</v>
      </c>
      <c r="E31" s="2">
        <v>1000</v>
      </c>
      <c r="F31" s="131"/>
      <c r="G31" s="131"/>
      <c r="H31" s="131"/>
      <c r="I31" s="131"/>
      <c r="J31" s="131"/>
    </row>
    <row r="32" spans="1:10" x14ac:dyDescent="0.4">
      <c r="A32" s="1">
        <v>31</v>
      </c>
      <c r="B32" s="1">
        <v>495</v>
      </c>
      <c r="C32" s="1">
        <v>594</v>
      </c>
      <c r="D32" s="2">
        <v>3681</v>
      </c>
      <c r="E32" s="2">
        <v>1000</v>
      </c>
      <c r="F32" s="131"/>
      <c r="G32" s="131"/>
      <c r="H32" s="131"/>
      <c r="I32" s="131"/>
      <c r="J32" s="131"/>
    </row>
    <row r="33" spans="1:10" x14ac:dyDescent="0.4">
      <c r="A33" s="1">
        <v>32</v>
      </c>
      <c r="B33" s="1">
        <v>498</v>
      </c>
      <c r="C33" s="1">
        <v>597.6</v>
      </c>
      <c r="D33" s="2">
        <v>3706</v>
      </c>
      <c r="E33" s="2">
        <v>1000</v>
      </c>
      <c r="F33" s="131"/>
      <c r="G33" s="131"/>
      <c r="H33" s="131"/>
      <c r="I33" s="131"/>
      <c r="J33" s="131"/>
    </row>
    <row r="34" spans="1:10" x14ac:dyDescent="0.4">
      <c r="A34" s="1">
        <v>33</v>
      </c>
      <c r="B34" s="1">
        <v>502</v>
      </c>
      <c r="C34" s="1">
        <v>602.4</v>
      </c>
      <c r="D34" s="2">
        <v>3732</v>
      </c>
      <c r="E34" s="2">
        <v>1000</v>
      </c>
      <c r="F34" s="131"/>
      <c r="G34" s="131"/>
      <c r="H34" s="131"/>
      <c r="I34" s="131"/>
      <c r="J34" s="131"/>
    </row>
    <row r="35" spans="1:10" x14ac:dyDescent="0.4">
      <c r="A35" s="1">
        <v>34</v>
      </c>
      <c r="B35" s="1">
        <v>506</v>
      </c>
      <c r="C35" s="1">
        <v>607.20000000000005</v>
      </c>
      <c r="D35" s="2">
        <v>3757</v>
      </c>
      <c r="E35" s="2">
        <v>1000</v>
      </c>
      <c r="F35" s="131"/>
      <c r="G35" s="131"/>
      <c r="H35" s="131"/>
      <c r="I35" s="131"/>
      <c r="J35" s="131"/>
    </row>
    <row r="36" spans="1:10" x14ac:dyDescent="0.4">
      <c r="A36" s="1">
        <v>35</v>
      </c>
      <c r="B36" s="1">
        <v>510</v>
      </c>
      <c r="C36" s="1">
        <v>612</v>
      </c>
      <c r="D36" s="2">
        <v>3783</v>
      </c>
      <c r="E36" s="2">
        <v>1100</v>
      </c>
      <c r="F36" s="131"/>
      <c r="G36" s="131"/>
      <c r="H36" s="131"/>
      <c r="I36" s="131"/>
      <c r="J36" s="131"/>
    </row>
    <row r="37" spans="1:10" x14ac:dyDescent="0.4">
      <c r="A37" s="1">
        <v>36</v>
      </c>
      <c r="B37" s="1">
        <v>514</v>
      </c>
      <c r="C37" s="1">
        <v>616.79999999999995</v>
      </c>
      <c r="D37" s="2">
        <v>3808</v>
      </c>
      <c r="E37" s="2">
        <v>1100</v>
      </c>
      <c r="F37" s="131"/>
      <c r="G37" s="131"/>
      <c r="H37" s="131"/>
      <c r="I37" s="131"/>
      <c r="J37" s="131"/>
    </row>
    <row r="38" spans="1:10" x14ac:dyDescent="0.4">
      <c r="A38" s="1">
        <v>37</v>
      </c>
      <c r="B38" s="1">
        <v>518</v>
      </c>
      <c r="C38" s="1">
        <v>621.6</v>
      </c>
      <c r="D38" s="2">
        <v>3834</v>
      </c>
      <c r="E38" s="2">
        <v>1100</v>
      </c>
      <c r="F38" s="131"/>
      <c r="G38" s="131"/>
      <c r="H38" s="131"/>
      <c r="I38" s="131"/>
      <c r="J38" s="131"/>
    </row>
    <row r="39" spans="1:10" x14ac:dyDescent="0.4">
      <c r="A39" s="1">
        <v>38</v>
      </c>
      <c r="B39" s="1">
        <v>522</v>
      </c>
      <c r="C39" s="1">
        <v>626.4</v>
      </c>
      <c r="D39" s="2">
        <v>3859</v>
      </c>
      <c r="E39" s="2">
        <v>1100</v>
      </c>
      <c r="F39" s="131"/>
      <c r="G39" s="131"/>
      <c r="H39" s="131"/>
      <c r="I39" s="131"/>
      <c r="J39" s="131"/>
    </row>
    <row r="40" spans="1:10" x14ac:dyDescent="0.4">
      <c r="A40" s="1">
        <v>39</v>
      </c>
      <c r="B40" s="1">
        <v>526</v>
      </c>
      <c r="C40" s="1">
        <v>631.20000000000005</v>
      </c>
      <c r="D40" s="2">
        <v>3885</v>
      </c>
      <c r="E40" s="2">
        <v>1100</v>
      </c>
      <c r="F40" s="131"/>
      <c r="G40" s="131"/>
      <c r="H40" s="131"/>
      <c r="I40" s="131"/>
      <c r="J40" s="131"/>
    </row>
    <row r="41" spans="1:10" x14ac:dyDescent="0.4">
      <c r="A41" s="1">
        <v>40</v>
      </c>
      <c r="B41" s="1">
        <v>530</v>
      </c>
      <c r="C41" s="1">
        <v>636</v>
      </c>
      <c r="D41" s="2">
        <v>3910</v>
      </c>
      <c r="E41" s="2">
        <v>1200</v>
      </c>
      <c r="F41" s="131"/>
      <c r="G41" s="131"/>
      <c r="H41" s="131"/>
      <c r="I41" s="131"/>
      <c r="J41" s="131"/>
    </row>
    <row r="42" spans="1:10" x14ac:dyDescent="0.4">
      <c r="A42" s="1">
        <v>41</v>
      </c>
      <c r="B42" s="1">
        <v>533</v>
      </c>
      <c r="C42" s="1">
        <v>639.6</v>
      </c>
      <c r="D42" s="2">
        <v>3936</v>
      </c>
      <c r="E42" s="2">
        <v>1200</v>
      </c>
      <c r="F42" s="131"/>
      <c r="G42" s="131"/>
      <c r="H42" s="131"/>
      <c r="I42" s="131"/>
      <c r="J42" s="131"/>
    </row>
    <row r="43" spans="1:10" x14ac:dyDescent="0.4">
      <c r="A43" s="1">
        <v>42</v>
      </c>
      <c r="B43" s="1">
        <v>536</v>
      </c>
      <c r="C43" s="1">
        <v>643.20000000000005</v>
      </c>
      <c r="D43" s="2">
        <v>3961</v>
      </c>
      <c r="E43" s="2">
        <v>1200</v>
      </c>
      <c r="F43" s="131"/>
      <c r="G43" s="131"/>
      <c r="H43" s="131"/>
      <c r="I43" s="131"/>
      <c r="J43" s="131"/>
    </row>
    <row r="44" spans="1:10" x14ac:dyDescent="0.4">
      <c r="A44" s="1">
        <v>43</v>
      </c>
      <c r="B44" s="1">
        <v>539</v>
      </c>
      <c r="C44" s="1">
        <v>646.79999999999995</v>
      </c>
      <c r="D44" s="2">
        <v>3987</v>
      </c>
      <c r="E44" s="2">
        <v>1200</v>
      </c>
      <c r="F44" s="131"/>
      <c r="G44" s="131"/>
      <c r="H44" s="131"/>
      <c r="I44" s="131"/>
      <c r="J44" s="131"/>
    </row>
    <row r="45" spans="1:10" x14ac:dyDescent="0.4">
      <c r="A45" s="1">
        <v>44</v>
      </c>
      <c r="B45" s="1">
        <v>542</v>
      </c>
      <c r="C45" s="1">
        <v>650.4</v>
      </c>
      <c r="D45" s="2">
        <v>4012</v>
      </c>
      <c r="E45" s="2">
        <v>1200</v>
      </c>
      <c r="F45" s="131"/>
      <c r="G45" s="131"/>
      <c r="H45" s="131"/>
      <c r="I45" s="131"/>
      <c r="J45" s="131"/>
    </row>
    <row r="46" spans="1:10" x14ac:dyDescent="0.4">
      <c r="A46" s="1">
        <v>45</v>
      </c>
      <c r="B46" s="1">
        <v>545</v>
      </c>
      <c r="C46" s="1">
        <v>654</v>
      </c>
      <c r="D46" s="2">
        <v>4038</v>
      </c>
      <c r="E46" s="2">
        <v>1300</v>
      </c>
      <c r="F46" s="131"/>
      <c r="G46" s="131"/>
      <c r="H46" s="131"/>
      <c r="I46" s="131"/>
      <c r="J46" s="131"/>
    </row>
    <row r="47" spans="1:10" x14ac:dyDescent="0.4">
      <c r="A47" s="1">
        <v>46</v>
      </c>
      <c r="B47" s="1">
        <v>548</v>
      </c>
      <c r="C47" s="1">
        <v>657.6</v>
      </c>
      <c r="D47" s="2">
        <v>4064</v>
      </c>
      <c r="E47" s="2">
        <v>1300</v>
      </c>
      <c r="F47" s="131"/>
      <c r="G47" s="131"/>
      <c r="H47" s="131"/>
      <c r="I47" s="131"/>
      <c r="J47" s="131"/>
    </row>
    <row r="48" spans="1:10" x14ac:dyDescent="0.4">
      <c r="A48" s="1">
        <v>47</v>
      </c>
      <c r="B48" s="1">
        <v>551</v>
      </c>
      <c r="C48" s="1">
        <v>661.2</v>
      </c>
      <c r="D48" s="2">
        <v>4090</v>
      </c>
      <c r="E48" s="2">
        <v>1300</v>
      </c>
      <c r="F48" s="131"/>
      <c r="G48" s="131"/>
      <c r="H48" s="131"/>
      <c r="I48" s="131"/>
      <c r="J48" s="131"/>
    </row>
    <row r="49" spans="1:10" x14ac:dyDescent="0.4">
      <c r="A49" s="1">
        <v>48</v>
      </c>
      <c r="B49" s="1">
        <v>554</v>
      </c>
      <c r="C49" s="1">
        <v>664.8</v>
      </c>
      <c r="D49" s="2">
        <v>4116</v>
      </c>
      <c r="E49" s="2">
        <v>1300</v>
      </c>
      <c r="F49" s="131"/>
      <c r="G49" s="131"/>
      <c r="H49" s="131"/>
      <c r="I49" s="131"/>
      <c r="J49" s="131"/>
    </row>
    <row r="50" spans="1:10" x14ac:dyDescent="0.4">
      <c r="A50" s="1">
        <v>49</v>
      </c>
      <c r="B50" s="1">
        <v>557</v>
      </c>
      <c r="C50" s="1">
        <v>668.4</v>
      </c>
      <c r="D50" s="2">
        <v>4142</v>
      </c>
      <c r="E50" s="2">
        <v>1300</v>
      </c>
      <c r="F50" s="131"/>
      <c r="G50" s="131"/>
      <c r="H50" s="131"/>
      <c r="I50" s="131"/>
      <c r="J50" s="131"/>
    </row>
    <row r="51" spans="1:10" x14ac:dyDescent="0.4">
      <c r="A51" s="1">
        <v>50</v>
      </c>
      <c r="B51" s="1">
        <v>560</v>
      </c>
      <c r="C51" s="1">
        <v>672</v>
      </c>
      <c r="D51" s="2">
        <v>4168</v>
      </c>
      <c r="E51" s="2">
        <v>1400</v>
      </c>
      <c r="F51" s="131"/>
      <c r="G51" s="131"/>
      <c r="H51" s="131"/>
      <c r="I51" s="131"/>
      <c r="J51" s="131"/>
    </row>
  </sheetData>
  <mergeCells count="1">
    <mergeCell ref="G1:I2"/>
  </mergeCells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FADCC-E11A-4859-9DA4-461FC2F8CE3D}">
  <sheetPr>
    <tabColor theme="3" tint="0.499984740745262"/>
  </sheetPr>
  <dimension ref="A1:AF31"/>
  <sheetViews>
    <sheetView workbookViewId="0">
      <selection activeCell="T20" sqref="T20"/>
    </sheetView>
  </sheetViews>
  <sheetFormatPr defaultRowHeight="14.6" x14ac:dyDescent="0.4"/>
  <cols>
    <col min="4" max="4" width="9.921875" customWidth="1"/>
    <col min="5" max="5" width="11.3046875" customWidth="1"/>
    <col min="10" max="10" width="9.53515625" customWidth="1"/>
    <col min="15" max="15" width="9.53515625" customWidth="1"/>
    <col min="16" max="16" width="13.921875" customWidth="1"/>
    <col min="21" max="21" width="9.53515625" customWidth="1"/>
    <col min="22" max="22" width="12.07421875" customWidth="1"/>
    <col min="23" max="23" width="13.921875" customWidth="1"/>
    <col min="24" max="24" width="13.69140625" customWidth="1"/>
    <col min="25" max="25" width="23.84375" customWidth="1"/>
    <col min="26" max="26" width="9.53515625" customWidth="1"/>
    <col min="27" max="27" width="9.921875" customWidth="1"/>
  </cols>
  <sheetData>
    <row r="1" spans="1:32" x14ac:dyDescent="0.4">
      <c r="A1" s="239" t="e" vm="13">
        <v>#VALUE!</v>
      </c>
      <c r="B1" s="239"/>
      <c r="C1" s="242" t="s">
        <v>9</v>
      </c>
      <c r="D1" s="242"/>
      <c r="E1" s="41"/>
      <c r="F1" s="41"/>
      <c r="G1" s="240" t="e" vm="14">
        <v>#VALUE!</v>
      </c>
      <c r="H1" s="240"/>
      <c r="I1" s="243" t="s">
        <v>36</v>
      </c>
      <c r="J1" s="243"/>
      <c r="K1" s="17"/>
      <c r="L1" s="168" t="e" vm="15">
        <v>#VALUE!</v>
      </c>
      <c r="M1" s="168"/>
      <c r="N1" s="244" t="s">
        <v>39</v>
      </c>
      <c r="O1" s="244"/>
      <c r="P1" s="12"/>
      <c r="Q1" s="12"/>
      <c r="R1" s="241" t="e" vm="16">
        <v>#VALUE!</v>
      </c>
      <c r="S1" s="241"/>
      <c r="T1" s="245" t="s">
        <v>37</v>
      </c>
      <c r="U1" s="245"/>
      <c r="V1" s="65"/>
      <c r="W1" s="65"/>
      <c r="X1" s="65"/>
      <c r="Y1" s="65"/>
      <c r="Z1" s="65"/>
      <c r="AA1" s="65"/>
      <c r="AB1" s="65"/>
      <c r="AC1" s="188" t="e" vm="17">
        <v>#VALUE!</v>
      </c>
      <c r="AD1" s="188"/>
      <c r="AE1" s="188" t="e" vm="18">
        <v>#VALUE!</v>
      </c>
      <c r="AF1" s="188"/>
    </row>
    <row r="2" spans="1:32" x14ac:dyDescent="0.4">
      <c r="A2" s="239"/>
      <c r="B2" s="239"/>
      <c r="C2" s="242"/>
      <c r="D2" s="242"/>
      <c r="E2" s="41"/>
      <c r="F2" s="41"/>
      <c r="G2" s="240"/>
      <c r="H2" s="240"/>
      <c r="I2" s="243"/>
      <c r="J2" s="243"/>
      <c r="K2" s="17"/>
      <c r="L2" s="168"/>
      <c r="M2" s="168"/>
      <c r="N2" s="244"/>
      <c r="O2" s="244"/>
      <c r="P2" s="12"/>
      <c r="Q2" s="12"/>
      <c r="R2" s="241"/>
      <c r="S2" s="241"/>
      <c r="T2" s="245"/>
      <c r="U2" s="245"/>
      <c r="V2" s="65"/>
      <c r="W2" s="65"/>
      <c r="X2" s="65"/>
      <c r="Y2" s="65"/>
      <c r="Z2" s="65"/>
      <c r="AA2" s="65"/>
      <c r="AB2" s="65"/>
      <c r="AC2" s="188"/>
      <c r="AD2" s="188"/>
      <c r="AE2" s="188"/>
      <c r="AF2" s="188"/>
    </row>
    <row r="3" spans="1:32" x14ac:dyDescent="0.4">
      <c r="A3" s="239"/>
      <c r="B3" s="239"/>
      <c r="C3" s="41" t="s">
        <v>2</v>
      </c>
      <c r="D3" s="41" t="s">
        <v>7</v>
      </c>
      <c r="E3" s="41" t="s">
        <v>8</v>
      </c>
      <c r="F3" s="41"/>
      <c r="G3" s="240"/>
      <c r="H3" s="240"/>
      <c r="I3" s="17" t="s">
        <v>2</v>
      </c>
      <c r="J3" s="17" t="s">
        <v>10</v>
      </c>
      <c r="K3" s="17"/>
      <c r="L3" s="168"/>
      <c r="M3" s="168"/>
      <c r="N3" s="12" t="s">
        <v>2</v>
      </c>
      <c r="O3" s="12" t="s">
        <v>10</v>
      </c>
      <c r="P3" s="12" t="s">
        <v>53</v>
      </c>
      <c r="Q3" s="12"/>
      <c r="R3" s="241"/>
      <c r="S3" s="241"/>
      <c r="T3" s="65" t="s">
        <v>2</v>
      </c>
      <c r="U3" s="65" t="s">
        <v>10</v>
      </c>
      <c r="V3" s="65" t="s">
        <v>20</v>
      </c>
      <c r="W3" s="65" t="s">
        <v>21</v>
      </c>
      <c r="X3" s="65" t="s">
        <v>32</v>
      </c>
      <c r="Y3" s="65" t="s">
        <v>29</v>
      </c>
      <c r="Z3" s="65" t="s">
        <v>30</v>
      </c>
      <c r="AA3" s="65" t="s">
        <v>31</v>
      </c>
      <c r="AB3" s="65"/>
      <c r="AC3" s="188"/>
      <c r="AD3" s="188"/>
      <c r="AE3" s="188"/>
      <c r="AF3" s="188"/>
    </row>
    <row r="4" spans="1:32" x14ac:dyDescent="0.4">
      <c r="A4" s="239"/>
      <c r="B4" s="239"/>
      <c r="C4" s="42">
        <v>1</v>
      </c>
      <c r="D4" s="42">
        <v>132</v>
      </c>
      <c r="E4" s="42">
        <v>52.8</v>
      </c>
      <c r="F4" s="41"/>
      <c r="G4" s="240"/>
      <c r="H4" s="240"/>
      <c r="I4" s="18">
        <v>1</v>
      </c>
      <c r="J4" s="18">
        <v>35</v>
      </c>
      <c r="K4" s="17"/>
      <c r="L4" s="168"/>
      <c r="M4" s="168"/>
      <c r="N4" s="13">
        <v>1</v>
      </c>
      <c r="O4" s="13">
        <v>35</v>
      </c>
      <c r="P4" s="13">
        <v>350</v>
      </c>
      <c r="Q4" s="12"/>
      <c r="R4" s="241"/>
      <c r="S4" s="241"/>
      <c r="T4" s="66">
        <v>1</v>
      </c>
      <c r="U4" s="66">
        <v>20</v>
      </c>
      <c r="V4" s="65">
        <v>1.05</v>
      </c>
      <c r="W4" s="65">
        <v>1.6</v>
      </c>
      <c r="X4" s="65">
        <f t="shared" ref="X4:X21" si="0">1.2/V4</f>
        <v>1.1428571428571428</v>
      </c>
      <c r="Y4" s="65">
        <f t="shared" ref="Y4:Y21" si="1">X4/W4</f>
        <v>0.71428571428571419</v>
      </c>
      <c r="Z4" s="66">
        <v>18</v>
      </c>
      <c r="AA4" s="66" t="s">
        <v>22</v>
      </c>
      <c r="AB4" s="65"/>
      <c r="AC4" s="188"/>
      <c r="AD4" s="188"/>
      <c r="AE4" s="188"/>
      <c r="AF4" s="188"/>
    </row>
    <row r="5" spans="1:32" x14ac:dyDescent="0.4">
      <c r="A5" s="41"/>
      <c r="B5" s="41"/>
      <c r="C5" s="42">
        <v>2</v>
      </c>
      <c r="D5" s="42">
        <v>132</v>
      </c>
      <c r="E5" s="42">
        <v>52.8</v>
      </c>
      <c r="F5" s="41"/>
      <c r="G5" s="17"/>
      <c r="H5" s="17"/>
      <c r="I5" s="18">
        <v>2</v>
      </c>
      <c r="J5" s="18">
        <v>40</v>
      </c>
      <c r="K5" s="17"/>
      <c r="L5" s="12"/>
      <c r="M5" s="12"/>
      <c r="N5" s="13">
        <v>2</v>
      </c>
      <c r="O5" s="13">
        <v>40</v>
      </c>
      <c r="P5" s="13">
        <v>350</v>
      </c>
      <c r="Q5" s="12"/>
      <c r="R5" s="65"/>
      <c r="S5" s="65"/>
      <c r="T5" s="66">
        <v>2</v>
      </c>
      <c r="U5" s="66">
        <v>24</v>
      </c>
      <c r="V5" s="65">
        <v>1.06</v>
      </c>
      <c r="W5" s="65">
        <v>1.6</v>
      </c>
      <c r="X5" s="65">
        <f t="shared" si="0"/>
        <v>1.1320754716981132</v>
      </c>
      <c r="Y5" s="65">
        <f t="shared" si="1"/>
        <v>0.70754716981132071</v>
      </c>
      <c r="Z5" s="66">
        <v>18</v>
      </c>
      <c r="AA5" s="66" t="s">
        <v>22</v>
      </c>
      <c r="AB5" s="65"/>
    </row>
    <row r="6" spans="1:32" x14ac:dyDescent="0.4">
      <c r="A6" s="41"/>
      <c r="B6" s="41"/>
      <c r="C6" s="42">
        <v>3</v>
      </c>
      <c r="D6" s="42">
        <v>140</v>
      </c>
      <c r="E6" s="42">
        <v>56</v>
      </c>
      <c r="F6" s="41"/>
      <c r="G6" s="17"/>
      <c r="H6" s="17"/>
      <c r="I6" s="18">
        <v>3</v>
      </c>
      <c r="J6" s="18">
        <v>45</v>
      </c>
      <c r="K6" s="17"/>
      <c r="L6" s="12"/>
      <c r="M6" s="12"/>
      <c r="N6" s="13">
        <v>3</v>
      </c>
      <c r="O6" s="13">
        <v>45</v>
      </c>
      <c r="P6" s="13">
        <v>420</v>
      </c>
      <c r="Q6" s="12"/>
      <c r="R6" s="65"/>
      <c r="S6" s="65"/>
      <c r="T6" s="66">
        <v>3</v>
      </c>
      <c r="U6" s="66">
        <v>28</v>
      </c>
      <c r="V6" s="65">
        <v>1.06</v>
      </c>
      <c r="W6" s="65">
        <v>1.6</v>
      </c>
      <c r="X6" s="65">
        <f t="shared" si="0"/>
        <v>1.1320754716981132</v>
      </c>
      <c r="Y6" s="65">
        <f t="shared" si="1"/>
        <v>0.70754716981132071</v>
      </c>
      <c r="Z6" s="66">
        <v>22.3</v>
      </c>
      <c r="AA6" s="66" t="s">
        <v>23</v>
      </c>
      <c r="AB6" s="65"/>
    </row>
    <row r="7" spans="1:32" x14ac:dyDescent="0.4">
      <c r="A7" s="41"/>
      <c r="B7" s="41"/>
      <c r="C7" s="42">
        <v>4</v>
      </c>
      <c r="D7" s="42">
        <v>140</v>
      </c>
      <c r="E7" s="42">
        <v>56</v>
      </c>
      <c r="F7" s="41"/>
      <c r="G7" s="17"/>
      <c r="H7" s="17"/>
      <c r="I7" s="18">
        <v>4</v>
      </c>
      <c r="J7" s="18">
        <v>50</v>
      </c>
      <c r="K7" s="17"/>
      <c r="L7" s="12"/>
      <c r="M7" s="12"/>
      <c r="N7" s="13">
        <v>4</v>
      </c>
      <c r="O7" s="13">
        <v>50</v>
      </c>
      <c r="P7" s="13">
        <v>420</v>
      </c>
      <c r="Q7" s="12"/>
      <c r="R7" s="65"/>
      <c r="S7" s="65"/>
      <c r="T7" s="66">
        <v>4</v>
      </c>
      <c r="U7" s="66">
        <v>32</v>
      </c>
      <c r="V7" s="65">
        <v>1.07</v>
      </c>
      <c r="W7" s="65">
        <v>1.6</v>
      </c>
      <c r="X7" s="65">
        <f t="shared" si="0"/>
        <v>1.1214953271028036</v>
      </c>
      <c r="Y7" s="65">
        <f t="shared" si="1"/>
        <v>0.70093457943925219</v>
      </c>
      <c r="Z7" s="66">
        <v>22.3</v>
      </c>
      <c r="AA7" s="66" t="s">
        <v>23</v>
      </c>
      <c r="AB7" s="65"/>
    </row>
    <row r="8" spans="1:32" x14ac:dyDescent="0.4">
      <c r="A8" s="41"/>
      <c r="B8" s="41"/>
      <c r="C8" s="42">
        <v>5</v>
      </c>
      <c r="D8" s="42">
        <v>140</v>
      </c>
      <c r="E8" s="42">
        <v>56</v>
      </c>
      <c r="F8" s="41"/>
      <c r="G8" s="17"/>
      <c r="H8" s="17"/>
      <c r="I8" s="18">
        <v>5</v>
      </c>
      <c r="J8" s="18">
        <v>55</v>
      </c>
      <c r="K8" s="17"/>
      <c r="L8" s="12"/>
      <c r="M8" s="12"/>
      <c r="N8" s="13">
        <v>5</v>
      </c>
      <c r="O8" s="13">
        <v>55</v>
      </c>
      <c r="P8" s="13">
        <v>420</v>
      </c>
      <c r="Q8" s="12"/>
      <c r="R8" s="65"/>
      <c r="S8" s="65"/>
      <c r="T8" s="66">
        <v>5</v>
      </c>
      <c r="U8" s="66">
        <v>36</v>
      </c>
      <c r="V8" s="65">
        <v>1.08</v>
      </c>
      <c r="W8" s="65">
        <v>1.6</v>
      </c>
      <c r="X8" s="65">
        <f t="shared" si="0"/>
        <v>1.1111111111111109</v>
      </c>
      <c r="Y8" s="65">
        <f t="shared" si="1"/>
        <v>0.69444444444444431</v>
      </c>
      <c r="Z8" s="66">
        <v>22.3</v>
      </c>
      <c r="AA8" s="66" t="s">
        <v>23</v>
      </c>
      <c r="AB8" s="65"/>
    </row>
    <row r="9" spans="1:32" x14ac:dyDescent="0.4">
      <c r="A9" s="41"/>
      <c r="B9" s="41"/>
      <c r="C9" s="42">
        <v>6</v>
      </c>
      <c r="D9" s="42">
        <v>147</v>
      </c>
      <c r="E9" s="42">
        <v>58.8</v>
      </c>
      <c r="F9" s="41"/>
      <c r="G9" s="17"/>
      <c r="H9" s="17"/>
      <c r="I9" s="18">
        <v>6</v>
      </c>
      <c r="J9" s="18">
        <v>60</v>
      </c>
      <c r="K9" s="17"/>
      <c r="L9" s="12"/>
      <c r="M9" s="12"/>
      <c r="N9" s="13">
        <v>6</v>
      </c>
      <c r="O9" s="13">
        <v>60</v>
      </c>
      <c r="P9" s="13">
        <v>490</v>
      </c>
      <c r="Q9" s="12"/>
      <c r="R9" s="65"/>
      <c r="S9" s="65"/>
      <c r="T9" s="66">
        <v>6</v>
      </c>
      <c r="U9" s="66">
        <v>40</v>
      </c>
      <c r="V9" s="65">
        <v>1.08</v>
      </c>
      <c r="W9" s="65">
        <v>1.8</v>
      </c>
      <c r="X9" s="65">
        <f t="shared" si="0"/>
        <v>1.1111111111111109</v>
      </c>
      <c r="Y9" s="65">
        <f t="shared" si="1"/>
        <v>0.61728395061728381</v>
      </c>
      <c r="Z9" s="66">
        <v>25.5</v>
      </c>
      <c r="AA9" s="66" t="s">
        <v>24</v>
      </c>
      <c r="AB9" s="65"/>
    </row>
    <row r="10" spans="1:32" x14ac:dyDescent="0.4">
      <c r="A10" s="41"/>
      <c r="B10" s="41"/>
      <c r="C10" s="42">
        <v>7</v>
      </c>
      <c r="D10" s="42">
        <v>147</v>
      </c>
      <c r="E10" s="42">
        <v>58.8</v>
      </c>
      <c r="F10" s="41"/>
      <c r="G10" s="17"/>
      <c r="H10" s="17"/>
      <c r="I10" s="18">
        <v>7</v>
      </c>
      <c r="J10" s="18">
        <v>65</v>
      </c>
      <c r="K10" s="17"/>
      <c r="L10" s="12"/>
      <c r="M10" s="12"/>
      <c r="N10" s="13">
        <v>7</v>
      </c>
      <c r="O10" s="13">
        <v>66</v>
      </c>
      <c r="P10" s="13">
        <v>490</v>
      </c>
      <c r="Q10" s="12"/>
      <c r="R10" s="65"/>
      <c r="S10" s="65"/>
      <c r="T10" s="66">
        <v>7</v>
      </c>
      <c r="U10" s="66">
        <v>44</v>
      </c>
      <c r="V10" s="65">
        <v>1.0900000000000001</v>
      </c>
      <c r="W10" s="65">
        <v>1.8</v>
      </c>
      <c r="X10" s="65">
        <f t="shared" si="0"/>
        <v>1.1009174311926604</v>
      </c>
      <c r="Y10" s="65">
        <f t="shared" si="1"/>
        <v>0.61162079510703349</v>
      </c>
      <c r="Z10" s="66">
        <v>25.5</v>
      </c>
      <c r="AA10" s="66" t="s">
        <v>24</v>
      </c>
      <c r="AB10" s="65"/>
    </row>
    <row r="11" spans="1:32" x14ac:dyDescent="0.4">
      <c r="A11" s="41"/>
      <c r="B11" s="41"/>
      <c r="C11" s="42">
        <v>8</v>
      </c>
      <c r="D11" s="42">
        <v>147</v>
      </c>
      <c r="E11" s="42">
        <v>58.8</v>
      </c>
      <c r="F11" s="41"/>
      <c r="G11" s="17"/>
      <c r="H11" s="17"/>
      <c r="I11" s="18">
        <v>8</v>
      </c>
      <c r="J11" s="18">
        <v>70</v>
      </c>
      <c r="K11" s="17"/>
      <c r="L11" s="12"/>
      <c r="M11" s="12"/>
      <c r="N11" s="13">
        <v>8</v>
      </c>
      <c r="O11" s="13">
        <v>72</v>
      </c>
      <c r="P11" s="13">
        <v>490</v>
      </c>
      <c r="Q11" s="12"/>
      <c r="R11" s="65"/>
      <c r="S11" s="65"/>
      <c r="T11" s="66">
        <v>8</v>
      </c>
      <c r="U11" s="66">
        <v>48</v>
      </c>
      <c r="V11" s="65">
        <v>1.1000000000000001</v>
      </c>
      <c r="W11" s="65">
        <v>1.8</v>
      </c>
      <c r="X11" s="65">
        <f t="shared" si="0"/>
        <v>1.0909090909090908</v>
      </c>
      <c r="Y11" s="65">
        <f t="shared" si="1"/>
        <v>0.60606060606060597</v>
      </c>
      <c r="Z11" s="66">
        <v>25.5</v>
      </c>
      <c r="AA11" s="66" t="s">
        <v>24</v>
      </c>
      <c r="AB11" s="65"/>
    </row>
    <row r="12" spans="1:32" x14ac:dyDescent="0.4">
      <c r="A12" s="41"/>
      <c r="B12" s="41"/>
      <c r="C12" s="42">
        <v>9</v>
      </c>
      <c r="D12" s="42">
        <v>155</v>
      </c>
      <c r="E12" s="42">
        <v>62</v>
      </c>
      <c r="F12" s="41"/>
      <c r="G12" s="17"/>
      <c r="H12" s="17"/>
      <c r="I12" s="18">
        <v>9</v>
      </c>
      <c r="J12" s="18">
        <v>75</v>
      </c>
      <c r="K12" s="17"/>
      <c r="L12" s="12"/>
      <c r="M12" s="12"/>
      <c r="N12" s="13">
        <v>9</v>
      </c>
      <c r="O12" s="13">
        <v>78</v>
      </c>
      <c r="P12" s="13">
        <v>560</v>
      </c>
      <c r="Q12" s="12"/>
      <c r="R12" s="65"/>
      <c r="S12" s="65"/>
      <c r="T12" s="66">
        <v>9</v>
      </c>
      <c r="U12" s="66">
        <v>52</v>
      </c>
      <c r="V12" s="65">
        <v>1.1000000000000001</v>
      </c>
      <c r="W12" s="65">
        <v>1.8</v>
      </c>
      <c r="X12" s="65">
        <f t="shared" si="0"/>
        <v>1.0909090909090908</v>
      </c>
      <c r="Y12" s="65">
        <f t="shared" si="1"/>
        <v>0.60606060606060597</v>
      </c>
      <c r="Z12" s="66">
        <v>28.7</v>
      </c>
      <c r="AA12" s="66" t="s">
        <v>25</v>
      </c>
      <c r="AB12" s="65"/>
    </row>
    <row r="13" spans="1:32" x14ac:dyDescent="0.4">
      <c r="A13" s="41"/>
      <c r="B13" s="41"/>
      <c r="C13" s="42">
        <v>10</v>
      </c>
      <c r="D13" s="42">
        <v>155</v>
      </c>
      <c r="E13" s="42">
        <v>62</v>
      </c>
      <c r="F13" s="41"/>
      <c r="G13" s="17"/>
      <c r="H13" s="17"/>
      <c r="I13" s="18">
        <v>10</v>
      </c>
      <c r="J13" s="18">
        <v>80</v>
      </c>
      <c r="K13" s="17"/>
      <c r="L13" s="12"/>
      <c r="M13" s="12"/>
      <c r="N13" s="13">
        <v>10</v>
      </c>
      <c r="O13" s="13">
        <v>85</v>
      </c>
      <c r="P13" s="13">
        <v>560</v>
      </c>
      <c r="Q13" s="12"/>
      <c r="R13" s="65"/>
      <c r="S13" s="65"/>
      <c r="T13" s="66">
        <v>10</v>
      </c>
      <c r="U13" s="66">
        <v>56</v>
      </c>
      <c r="V13" s="65">
        <v>1.1100000000000001</v>
      </c>
      <c r="W13" s="65">
        <v>1.8</v>
      </c>
      <c r="X13" s="65">
        <f t="shared" si="0"/>
        <v>1.0810810810810809</v>
      </c>
      <c r="Y13" s="65">
        <f t="shared" si="1"/>
        <v>0.6006006006006005</v>
      </c>
      <c r="Z13" s="66">
        <v>28.7</v>
      </c>
      <c r="AA13" s="66" t="s">
        <v>25</v>
      </c>
      <c r="AB13" s="65"/>
    </row>
    <row r="14" spans="1:32" x14ac:dyDescent="0.4">
      <c r="A14" s="41"/>
      <c r="B14" s="41"/>
      <c r="C14" s="42">
        <v>11</v>
      </c>
      <c r="D14" s="42">
        <v>155</v>
      </c>
      <c r="E14" s="42">
        <v>62</v>
      </c>
      <c r="F14" s="41"/>
      <c r="G14" s="17"/>
      <c r="H14" s="17"/>
      <c r="I14" s="18">
        <v>11</v>
      </c>
      <c r="J14" s="18">
        <v>85</v>
      </c>
      <c r="K14" s="17"/>
      <c r="L14" s="12"/>
      <c r="M14" s="12"/>
      <c r="N14" s="13">
        <v>11</v>
      </c>
      <c r="O14" s="13">
        <v>92</v>
      </c>
      <c r="P14" s="13">
        <v>560</v>
      </c>
      <c r="Q14" s="12"/>
      <c r="R14" s="65"/>
      <c r="S14" s="65"/>
      <c r="T14" s="66">
        <v>11</v>
      </c>
      <c r="U14" s="66">
        <v>60</v>
      </c>
      <c r="V14" s="65">
        <v>1.1200000000000001</v>
      </c>
      <c r="W14" s="65">
        <v>1.8</v>
      </c>
      <c r="X14" s="65">
        <f t="shared" si="0"/>
        <v>1.0714285714285714</v>
      </c>
      <c r="Y14" s="65">
        <f t="shared" si="1"/>
        <v>0.59523809523809523</v>
      </c>
      <c r="Z14" s="66">
        <v>28.7</v>
      </c>
      <c r="AA14" s="66" t="s">
        <v>25</v>
      </c>
      <c r="AB14" s="65"/>
    </row>
    <row r="15" spans="1:32" x14ac:dyDescent="0.4">
      <c r="A15" s="41"/>
      <c r="B15" s="41"/>
      <c r="C15" s="42">
        <v>12</v>
      </c>
      <c r="D15" s="42">
        <v>162</v>
      </c>
      <c r="E15" s="42">
        <v>64.8</v>
      </c>
      <c r="F15" s="41"/>
      <c r="G15" s="17"/>
      <c r="H15" s="17"/>
      <c r="I15" s="18">
        <v>12</v>
      </c>
      <c r="J15" s="18">
        <v>90</v>
      </c>
      <c r="K15" s="17"/>
      <c r="L15" s="12"/>
      <c r="M15" s="12"/>
      <c r="N15" s="13">
        <v>12</v>
      </c>
      <c r="O15" s="13">
        <v>99</v>
      </c>
      <c r="P15" s="13">
        <v>630</v>
      </c>
      <c r="Q15" s="12"/>
      <c r="R15" s="65"/>
      <c r="S15" s="65"/>
      <c r="T15" s="66">
        <v>12</v>
      </c>
      <c r="U15" s="66">
        <v>64</v>
      </c>
      <c r="V15" s="65">
        <v>1.1200000000000001</v>
      </c>
      <c r="W15" s="65">
        <v>1.8</v>
      </c>
      <c r="X15" s="65">
        <f t="shared" si="0"/>
        <v>1.0714285714285714</v>
      </c>
      <c r="Y15" s="65">
        <f t="shared" si="1"/>
        <v>0.59523809523809523</v>
      </c>
      <c r="Z15" s="66">
        <v>32</v>
      </c>
      <c r="AA15" s="66" t="s">
        <v>26</v>
      </c>
      <c r="AB15" s="65"/>
    </row>
    <row r="16" spans="1:32" x14ac:dyDescent="0.4">
      <c r="A16" s="41"/>
      <c r="B16" s="41"/>
      <c r="C16" s="42">
        <v>13</v>
      </c>
      <c r="D16" s="42">
        <v>162</v>
      </c>
      <c r="E16" s="42">
        <v>64.8</v>
      </c>
      <c r="F16" s="41"/>
      <c r="G16" s="17"/>
      <c r="H16" s="17"/>
      <c r="I16" s="18">
        <v>13</v>
      </c>
      <c r="J16" s="18">
        <v>95</v>
      </c>
      <c r="K16" s="17"/>
      <c r="L16" s="12"/>
      <c r="M16" s="12"/>
      <c r="N16" s="13">
        <v>13</v>
      </c>
      <c r="O16" s="13">
        <v>105</v>
      </c>
      <c r="P16" s="13">
        <v>630</v>
      </c>
      <c r="Q16" s="12"/>
      <c r="R16" s="65"/>
      <c r="S16" s="65"/>
      <c r="T16" s="66">
        <v>13</v>
      </c>
      <c r="U16" s="66">
        <v>68</v>
      </c>
      <c r="V16" s="65">
        <v>1.1299999999999999</v>
      </c>
      <c r="W16" s="65">
        <v>1.8</v>
      </c>
      <c r="X16" s="65">
        <f t="shared" si="0"/>
        <v>1.0619469026548674</v>
      </c>
      <c r="Y16" s="65">
        <f t="shared" si="1"/>
        <v>0.58997050147492625</v>
      </c>
      <c r="Z16" s="66">
        <v>32</v>
      </c>
      <c r="AA16" s="66" t="s">
        <v>26</v>
      </c>
      <c r="AB16" s="65"/>
    </row>
    <row r="17" spans="1:28" x14ac:dyDescent="0.4">
      <c r="A17" s="41"/>
      <c r="B17" s="41"/>
      <c r="C17" s="42">
        <v>14</v>
      </c>
      <c r="D17" s="42">
        <v>162</v>
      </c>
      <c r="E17" s="42">
        <v>64.8</v>
      </c>
      <c r="F17" s="41"/>
      <c r="G17" s="17"/>
      <c r="H17" s="17"/>
      <c r="I17" s="18">
        <v>14</v>
      </c>
      <c r="J17" s="18">
        <v>100</v>
      </c>
      <c r="K17" s="17"/>
      <c r="L17" s="12"/>
      <c r="M17" s="12"/>
      <c r="N17" s="13">
        <v>14</v>
      </c>
      <c r="O17" s="13">
        <v>111</v>
      </c>
      <c r="P17" s="13">
        <v>630</v>
      </c>
      <c r="Q17" s="12"/>
      <c r="R17" s="65"/>
      <c r="S17" s="65"/>
      <c r="T17" s="66">
        <v>14</v>
      </c>
      <c r="U17" s="66">
        <v>72</v>
      </c>
      <c r="V17" s="65">
        <v>1.1400000000000001</v>
      </c>
      <c r="W17" s="65">
        <v>1.8</v>
      </c>
      <c r="X17" s="65">
        <f t="shared" si="0"/>
        <v>1.0526315789473684</v>
      </c>
      <c r="Y17" s="65">
        <f t="shared" si="1"/>
        <v>0.58479532163742687</v>
      </c>
      <c r="Z17" s="66">
        <v>32</v>
      </c>
      <c r="AA17" s="66" t="s">
        <v>26</v>
      </c>
      <c r="AB17" s="65"/>
    </row>
    <row r="18" spans="1:28" x14ac:dyDescent="0.4">
      <c r="A18" s="41"/>
      <c r="B18" s="41"/>
      <c r="C18" s="42">
        <v>15</v>
      </c>
      <c r="D18" s="42">
        <v>170</v>
      </c>
      <c r="E18" s="42">
        <v>68</v>
      </c>
      <c r="F18" s="41"/>
      <c r="G18" s="17"/>
      <c r="H18" s="17"/>
      <c r="I18" s="18">
        <v>15</v>
      </c>
      <c r="J18" s="18">
        <v>105</v>
      </c>
      <c r="K18" s="17"/>
      <c r="L18" s="12"/>
      <c r="M18" s="12"/>
      <c r="N18" s="13">
        <v>15</v>
      </c>
      <c r="O18" s="13">
        <v>117</v>
      </c>
      <c r="P18" s="13">
        <v>700</v>
      </c>
      <c r="Q18" s="12"/>
      <c r="R18" s="65"/>
      <c r="S18" s="65"/>
      <c r="T18" s="66">
        <v>15</v>
      </c>
      <c r="U18" s="66">
        <v>76</v>
      </c>
      <c r="V18" s="65">
        <v>1.1400000000000001</v>
      </c>
      <c r="W18" s="65">
        <v>2</v>
      </c>
      <c r="X18" s="65">
        <f t="shared" si="0"/>
        <v>1.0526315789473684</v>
      </c>
      <c r="Y18" s="65">
        <f t="shared" si="1"/>
        <v>0.52631578947368418</v>
      </c>
      <c r="Z18" s="66">
        <v>35.1</v>
      </c>
      <c r="AA18" s="66" t="s">
        <v>27</v>
      </c>
      <c r="AB18" s="65"/>
    </row>
    <row r="19" spans="1:28" x14ac:dyDescent="0.4">
      <c r="A19" s="41"/>
      <c r="B19" s="41"/>
      <c r="C19" s="42">
        <v>16</v>
      </c>
      <c r="D19" s="42">
        <v>170</v>
      </c>
      <c r="E19" s="42">
        <v>68</v>
      </c>
      <c r="F19" s="41"/>
      <c r="G19" s="17"/>
      <c r="H19" s="17"/>
      <c r="I19" s="18">
        <v>16</v>
      </c>
      <c r="J19" s="18">
        <v>110</v>
      </c>
      <c r="K19" s="17"/>
      <c r="L19" s="12"/>
      <c r="M19" s="12"/>
      <c r="N19" s="13">
        <v>16</v>
      </c>
      <c r="O19" s="13">
        <v>122</v>
      </c>
      <c r="P19" s="13">
        <v>700</v>
      </c>
      <c r="Q19" s="12"/>
      <c r="R19" s="65"/>
      <c r="S19" s="65"/>
      <c r="T19" s="66">
        <v>16</v>
      </c>
      <c r="U19" s="66">
        <v>80</v>
      </c>
      <c r="V19" s="65">
        <v>1.1499999999999999</v>
      </c>
      <c r="W19" s="65">
        <v>2</v>
      </c>
      <c r="X19" s="65">
        <f t="shared" si="0"/>
        <v>1.0434782608695652</v>
      </c>
      <c r="Y19" s="65">
        <f t="shared" si="1"/>
        <v>0.52173913043478259</v>
      </c>
      <c r="Z19" s="66">
        <v>35.1</v>
      </c>
      <c r="AA19" s="66" t="s">
        <v>27</v>
      </c>
      <c r="AB19" s="65"/>
    </row>
    <row r="20" spans="1:28" x14ac:dyDescent="0.4">
      <c r="A20" s="41"/>
      <c r="B20" s="41"/>
      <c r="C20" s="42">
        <v>17</v>
      </c>
      <c r="D20" s="42">
        <v>170</v>
      </c>
      <c r="E20" s="42">
        <v>68</v>
      </c>
      <c r="F20" s="41"/>
      <c r="G20" s="17"/>
      <c r="H20" s="17"/>
      <c r="I20" s="18">
        <v>17</v>
      </c>
      <c r="J20" s="18">
        <v>115</v>
      </c>
      <c r="K20" s="17"/>
      <c r="L20" s="12"/>
      <c r="M20" s="12"/>
      <c r="N20" s="13">
        <v>17</v>
      </c>
      <c r="O20" s="13">
        <v>127</v>
      </c>
      <c r="P20" s="13">
        <v>700</v>
      </c>
      <c r="Q20" s="12"/>
      <c r="R20" s="65"/>
      <c r="S20" s="65"/>
      <c r="T20" s="66">
        <v>17</v>
      </c>
      <c r="U20" s="66">
        <v>84</v>
      </c>
      <c r="V20" s="65">
        <v>1.1599999999999999</v>
      </c>
      <c r="W20" s="65">
        <v>2</v>
      </c>
      <c r="X20" s="65">
        <f t="shared" si="0"/>
        <v>1.0344827586206897</v>
      </c>
      <c r="Y20" s="65">
        <f t="shared" si="1"/>
        <v>0.51724137931034486</v>
      </c>
      <c r="Z20" s="66">
        <v>35.1</v>
      </c>
      <c r="AA20" s="66" t="s">
        <v>27</v>
      </c>
      <c r="AB20" s="65"/>
    </row>
    <row r="21" spans="1:28" x14ac:dyDescent="0.4">
      <c r="A21" s="41"/>
      <c r="B21" s="41"/>
      <c r="C21" s="42">
        <v>18</v>
      </c>
      <c r="D21" s="42">
        <v>177</v>
      </c>
      <c r="E21" s="42">
        <v>70.8</v>
      </c>
      <c r="F21" s="41"/>
      <c r="G21" s="17"/>
      <c r="H21" s="17"/>
      <c r="I21" s="18">
        <v>18</v>
      </c>
      <c r="J21" s="18">
        <v>120</v>
      </c>
      <c r="K21" s="17"/>
      <c r="L21" s="12"/>
      <c r="M21" s="12"/>
      <c r="N21" s="13">
        <v>18</v>
      </c>
      <c r="O21" s="13">
        <v>132</v>
      </c>
      <c r="P21" s="13">
        <v>770</v>
      </c>
      <c r="Q21" s="12"/>
      <c r="R21" s="65"/>
      <c r="S21" s="65"/>
      <c r="T21" s="66">
        <v>18</v>
      </c>
      <c r="U21" s="66">
        <v>88</v>
      </c>
      <c r="V21" s="65">
        <v>1.1599999999999999</v>
      </c>
      <c r="W21" s="65">
        <v>2</v>
      </c>
      <c r="X21" s="65">
        <f t="shared" si="0"/>
        <v>1.0344827586206897</v>
      </c>
      <c r="Y21" s="65">
        <f t="shared" si="1"/>
        <v>0.51724137931034486</v>
      </c>
      <c r="Z21" s="66">
        <v>38.299999999999997</v>
      </c>
      <c r="AA21" s="66" t="s">
        <v>28</v>
      </c>
      <c r="AB21" s="65"/>
    </row>
    <row r="22" spans="1:28" x14ac:dyDescent="0.4">
      <c r="A22" s="41"/>
      <c r="B22" s="41"/>
      <c r="C22" s="42">
        <v>19</v>
      </c>
      <c r="D22" s="42">
        <v>177</v>
      </c>
      <c r="E22" s="42">
        <v>70.8</v>
      </c>
      <c r="F22" s="41"/>
      <c r="G22" s="17"/>
      <c r="H22" s="17"/>
      <c r="I22" s="17"/>
      <c r="J22" s="17"/>
      <c r="K22" s="17"/>
      <c r="L22" s="12"/>
      <c r="M22" s="12"/>
      <c r="N22" s="13">
        <v>19</v>
      </c>
      <c r="O22" s="13">
        <v>136</v>
      </c>
      <c r="P22" s="13">
        <v>770</v>
      </c>
      <c r="Q22" s="12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</row>
    <row r="23" spans="1:28" x14ac:dyDescent="0.4">
      <c r="A23" s="41"/>
      <c r="B23" s="41"/>
      <c r="C23" s="42">
        <v>20</v>
      </c>
      <c r="D23" s="42">
        <v>177</v>
      </c>
      <c r="E23" s="42">
        <v>70.8</v>
      </c>
      <c r="F23" s="41"/>
      <c r="L23" s="12"/>
      <c r="M23" s="12"/>
      <c r="N23" s="13">
        <v>20</v>
      </c>
      <c r="O23" s="13">
        <v>140</v>
      </c>
      <c r="P23" s="13">
        <v>770</v>
      </c>
      <c r="Q23" s="12"/>
    </row>
    <row r="24" spans="1:28" x14ac:dyDescent="0.4">
      <c r="A24" s="41"/>
      <c r="B24" s="41"/>
      <c r="C24" s="42">
        <v>21</v>
      </c>
      <c r="D24" s="42">
        <v>185</v>
      </c>
      <c r="E24" s="42">
        <v>74</v>
      </c>
      <c r="F24" s="41"/>
      <c r="L24" s="12"/>
      <c r="M24" s="12"/>
      <c r="N24" s="13">
        <v>21</v>
      </c>
      <c r="O24" s="13">
        <v>144</v>
      </c>
      <c r="P24" s="13">
        <v>840</v>
      </c>
      <c r="Q24" s="12"/>
    </row>
    <row r="25" spans="1:28" x14ac:dyDescent="0.4">
      <c r="A25" s="41"/>
      <c r="B25" s="41"/>
      <c r="C25" s="42">
        <v>22</v>
      </c>
      <c r="D25" s="42">
        <v>185</v>
      </c>
      <c r="E25" s="42">
        <v>74</v>
      </c>
      <c r="F25" s="41"/>
      <c r="L25" s="12"/>
      <c r="M25" s="12"/>
      <c r="N25" s="13">
        <v>22</v>
      </c>
      <c r="O25" s="13">
        <v>148</v>
      </c>
      <c r="P25" s="13">
        <v>840</v>
      </c>
      <c r="Q25" s="12"/>
    </row>
    <row r="26" spans="1:28" x14ac:dyDescent="0.4">
      <c r="A26" s="41"/>
      <c r="B26" s="41"/>
      <c r="C26" s="42">
        <v>23</v>
      </c>
      <c r="D26" s="42">
        <v>185</v>
      </c>
      <c r="E26" s="42">
        <v>74</v>
      </c>
      <c r="F26" s="41"/>
      <c r="L26" s="12"/>
      <c r="M26" s="12"/>
      <c r="N26" s="13">
        <v>23</v>
      </c>
      <c r="O26" s="13">
        <v>152</v>
      </c>
      <c r="P26" s="13">
        <v>840</v>
      </c>
      <c r="Q26" s="12"/>
    </row>
    <row r="27" spans="1:28" x14ac:dyDescent="0.4">
      <c r="A27" s="41"/>
      <c r="B27" s="41"/>
      <c r="C27" s="42">
        <v>24</v>
      </c>
      <c r="D27" s="42">
        <v>192</v>
      </c>
      <c r="E27" s="42">
        <v>76.8</v>
      </c>
      <c r="F27" s="41"/>
      <c r="L27" s="12"/>
      <c r="M27" s="12"/>
      <c r="N27" s="13">
        <v>24</v>
      </c>
      <c r="O27" s="13">
        <v>156</v>
      </c>
      <c r="P27" s="13">
        <v>910</v>
      </c>
      <c r="Q27" s="12"/>
    </row>
    <row r="28" spans="1:28" x14ac:dyDescent="0.4">
      <c r="A28" s="41"/>
      <c r="B28" s="41"/>
      <c r="C28" s="42">
        <v>25</v>
      </c>
      <c r="D28" s="42">
        <v>192</v>
      </c>
      <c r="E28" s="42">
        <v>76.8</v>
      </c>
      <c r="F28" s="41"/>
      <c r="L28" s="12"/>
      <c r="M28" s="12"/>
      <c r="N28" s="13">
        <v>25</v>
      </c>
      <c r="O28" s="13">
        <v>160</v>
      </c>
      <c r="P28" s="13">
        <v>910</v>
      </c>
      <c r="Q28" s="12"/>
    </row>
    <row r="29" spans="1:28" x14ac:dyDescent="0.4">
      <c r="A29" s="41"/>
      <c r="B29" s="41"/>
      <c r="C29" s="42">
        <v>26</v>
      </c>
      <c r="D29" s="42">
        <v>192</v>
      </c>
      <c r="E29" s="42">
        <v>76.8</v>
      </c>
      <c r="F29" s="41"/>
      <c r="L29" s="12"/>
      <c r="M29" s="12"/>
      <c r="N29" s="13">
        <v>26</v>
      </c>
      <c r="O29" s="13">
        <v>164</v>
      </c>
      <c r="P29" s="13">
        <v>910</v>
      </c>
      <c r="Q29" s="12"/>
    </row>
    <row r="30" spans="1:28" x14ac:dyDescent="0.4">
      <c r="A30" s="41"/>
      <c r="B30" s="41"/>
      <c r="C30" s="42">
        <v>27</v>
      </c>
      <c r="D30" s="42">
        <v>200</v>
      </c>
      <c r="E30" s="42">
        <v>80</v>
      </c>
      <c r="F30" s="41"/>
      <c r="L30" s="12"/>
      <c r="M30" s="12"/>
      <c r="N30" s="13">
        <v>27</v>
      </c>
      <c r="O30" s="13">
        <v>168</v>
      </c>
      <c r="P30" s="13">
        <v>980</v>
      </c>
      <c r="Q30" s="12"/>
    </row>
    <row r="31" spans="1:28" x14ac:dyDescent="0.4">
      <c r="A31" s="41"/>
      <c r="B31" s="41"/>
      <c r="C31" s="41"/>
      <c r="D31" s="41"/>
      <c r="E31" s="41"/>
      <c r="F31" s="41"/>
      <c r="L31" s="12"/>
      <c r="M31" s="12"/>
      <c r="N31" s="12"/>
      <c r="O31" s="12"/>
      <c r="P31" s="12"/>
      <c r="Q31" s="12"/>
    </row>
  </sheetData>
  <mergeCells count="10">
    <mergeCell ref="AE1:AF4"/>
    <mergeCell ref="C1:D2"/>
    <mergeCell ref="I1:J2"/>
    <mergeCell ref="N1:O2"/>
    <mergeCell ref="T1:U2"/>
    <mergeCell ref="A1:B4"/>
    <mergeCell ref="G1:H4"/>
    <mergeCell ref="L1:M4"/>
    <mergeCell ref="R1:S4"/>
    <mergeCell ref="AC1:AD4"/>
  </mergeCells>
  <phoneticPr fontId="2" type="noConversion"/>
  <conditionalFormatting sqref="C4:C30">
    <cfRule type="expression" dxfId="2" priority="1">
      <formula>MOD(C4,3)=0</formula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01D69-D7AA-4F83-B6FC-29363E89A063}">
  <sheetPr>
    <tabColor rgb="FFFF0000"/>
  </sheetPr>
  <dimension ref="A1:AJ23"/>
  <sheetViews>
    <sheetView zoomScale="85" zoomScaleNormal="100" workbookViewId="0">
      <selection activeCell="AI14" sqref="AI14"/>
    </sheetView>
  </sheetViews>
  <sheetFormatPr defaultRowHeight="14.6" x14ac:dyDescent="0.4"/>
  <cols>
    <col min="15" max="15" width="11.23046875" customWidth="1"/>
    <col min="16" max="16" width="10.4609375" customWidth="1"/>
    <col min="21" max="21" width="10.15234375" customWidth="1"/>
    <col min="28" max="28" width="10.23046875" customWidth="1"/>
    <col min="35" max="35" width="12.84375" customWidth="1"/>
  </cols>
  <sheetData>
    <row r="1" spans="1:36" ht="14.6" customHeight="1" x14ac:dyDescent="0.4">
      <c r="A1" s="4"/>
      <c r="B1" s="4"/>
      <c r="C1" s="246" t="s">
        <v>35</v>
      </c>
      <c r="D1" s="246"/>
      <c r="E1" s="4"/>
      <c r="F1" s="7"/>
      <c r="G1" s="7"/>
      <c r="H1" s="248" t="s">
        <v>49</v>
      </c>
      <c r="I1" s="248"/>
      <c r="J1" s="7"/>
      <c r="K1" s="4"/>
      <c r="L1" s="4"/>
      <c r="M1" s="246" t="s">
        <v>50</v>
      </c>
      <c r="N1" s="246"/>
      <c r="O1" s="4"/>
      <c r="P1" s="4"/>
      <c r="Q1" s="4"/>
      <c r="R1" s="12"/>
      <c r="S1" s="12"/>
      <c r="T1" s="244" t="s">
        <v>51</v>
      </c>
      <c r="U1" s="244"/>
      <c r="V1" s="12"/>
      <c r="W1" s="228" t="e" vm="19">
        <v>#VALUE!</v>
      </c>
      <c r="X1" s="228"/>
      <c r="Y1" s="249" t="s">
        <v>123</v>
      </c>
      <c r="Z1" s="249"/>
      <c r="AA1" s="20"/>
      <c r="AB1" s="20"/>
      <c r="AC1" s="20"/>
      <c r="AD1" s="247" t="e" vm="20">
        <v>#VALUE!</v>
      </c>
      <c r="AE1" s="247"/>
      <c r="AF1" s="246" t="s">
        <v>122</v>
      </c>
      <c r="AG1" s="246"/>
      <c r="AH1" s="4"/>
      <c r="AI1" s="4"/>
      <c r="AJ1" s="4"/>
    </row>
    <row r="2" spans="1:36" ht="14.6" customHeight="1" x14ac:dyDescent="0.4">
      <c r="A2" s="4"/>
      <c r="B2" s="4"/>
      <c r="C2" s="246"/>
      <c r="D2" s="246"/>
      <c r="E2" s="4"/>
      <c r="F2" s="7"/>
      <c r="G2" s="7"/>
      <c r="H2" s="248"/>
      <c r="I2" s="248"/>
      <c r="J2" s="7"/>
      <c r="K2" s="4"/>
      <c r="L2" s="4"/>
      <c r="M2" s="246"/>
      <c r="N2" s="246"/>
      <c r="O2" s="4"/>
      <c r="P2" s="4"/>
      <c r="Q2" s="4"/>
      <c r="R2" s="12"/>
      <c r="S2" s="12"/>
      <c r="T2" s="244"/>
      <c r="U2" s="244"/>
      <c r="V2" s="12"/>
      <c r="W2" s="228"/>
      <c r="X2" s="228"/>
      <c r="Y2" s="249"/>
      <c r="Z2" s="249"/>
      <c r="AA2" s="20"/>
      <c r="AB2" s="20"/>
      <c r="AC2" s="20"/>
      <c r="AD2" s="247"/>
      <c r="AE2" s="247"/>
      <c r="AF2" s="246"/>
      <c r="AG2" s="246"/>
      <c r="AH2" s="4"/>
      <c r="AI2" s="4"/>
      <c r="AJ2" s="4"/>
    </row>
    <row r="3" spans="1:36" x14ac:dyDescent="0.4">
      <c r="A3" s="4"/>
      <c r="B3" s="4"/>
      <c r="C3" s="4" t="s">
        <v>2</v>
      </c>
      <c r="D3" s="68" t="s">
        <v>0</v>
      </c>
      <c r="E3" s="4"/>
      <c r="F3" s="7"/>
      <c r="G3" s="7"/>
      <c r="H3" s="7" t="s">
        <v>2</v>
      </c>
      <c r="I3" s="69" t="s">
        <v>0</v>
      </c>
      <c r="J3" s="7"/>
      <c r="K3" s="4"/>
      <c r="L3" s="4"/>
      <c r="M3" s="4" t="s">
        <v>2</v>
      </c>
      <c r="N3" s="68" t="s">
        <v>11</v>
      </c>
      <c r="O3" s="4" t="s">
        <v>12</v>
      </c>
      <c r="P3" s="4" t="s">
        <v>13</v>
      </c>
      <c r="Q3" s="4"/>
      <c r="R3" s="12"/>
      <c r="S3" s="12"/>
      <c r="T3" s="12" t="s">
        <v>2</v>
      </c>
      <c r="U3" s="70" t="s">
        <v>52</v>
      </c>
      <c r="V3" s="12"/>
      <c r="W3" s="228"/>
      <c r="X3" s="228"/>
      <c r="Y3" s="20" t="s">
        <v>2</v>
      </c>
      <c r="Z3" s="20" t="s">
        <v>3</v>
      </c>
      <c r="AA3" s="20" t="s">
        <v>4</v>
      </c>
      <c r="AB3" s="20" t="s">
        <v>134</v>
      </c>
      <c r="AC3" s="20"/>
      <c r="AD3" s="247"/>
      <c r="AE3" s="247"/>
      <c r="AF3" s="4" t="s">
        <v>2</v>
      </c>
      <c r="AG3" s="4" t="s">
        <v>3</v>
      </c>
      <c r="AH3" s="4" t="s">
        <v>4</v>
      </c>
      <c r="AI3" s="4" t="s">
        <v>135</v>
      </c>
      <c r="AJ3" s="4"/>
    </row>
    <row r="4" spans="1:36" x14ac:dyDescent="0.4">
      <c r="A4" s="4"/>
      <c r="B4" s="4"/>
      <c r="C4" s="67">
        <v>1</v>
      </c>
      <c r="D4" s="6">
        <v>1000</v>
      </c>
      <c r="E4" s="4"/>
      <c r="F4" s="7"/>
      <c r="G4" s="7"/>
      <c r="H4" s="8">
        <v>1</v>
      </c>
      <c r="I4" s="8">
        <v>750</v>
      </c>
      <c r="J4" s="7"/>
      <c r="K4" s="4"/>
      <c r="L4" s="4"/>
      <c r="M4" s="5">
        <v>1</v>
      </c>
      <c r="N4" s="9">
        <v>0.14499999999999999</v>
      </c>
      <c r="O4" s="4">
        <v>2</v>
      </c>
      <c r="P4" s="10">
        <v>0.33333333333333331</v>
      </c>
      <c r="Q4" s="4"/>
      <c r="R4" s="12"/>
      <c r="S4" s="12"/>
      <c r="T4" s="13">
        <v>1</v>
      </c>
      <c r="U4" s="13">
        <v>420</v>
      </c>
      <c r="V4" s="12"/>
      <c r="W4" s="228"/>
      <c r="X4" s="228"/>
      <c r="Y4" s="21">
        <v>1</v>
      </c>
      <c r="Z4" s="21">
        <v>108</v>
      </c>
      <c r="AA4" s="21">
        <v>172.8</v>
      </c>
      <c r="AB4" s="21">
        <v>3</v>
      </c>
      <c r="AC4" s="20"/>
      <c r="AD4" s="247"/>
      <c r="AE4" s="247"/>
      <c r="AF4" s="5">
        <v>1</v>
      </c>
      <c r="AG4" s="5">
        <v>178</v>
      </c>
      <c r="AH4" s="5">
        <v>178</v>
      </c>
      <c r="AI4" s="5">
        <v>6</v>
      </c>
      <c r="AJ4" s="4"/>
    </row>
    <row r="5" spans="1:36" x14ac:dyDescent="0.4">
      <c r="A5" s="4"/>
      <c r="B5" s="4"/>
      <c r="C5" s="67">
        <v>2</v>
      </c>
      <c r="D5" s="6">
        <v>1000</v>
      </c>
      <c r="E5" s="4"/>
      <c r="F5" s="7"/>
      <c r="G5" s="7"/>
      <c r="H5" s="8">
        <v>2</v>
      </c>
      <c r="I5" s="8">
        <v>750</v>
      </c>
      <c r="J5" s="7"/>
      <c r="K5" s="4"/>
      <c r="L5" s="4"/>
      <c r="M5" s="5">
        <v>2</v>
      </c>
      <c r="N5" s="11">
        <v>0.17</v>
      </c>
      <c r="O5" s="4">
        <v>3</v>
      </c>
      <c r="P5" s="10">
        <v>0.2</v>
      </c>
      <c r="Q5" s="4"/>
      <c r="R5" s="12"/>
      <c r="S5" s="12"/>
      <c r="T5" s="13">
        <v>2</v>
      </c>
      <c r="U5" s="13">
        <v>480</v>
      </c>
      <c r="V5" s="12"/>
      <c r="W5" s="20"/>
      <c r="X5" s="20"/>
      <c r="Y5" s="21">
        <v>2</v>
      </c>
      <c r="Z5" s="21">
        <v>116</v>
      </c>
      <c r="AA5" s="21">
        <v>185.6</v>
      </c>
      <c r="AB5" s="21">
        <v>3</v>
      </c>
      <c r="AC5" s="20"/>
      <c r="AD5" s="4"/>
      <c r="AE5" s="4"/>
      <c r="AF5" s="5">
        <v>2</v>
      </c>
      <c r="AG5" s="5">
        <v>186</v>
      </c>
      <c r="AH5" s="5">
        <v>186</v>
      </c>
      <c r="AI5" s="5">
        <v>6</v>
      </c>
      <c r="AJ5" s="4"/>
    </row>
    <row r="6" spans="1:36" x14ac:dyDescent="0.4">
      <c r="A6" s="4"/>
      <c r="B6" s="4"/>
      <c r="C6" s="67">
        <v>3</v>
      </c>
      <c r="D6" s="6">
        <v>1250</v>
      </c>
      <c r="E6" s="4"/>
      <c r="F6" s="7"/>
      <c r="G6" s="7"/>
      <c r="H6" s="8">
        <v>3</v>
      </c>
      <c r="I6" s="8">
        <v>850</v>
      </c>
      <c r="J6" s="7"/>
      <c r="K6" s="4"/>
      <c r="L6" s="4"/>
      <c r="M6" s="4">
        <v>3</v>
      </c>
      <c r="N6" s="11">
        <v>0.21</v>
      </c>
      <c r="O6" s="4">
        <v>4</v>
      </c>
      <c r="P6" s="10">
        <v>0.14285714285714285</v>
      </c>
      <c r="Q6" s="4"/>
      <c r="R6" s="12"/>
      <c r="S6" s="12"/>
      <c r="T6" s="13">
        <v>3</v>
      </c>
      <c r="U6" s="13">
        <v>540</v>
      </c>
      <c r="V6" s="12"/>
      <c r="W6" s="20"/>
      <c r="X6" s="20"/>
      <c r="Y6" s="21">
        <v>3</v>
      </c>
      <c r="Z6" s="21">
        <v>124</v>
      </c>
      <c r="AA6" s="21">
        <v>198.4</v>
      </c>
      <c r="AB6" s="21">
        <v>3</v>
      </c>
      <c r="AC6" s="20"/>
      <c r="AD6" s="4"/>
      <c r="AE6" s="4"/>
      <c r="AF6" s="5">
        <v>3</v>
      </c>
      <c r="AG6" s="5">
        <v>194</v>
      </c>
      <c r="AH6" s="5">
        <v>194</v>
      </c>
      <c r="AI6" s="5">
        <v>6</v>
      </c>
      <c r="AJ6" s="4"/>
    </row>
    <row r="7" spans="1:36" x14ac:dyDescent="0.4">
      <c r="A7" s="4"/>
      <c r="B7" s="4"/>
      <c r="C7" s="67">
        <v>4</v>
      </c>
      <c r="D7" s="6">
        <v>1250</v>
      </c>
      <c r="E7" s="4"/>
      <c r="F7" s="7"/>
      <c r="G7" s="7"/>
      <c r="H7" s="8">
        <v>4</v>
      </c>
      <c r="I7" s="8">
        <v>850</v>
      </c>
      <c r="J7" s="7"/>
      <c r="K7" s="4"/>
      <c r="L7" s="4"/>
      <c r="M7" s="5">
        <v>4</v>
      </c>
      <c r="N7" s="11">
        <v>0.24</v>
      </c>
      <c r="O7" s="4"/>
      <c r="P7" s="4"/>
      <c r="Q7" s="4"/>
      <c r="R7" s="12"/>
      <c r="S7" s="12"/>
      <c r="T7" s="13">
        <v>4</v>
      </c>
      <c r="U7" s="13">
        <v>600</v>
      </c>
      <c r="V7" s="12"/>
      <c r="W7" s="20"/>
      <c r="X7" s="20"/>
      <c r="Y7" s="21">
        <v>4</v>
      </c>
      <c r="Z7" s="21">
        <v>132</v>
      </c>
      <c r="AA7" s="21">
        <v>211.2</v>
      </c>
      <c r="AB7" s="21">
        <v>3</v>
      </c>
      <c r="AC7" s="20"/>
      <c r="AD7" s="4"/>
      <c r="AE7" s="4"/>
      <c r="AF7" s="5">
        <v>4</v>
      </c>
      <c r="AG7" s="5">
        <v>202</v>
      </c>
      <c r="AH7" s="5">
        <v>202</v>
      </c>
      <c r="AI7" s="5">
        <v>6</v>
      </c>
      <c r="AJ7" s="4"/>
    </row>
    <row r="8" spans="1:36" x14ac:dyDescent="0.4">
      <c r="A8" s="4"/>
      <c r="B8" s="4"/>
      <c r="C8" s="67">
        <v>5</v>
      </c>
      <c r="D8" s="6">
        <v>1250</v>
      </c>
      <c r="E8" s="4"/>
      <c r="F8" s="7"/>
      <c r="G8" s="7"/>
      <c r="H8" s="8">
        <v>5</v>
      </c>
      <c r="I8" s="8">
        <v>850</v>
      </c>
      <c r="J8" s="7"/>
      <c r="K8" s="4"/>
      <c r="L8" s="4"/>
      <c r="M8" s="3">
        <v>5</v>
      </c>
      <c r="N8" s="11">
        <v>0.28999999999999998</v>
      </c>
      <c r="O8" s="4"/>
      <c r="P8" s="4"/>
      <c r="Q8" s="4"/>
      <c r="R8" s="12"/>
      <c r="S8" s="12"/>
      <c r="T8" s="3">
        <v>5</v>
      </c>
      <c r="U8" s="13">
        <v>660</v>
      </c>
      <c r="V8" s="12"/>
      <c r="W8" s="20"/>
      <c r="X8" s="20"/>
      <c r="Y8" s="21">
        <v>5</v>
      </c>
      <c r="Z8" s="21">
        <v>140</v>
      </c>
      <c r="AA8" s="21">
        <v>224</v>
      </c>
      <c r="AB8" s="21">
        <v>3.5</v>
      </c>
      <c r="AC8" s="20"/>
      <c r="AD8" s="4"/>
      <c r="AE8" s="4"/>
      <c r="AF8" s="5">
        <v>5</v>
      </c>
      <c r="AG8" s="5">
        <v>210</v>
      </c>
      <c r="AH8" s="5">
        <v>210</v>
      </c>
      <c r="AI8" s="5">
        <v>7</v>
      </c>
      <c r="AJ8" s="4"/>
    </row>
    <row r="9" spans="1:36" x14ac:dyDescent="0.4">
      <c r="A9" s="4"/>
      <c r="B9" s="4"/>
      <c r="C9" s="67">
        <v>6</v>
      </c>
      <c r="D9" s="6">
        <v>1500</v>
      </c>
      <c r="E9" s="4"/>
      <c r="F9" s="7"/>
      <c r="G9" s="7"/>
      <c r="H9" s="8">
        <v>6</v>
      </c>
      <c r="I9" s="8">
        <v>1000</v>
      </c>
      <c r="J9" s="7"/>
      <c r="K9" s="4"/>
      <c r="L9" s="4"/>
      <c r="M9" s="4"/>
      <c r="N9" s="4"/>
      <c r="O9" s="4"/>
      <c r="P9" s="4"/>
      <c r="Q9" s="4"/>
      <c r="R9" s="12"/>
      <c r="S9" s="12"/>
      <c r="T9" s="12"/>
      <c r="U9" s="12"/>
      <c r="V9" s="12"/>
      <c r="W9" s="20"/>
      <c r="X9" s="20"/>
      <c r="Y9" s="21">
        <v>6</v>
      </c>
      <c r="Z9" s="21">
        <v>148</v>
      </c>
      <c r="AA9" s="21">
        <v>236.8</v>
      </c>
      <c r="AB9" s="21">
        <v>3.5</v>
      </c>
      <c r="AC9" s="20"/>
      <c r="AD9" s="4"/>
      <c r="AE9" s="4"/>
      <c r="AF9" s="5">
        <v>6</v>
      </c>
      <c r="AG9" s="5">
        <v>218</v>
      </c>
      <c r="AH9" s="5">
        <v>218</v>
      </c>
      <c r="AI9" s="5">
        <v>7</v>
      </c>
      <c r="AJ9" s="4"/>
    </row>
    <row r="10" spans="1:36" x14ac:dyDescent="0.4">
      <c r="A10" s="4"/>
      <c r="B10" s="4"/>
      <c r="C10" s="67">
        <v>7</v>
      </c>
      <c r="D10" s="6">
        <v>1500</v>
      </c>
      <c r="E10" s="4"/>
      <c r="F10" s="7"/>
      <c r="G10" s="7"/>
      <c r="H10" s="8">
        <v>7</v>
      </c>
      <c r="I10" s="8">
        <v>1000</v>
      </c>
      <c r="J10" s="7"/>
      <c r="K10" s="4"/>
      <c r="L10" s="4"/>
      <c r="M10" s="4"/>
      <c r="N10" s="4"/>
      <c r="O10" s="4"/>
      <c r="P10" s="4"/>
      <c r="Q10" s="4"/>
      <c r="R10" s="12"/>
      <c r="S10" s="12"/>
      <c r="T10" s="12"/>
      <c r="U10" s="12"/>
      <c r="V10" s="12"/>
      <c r="W10" s="20"/>
      <c r="X10" s="20"/>
      <c r="Y10" s="21">
        <v>7</v>
      </c>
      <c r="Z10" s="21">
        <v>156</v>
      </c>
      <c r="AA10" s="21">
        <v>249.6</v>
      </c>
      <c r="AB10" s="21">
        <v>3.5</v>
      </c>
      <c r="AC10" s="20"/>
      <c r="AD10" s="4"/>
      <c r="AE10" s="4"/>
      <c r="AF10" s="5">
        <v>7</v>
      </c>
      <c r="AG10" s="5">
        <v>226</v>
      </c>
      <c r="AH10" s="5">
        <v>226</v>
      </c>
      <c r="AI10" s="5">
        <v>7</v>
      </c>
      <c r="AJ10" s="4"/>
    </row>
    <row r="11" spans="1:36" x14ac:dyDescent="0.4">
      <c r="A11" s="4"/>
      <c r="B11" s="4"/>
      <c r="C11" s="67">
        <v>8</v>
      </c>
      <c r="D11" s="6">
        <v>1500</v>
      </c>
      <c r="E11" s="4"/>
      <c r="F11" s="7"/>
      <c r="G11" s="7"/>
      <c r="H11" s="8">
        <v>8</v>
      </c>
      <c r="I11" s="8">
        <v>1000</v>
      </c>
      <c r="J11" s="7"/>
      <c r="W11" s="20"/>
      <c r="X11" s="20"/>
      <c r="Y11" s="21">
        <v>8</v>
      </c>
      <c r="Z11" s="21">
        <v>164</v>
      </c>
      <c r="AA11" s="21">
        <v>262.39999999999998</v>
      </c>
      <c r="AB11" s="21">
        <v>3.5</v>
      </c>
      <c r="AC11" s="20"/>
      <c r="AD11" s="4"/>
      <c r="AE11" s="4"/>
      <c r="AF11" s="5">
        <v>8</v>
      </c>
      <c r="AG11" s="5">
        <v>234</v>
      </c>
      <c r="AH11" s="5">
        <v>234</v>
      </c>
      <c r="AI11" s="5">
        <v>7</v>
      </c>
      <c r="AJ11" s="4"/>
    </row>
    <row r="12" spans="1:36" x14ac:dyDescent="0.4">
      <c r="A12" s="4"/>
      <c r="B12" s="4"/>
      <c r="C12" s="67">
        <v>9</v>
      </c>
      <c r="D12" s="6">
        <v>1750</v>
      </c>
      <c r="E12" s="4"/>
      <c r="F12" s="7"/>
      <c r="G12" s="7"/>
      <c r="H12" s="8">
        <v>9</v>
      </c>
      <c r="I12" s="8">
        <v>1200</v>
      </c>
      <c r="J12" s="7"/>
      <c r="W12" s="20"/>
      <c r="X12" s="20"/>
      <c r="Y12" s="21">
        <v>9</v>
      </c>
      <c r="Z12" s="21">
        <v>172</v>
      </c>
      <c r="AA12" s="21">
        <v>275.60000000000002</v>
      </c>
      <c r="AB12" s="21">
        <v>3.5</v>
      </c>
      <c r="AC12" s="20"/>
      <c r="AD12" s="4"/>
      <c r="AE12" s="4"/>
      <c r="AF12" s="5">
        <v>9</v>
      </c>
      <c r="AG12" s="5">
        <v>242</v>
      </c>
      <c r="AH12" s="5">
        <v>242</v>
      </c>
      <c r="AI12" s="5">
        <v>7</v>
      </c>
      <c r="AJ12" s="4"/>
    </row>
    <row r="13" spans="1:36" x14ac:dyDescent="0.4">
      <c r="A13" s="4"/>
      <c r="B13" s="4"/>
      <c r="C13" s="67">
        <v>10</v>
      </c>
      <c r="D13" s="6">
        <v>1750</v>
      </c>
      <c r="E13" s="4"/>
      <c r="F13" s="7"/>
      <c r="G13" s="7"/>
      <c r="H13" s="8">
        <v>10</v>
      </c>
      <c r="I13" s="8">
        <v>1200</v>
      </c>
      <c r="J13" s="7"/>
      <c r="W13" s="20"/>
      <c r="X13" s="20"/>
      <c r="Y13" s="21">
        <v>10</v>
      </c>
      <c r="Z13" s="21">
        <v>180</v>
      </c>
      <c r="AA13" s="21">
        <v>288</v>
      </c>
      <c r="AB13" s="21">
        <v>4.5</v>
      </c>
      <c r="AC13" s="20"/>
      <c r="AD13" s="4"/>
      <c r="AE13" s="4"/>
      <c r="AF13" s="5">
        <v>10</v>
      </c>
      <c r="AG13" s="5">
        <v>250</v>
      </c>
      <c r="AH13" s="5">
        <v>250</v>
      </c>
      <c r="AI13" s="5">
        <v>8</v>
      </c>
      <c r="AJ13" s="4"/>
    </row>
    <row r="14" spans="1:36" x14ac:dyDescent="0.4">
      <c r="A14" s="4"/>
      <c r="B14" s="4"/>
      <c r="C14" s="67">
        <v>11</v>
      </c>
      <c r="D14" s="6">
        <v>1750</v>
      </c>
      <c r="E14" s="4"/>
      <c r="F14" s="7"/>
      <c r="G14" s="7"/>
      <c r="H14" s="8">
        <v>11</v>
      </c>
      <c r="I14" s="8">
        <v>1200</v>
      </c>
      <c r="J14" s="7"/>
      <c r="W14" s="20"/>
      <c r="X14" s="20"/>
      <c r="Y14" s="20"/>
      <c r="Z14" s="20"/>
      <c r="AA14" s="20"/>
      <c r="AB14" s="20"/>
      <c r="AC14" s="20"/>
      <c r="AD14" s="4"/>
      <c r="AE14" s="4"/>
      <c r="AF14" s="4"/>
      <c r="AG14" s="4"/>
      <c r="AH14" s="4"/>
      <c r="AI14" s="4"/>
      <c r="AJ14" s="4"/>
    </row>
    <row r="15" spans="1:36" x14ac:dyDescent="0.4">
      <c r="A15" s="4"/>
      <c r="B15" s="4"/>
      <c r="C15" s="67">
        <v>12</v>
      </c>
      <c r="D15" s="6">
        <v>2000</v>
      </c>
      <c r="E15" s="4"/>
      <c r="F15" s="7"/>
      <c r="G15" s="7"/>
      <c r="H15" s="8">
        <v>12</v>
      </c>
      <c r="I15" s="8">
        <v>1500</v>
      </c>
      <c r="J15" s="7"/>
      <c r="W15" s="20"/>
      <c r="X15" s="20"/>
      <c r="Y15" s="20"/>
      <c r="Z15" s="20"/>
      <c r="AA15" s="20"/>
      <c r="AB15" s="20"/>
      <c r="AC15" s="20"/>
      <c r="AD15" s="4"/>
      <c r="AE15" s="4"/>
      <c r="AF15" s="4"/>
      <c r="AG15" s="4"/>
      <c r="AH15" s="4"/>
      <c r="AI15" s="4"/>
      <c r="AJ15" s="4"/>
    </row>
    <row r="16" spans="1:36" x14ac:dyDescent="0.4">
      <c r="A16" s="4"/>
      <c r="B16" s="4"/>
      <c r="C16" s="67">
        <v>13</v>
      </c>
      <c r="D16" s="6">
        <v>2000</v>
      </c>
      <c r="E16" s="4"/>
      <c r="F16" s="7"/>
      <c r="G16" s="7"/>
      <c r="H16" s="8">
        <v>13</v>
      </c>
      <c r="I16" s="8">
        <v>1500</v>
      </c>
      <c r="J16" s="7"/>
      <c r="W16" s="20"/>
      <c r="X16" s="20"/>
      <c r="Y16" s="20"/>
      <c r="Z16" s="20"/>
      <c r="AA16" s="20"/>
      <c r="AB16" s="20"/>
      <c r="AC16" s="20"/>
      <c r="AD16" s="4"/>
      <c r="AE16" s="4"/>
      <c r="AF16" s="4"/>
      <c r="AG16" s="4"/>
      <c r="AH16" s="4"/>
      <c r="AI16" s="4"/>
      <c r="AJ16" s="4"/>
    </row>
    <row r="17" spans="1:36" x14ac:dyDescent="0.4">
      <c r="A17" s="4"/>
      <c r="B17" s="4"/>
      <c r="C17" s="67">
        <v>14</v>
      </c>
      <c r="D17" s="6">
        <v>2000</v>
      </c>
      <c r="E17" s="4"/>
      <c r="F17" s="7"/>
      <c r="G17" s="7"/>
      <c r="H17" s="8">
        <v>14</v>
      </c>
      <c r="I17" s="8">
        <v>1500</v>
      </c>
      <c r="J17" s="7"/>
      <c r="W17" s="20"/>
      <c r="X17" s="20"/>
      <c r="Y17" s="20"/>
      <c r="Z17" s="20"/>
      <c r="AA17" s="20"/>
      <c r="AB17" s="20"/>
      <c r="AC17" s="20"/>
      <c r="AD17" s="4"/>
      <c r="AE17" s="4"/>
      <c r="AF17" s="4"/>
      <c r="AG17" s="4"/>
      <c r="AH17" s="4"/>
      <c r="AI17" s="4"/>
      <c r="AJ17" s="4"/>
    </row>
    <row r="18" spans="1:36" x14ac:dyDescent="0.4">
      <c r="A18" s="4"/>
      <c r="B18" s="4"/>
      <c r="C18" s="67">
        <v>15</v>
      </c>
      <c r="D18" s="6">
        <v>2250</v>
      </c>
      <c r="E18" s="4"/>
      <c r="F18" s="7"/>
      <c r="G18" s="7"/>
      <c r="H18" s="8">
        <v>15</v>
      </c>
      <c r="I18" s="8">
        <v>1750</v>
      </c>
      <c r="J18" s="7"/>
      <c r="W18" s="20"/>
      <c r="X18" s="20"/>
      <c r="Y18" s="20"/>
      <c r="Z18" s="20"/>
      <c r="AA18" s="20"/>
      <c r="AB18" s="20"/>
      <c r="AC18" s="20"/>
      <c r="AD18" s="4"/>
      <c r="AE18" s="4"/>
      <c r="AF18" s="4"/>
      <c r="AG18" s="4"/>
      <c r="AH18" s="4"/>
      <c r="AI18" s="4"/>
      <c r="AJ18" s="4"/>
    </row>
    <row r="19" spans="1:36" x14ac:dyDescent="0.4">
      <c r="A19" s="4"/>
      <c r="B19" s="4"/>
      <c r="C19" s="67">
        <v>16</v>
      </c>
      <c r="D19" s="6">
        <v>2250</v>
      </c>
      <c r="E19" s="4"/>
      <c r="F19" s="7"/>
      <c r="G19" s="7"/>
      <c r="H19" s="8">
        <v>16</v>
      </c>
      <c r="I19" s="8">
        <v>1750</v>
      </c>
      <c r="J19" s="7"/>
    </row>
    <row r="20" spans="1:36" x14ac:dyDescent="0.4">
      <c r="A20" s="4"/>
      <c r="B20" s="4"/>
      <c r="C20" s="67">
        <v>17</v>
      </c>
      <c r="D20" s="6">
        <v>2250</v>
      </c>
      <c r="E20" s="4"/>
      <c r="F20" s="7"/>
      <c r="G20" s="7"/>
      <c r="H20" s="8">
        <v>17</v>
      </c>
      <c r="I20" s="8">
        <v>1750</v>
      </c>
      <c r="J20" s="7"/>
    </row>
    <row r="21" spans="1:36" x14ac:dyDescent="0.4">
      <c r="A21" s="4"/>
      <c r="B21" s="4"/>
      <c r="C21" s="67">
        <v>18</v>
      </c>
      <c r="D21" s="6">
        <v>2500</v>
      </c>
      <c r="E21" s="4"/>
      <c r="F21" s="7"/>
      <c r="G21" s="7"/>
      <c r="H21" s="8">
        <v>18</v>
      </c>
      <c r="I21" s="8">
        <v>1950</v>
      </c>
      <c r="J21" s="7"/>
    </row>
    <row r="22" spans="1:36" x14ac:dyDescent="0.4">
      <c r="A22" s="4"/>
      <c r="B22" s="4"/>
      <c r="C22" s="4"/>
      <c r="D22" s="4"/>
      <c r="E22" s="4"/>
      <c r="F22" s="7"/>
      <c r="G22" s="7"/>
      <c r="H22" s="7"/>
      <c r="I22" s="7"/>
      <c r="J22" s="7"/>
    </row>
    <row r="23" spans="1:36" x14ac:dyDescent="0.4">
      <c r="A23" s="4"/>
      <c r="B23" s="4"/>
      <c r="C23" s="4"/>
      <c r="D23" s="4"/>
      <c r="E23" s="4"/>
      <c r="F23" s="7"/>
      <c r="G23" s="7"/>
      <c r="H23" s="7"/>
      <c r="I23" s="7"/>
      <c r="J23" s="7"/>
    </row>
  </sheetData>
  <mergeCells count="8">
    <mergeCell ref="AF1:AG2"/>
    <mergeCell ref="W1:X4"/>
    <mergeCell ref="AD1:AE4"/>
    <mergeCell ref="C1:D2"/>
    <mergeCell ref="H1:I2"/>
    <mergeCell ref="M1:N2"/>
    <mergeCell ref="T1:U2"/>
    <mergeCell ref="Y1:Z2"/>
  </mergeCells>
  <conditionalFormatting sqref="C4:C21">
    <cfRule type="expression" dxfId="1" priority="2">
      <formula>MOD(C4,3)=0</formula>
    </cfRule>
  </conditionalFormatting>
  <conditionalFormatting sqref="H4:H21">
    <cfRule type="expression" dxfId="0" priority="1">
      <formula>MOD(H4,3)=0</formula>
    </cfRule>
  </conditionalFormatting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A0E9F-47DA-4CD6-835D-B01326775417}">
  <sheetPr>
    <tabColor theme="9" tint="-0.499984740745262"/>
  </sheetPr>
  <dimension ref="A1:CB25"/>
  <sheetViews>
    <sheetView topLeftCell="X1" workbookViewId="0">
      <selection activeCell="BA13" sqref="BA13"/>
    </sheetView>
  </sheetViews>
  <sheetFormatPr defaultRowHeight="14.6" x14ac:dyDescent="0.4"/>
  <sheetData>
    <row r="1" spans="1:80" x14ac:dyDescent="0.4">
      <c r="A1" s="250" t="e" vm="21">
        <v>#VALUE!</v>
      </c>
      <c r="B1" s="248" t="s">
        <v>64</v>
      </c>
      <c r="C1" s="248"/>
      <c r="D1" s="7"/>
      <c r="E1" s="162" t="e" vm="22">
        <v>#VALUE!</v>
      </c>
      <c r="F1" s="257" t="s">
        <v>65</v>
      </c>
      <c r="G1" s="257"/>
      <c r="H1" s="36"/>
      <c r="I1" s="185" t="e" vm="23">
        <v>#VALUE!</v>
      </c>
      <c r="J1" s="258" t="s">
        <v>66</v>
      </c>
      <c r="K1" s="258"/>
      <c r="L1" s="26"/>
      <c r="M1" s="253" t="e" vm="24">
        <v>#VALUE!</v>
      </c>
      <c r="N1" s="259" t="s">
        <v>67</v>
      </c>
      <c r="O1" s="259"/>
      <c r="P1" s="29"/>
      <c r="Q1" s="239" t="e" vm="25">
        <v>#VALUE!</v>
      </c>
      <c r="R1" s="242" t="s">
        <v>68</v>
      </c>
      <c r="S1" s="242"/>
      <c r="T1" s="41"/>
      <c r="U1" s="247" t="e" vm="26">
        <v>#VALUE!</v>
      </c>
      <c r="V1" s="246" t="s">
        <v>69</v>
      </c>
      <c r="W1" s="246"/>
      <c r="X1" s="4"/>
      <c r="Y1" s="252" t="e" vm="27">
        <v>#VALUE!</v>
      </c>
      <c r="Z1" s="254" t="s">
        <v>70</v>
      </c>
      <c r="AA1" s="254"/>
      <c r="AB1" s="44"/>
      <c r="AC1" s="251" t="e" vm="28">
        <v>#VALUE!</v>
      </c>
      <c r="AD1" s="255" t="s">
        <v>71</v>
      </c>
      <c r="AE1" s="255"/>
      <c r="AF1" s="47"/>
      <c r="AG1" s="223" t="e" vm="29">
        <v>#VALUE!</v>
      </c>
      <c r="AH1" s="264" t="s">
        <v>54</v>
      </c>
      <c r="AI1" s="264"/>
      <c r="AJ1" s="14"/>
      <c r="AK1" s="247" t="e" vm="30">
        <v>#VALUE!</v>
      </c>
      <c r="AL1" s="246" t="s">
        <v>55</v>
      </c>
      <c r="AM1" s="246"/>
      <c r="AN1" s="4"/>
      <c r="AO1" s="240" t="e" vm="31">
        <v>#VALUE!</v>
      </c>
      <c r="AP1" s="243" t="s">
        <v>56</v>
      </c>
      <c r="AQ1" s="243"/>
      <c r="AR1" s="17"/>
      <c r="AS1" s="228" t="e" vm="32">
        <v>#VALUE!</v>
      </c>
      <c r="AT1" s="249" t="s">
        <v>57</v>
      </c>
      <c r="AU1" s="249"/>
      <c r="AV1" s="20"/>
      <c r="AW1" s="261" t="e" vm="33">
        <v>#VALUE!</v>
      </c>
      <c r="AX1" s="265" t="s">
        <v>58</v>
      </c>
      <c r="AY1" s="265"/>
      <c r="AZ1" s="23"/>
      <c r="BA1" s="185" t="e" vm="34">
        <v>#VALUE!</v>
      </c>
      <c r="BB1" s="258" t="s">
        <v>59</v>
      </c>
      <c r="BC1" s="258"/>
      <c r="BD1" s="26"/>
      <c r="BE1" s="253" t="e" vm="35">
        <v>#VALUE!</v>
      </c>
      <c r="BF1" s="259" t="s">
        <v>60</v>
      </c>
      <c r="BG1" s="259"/>
      <c r="BH1" s="29"/>
      <c r="BI1" s="268" t="e" vm="36">
        <v>#VALUE!</v>
      </c>
      <c r="BJ1" s="260" t="s">
        <v>61</v>
      </c>
      <c r="BK1" s="260"/>
      <c r="BL1" s="31"/>
      <c r="BM1" s="154" t="e" vm="37">
        <v>#VALUE!</v>
      </c>
      <c r="BN1" s="256" t="s">
        <v>72</v>
      </c>
      <c r="BO1" s="256"/>
      <c r="BP1" s="50"/>
      <c r="BQ1" s="266" t="e" vm="38">
        <v>#VALUE!</v>
      </c>
      <c r="BR1" s="262" t="s">
        <v>73</v>
      </c>
      <c r="BS1" s="262"/>
      <c r="BT1" s="262"/>
      <c r="BU1" s="168" t="e" vm="39">
        <v>#VALUE!</v>
      </c>
      <c r="BV1" s="244" t="s">
        <v>62</v>
      </c>
      <c r="BW1" s="244"/>
      <c r="BX1" s="12"/>
      <c r="BY1" s="267" t="e" vm="40">
        <v>#VALUE!</v>
      </c>
      <c r="BZ1" s="263" t="s">
        <v>63</v>
      </c>
      <c r="CA1" s="263"/>
      <c r="CB1" s="56"/>
    </row>
    <row r="2" spans="1:80" x14ac:dyDescent="0.4">
      <c r="A2" s="250"/>
      <c r="B2" s="248"/>
      <c r="C2" s="248"/>
      <c r="D2" s="7"/>
      <c r="E2" s="162"/>
      <c r="F2" s="257"/>
      <c r="G2" s="257"/>
      <c r="H2" s="36"/>
      <c r="I2" s="185"/>
      <c r="J2" s="258"/>
      <c r="K2" s="258"/>
      <c r="L2" s="26"/>
      <c r="M2" s="253"/>
      <c r="N2" s="259"/>
      <c r="O2" s="259"/>
      <c r="P2" s="29"/>
      <c r="Q2" s="239"/>
      <c r="R2" s="242"/>
      <c r="S2" s="242"/>
      <c r="T2" s="41"/>
      <c r="U2" s="247"/>
      <c r="V2" s="246"/>
      <c r="W2" s="246"/>
      <c r="X2" s="4"/>
      <c r="Y2" s="252"/>
      <c r="Z2" s="254"/>
      <c r="AA2" s="254"/>
      <c r="AB2" s="44"/>
      <c r="AC2" s="251"/>
      <c r="AD2" s="255"/>
      <c r="AE2" s="255"/>
      <c r="AF2" s="47"/>
      <c r="AG2" s="223"/>
      <c r="AH2" s="264"/>
      <c r="AI2" s="264"/>
      <c r="AJ2" s="14"/>
      <c r="AK2" s="247"/>
      <c r="AL2" s="246"/>
      <c r="AM2" s="246"/>
      <c r="AN2" s="4"/>
      <c r="AO2" s="240"/>
      <c r="AP2" s="243"/>
      <c r="AQ2" s="243"/>
      <c r="AR2" s="17"/>
      <c r="AS2" s="228"/>
      <c r="AT2" s="249"/>
      <c r="AU2" s="249"/>
      <c r="AV2" s="20"/>
      <c r="AW2" s="261"/>
      <c r="AX2" s="265"/>
      <c r="AY2" s="265"/>
      <c r="AZ2" s="23"/>
      <c r="BA2" s="185"/>
      <c r="BB2" s="258"/>
      <c r="BC2" s="258"/>
      <c r="BD2" s="26"/>
      <c r="BE2" s="253"/>
      <c r="BF2" s="259"/>
      <c r="BG2" s="259"/>
      <c r="BH2" s="29"/>
      <c r="BI2" s="268"/>
      <c r="BJ2" s="260"/>
      <c r="BK2" s="260"/>
      <c r="BL2" s="31"/>
      <c r="BM2" s="154"/>
      <c r="BN2" s="256"/>
      <c r="BO2" s="256"/>
      <c r="BP2" s="50"/>
      <c r="BQ2" s="266"/>
      <c r="BR2" s="262"/>
      <c r="BS2" s="262"/>
      <c r="BT2" s="262"/>
      <c r="BU2" s="168"/>
      <c r="BV2" s="244"/>
      <c r="BW2" s="244"/>
      <c r="BX2" s="12"/>
      <c r="BY2" s="267"/>
      <c r="BZ2" s="263"/>
      <c r="CA2" s="263"/>
      <c r="CB2" s="56"/>
    </row>
    <row r="3" spans="1:80" x14ac:dyDescent="0.4">
      <c r="A3" s="7"/>
      <c r="B3" s="7" t="s">
        <v>16</v>
      </c>
      <c r="C3" s="69" t="s">
        <v>1</v>
      </c>
      <c r="D3" s="7"/>
      <c r="E3" s="36"/>
      <c r="F3" s="36" t="s">
        <v>16</v>
      </c>
      <c r="G3" s="80" t="s">
        <v>1</v>
      </c>
      <c r="H3" s="36"/>
      <c r="I3" s="26"/>
      <c r="J3" s="26" t="s">
        <v>16</v>
      </c>
      <c r="K3" s="76" t="s">
        <v>1</v>
      </c>
      <c r="L3" s="26"/>
      <c r="M3" s="29"/>
      <c r="N3" s="29" t="s">
        <v>16</v>
      </c>
      <c r="O3" s="77" t="s">
        <v>1</v>
      </c>
      <c r="P3" s="29"/>
      <c r="Q3" s="41"/>
      <c r="R3" s="41" t="s">
        <v>16</v>
      </c>
      <c r="S3" s="81" t="s">
        <v>1</v>
      </c>
      <c r="T3" s="41"/>
      <c r="U3" s="4"/>
      <c r="V3" s="4" t="s">
        <v>16</v>
      </c>
      <c r="W3" s="68" t="s">
        <v>1</v>
      </c>
      <c r="X3" s="4"/>
      <c r="Y3" s="44"/>
      <c r="Z3" s="44" t="s">
        <v>16</v>
      </c>
      <c r="AA3" s="82" t="s">
        <v>1</v>
      </c>
      <c r="AB3" s="44"/>
      <c r="AC3" s="47"/>
      <c r="AD3" s="47" t="s">
        <v>16</v>
      </c>
      <c r="AE3" s="83" t="s">
        <v>1</v>
      </c>
      <c r="AF3" s="47"/>
      <c r="AG3" s="14"/>
      <c r="AH3" s="14" t="s">
        <v>14</v>
      </c>
      <c r="AI3" s="72" t="s">
        <v>1</v>
      </c>
      <c r="AJ3" s="14"/>
      <c r="AK3" s="4"/>
      <c r="AL3" s="4" t="s">
        <v>16</v>
      </c>
      <c r="AM3" s="68" t="s">
        <v>1</v>
      </c>
      <c r="AN3" s="4"/>
      <c r="AO3" s="17"/>
      <c r="AP3" s="17" t="s">
        <v>16</v>
      </c>
      <c r="AQ3" s="73" t="s">
        <v>1</v>
      </c>
      <c r="AR3" s="17"/>
      <c r="AS3" s="20"/>
      <c r="AT3" s="20" t="s">
        <v>16</v>
      </c>
      <c r="AU3" s="74" t="s">
        <v>1</v>
      </c>
      <c r="AV3" s="20"/>
      <c r="AW3" s="23"/>
      <c r="AX3" s="23" t="s">
        <v>16</v>
      </c>
      <c r="AY3" s="75" t="s">
        <v>1</v>
      </c>
      <c r="AZ3" s="23"/>
      <c r="BA3" s="26"/>
      <c r="BB3" s="26" t="s">
        <v>16</v>
      </c>
      <c r="BC3" s="76" t="s">
        <v>1</v>
      </c>
      <c r="BD3" s="26"/>
      <c r="BE3" s="29"/>
      <c r="BF3" s="29" t="s">
        <v>16</v>
      </c>
      <c r="BG3" s="77" t="s">
        <v>1</v>
      </c>
      <c r="BH3" s="29"/>
      <c r="BI3" s="31"/>
      <c r="BJ3" s="31" t="s">
        <v>16</v>
      </c>
      <c r="BK3" s="78" t="s">
        <v>1</v>
      </c>
      <c r="BL3" s="31"/>
      <c r="BM3" s="50"/>
      <c r="BN3" s="50" t="s">
        <v>16</v>
      </c>
      <c r="BO3" s="84" t="s">
        <v>1</v>
      </c>
      <c r="BP3" s="50"/>
      <c r="BQ3" s="53"/>
      <c r="BR3" s="53" t="s">
        <v>16</v>
      </c>
      <c r="BS3" s="85" t="s">
        <v>1</v>
      </c>
      <c r="BT3" s="53"/>
      <c r="BU3" s="12"/>
      <c r="BV3" s="12" t="s">
        <v>16</v>
      </c>
      <c r="BW3" s="70" t="s">
        <v>1</v>
      </c>
      <c r="BX3" s="12"/>
      <c r="BY3" s="56"/>
      <c r="BZ3" s="56" t="s">
        <v>16</v>
      </c>
      <c r="CA3" s="79" t="s">
        <v>1</v>
      </c>
      <c r="CB3" s="56"/>
    </row>
    <row r="4" spans="1:80" x14ac:dyDescent="0.4">
      <c r="A4" s="7"/>
      <c r="B4" s="8">
        <v>1</v>
      </c>
      <c r="C4" s="8">
        <v>300</v>
      </c>
      <c r="D4" s="7"/>
      <c r="E4" s="36"/>
      <c r="F4" s="37">
        <v>1</v>
      </c>
      <c r="G4" s="37">
        <v>380</v>
      </c>
      <c r="H4" s="36"/>
      <c r="I4" s="26"/>
      <c r="J4" s="27">
        <v>1</v>
      </c>
      <c r="K4" s="27">
        <v>400</v>
      </c>
      <c r="L4" s="26"/>
      <c r="M4" s="29"/>
      <c r="N4" s="39">
        <v>1</v>
      </c>
      <c r="O4" s="39">
        <v>800</v>
      </c>
      <c r="P4" s="29"/>
      <c r="Q4" s="41"/>
      <c r="R4" s="42">
        <v>1</v>
      </c>
      <c r="S4" s="42">
        <v>620</v>
      </c>
      <c r="T4" s="41"/>
      <c r="U4" s="4"/>
      <c r="V4" s="5">
        <v>1</v>
      </c>
      <c r="W4" s="5">
        <v>750</v>
      </c>
      <c r="X4" s="4"/>
      <c r="Y4" s="44"/>
      <c r="Z4" s="45">
        <v>1</v>
      </c>
      <c r="AA4" s="45">
        <v>600</v>
      </c>
      <c r="AB4" s="44"/>
      <c r="AC4" s="47"/>
      <c r="AD4" s="48">
        <v>1</v>
      </c>
      <c r="AE4" s="48">
        <v>650</v>
      </c>
      <c r="AF4" s="47"/>
      <c r="AG4" s="14"/>
      <c r="AH4" s="15">
        <v>1</v>
      </c>
      <c r="AI4" s="16">
        <v>1500</v>
      </c>
      <c r="AJ4" s="14"/>
      <c r="AK4" s="4"/>
      <c r="AL4" s="5">
        <v>1</v>
      </c>
      <c r="AM4" s="6">
        <v>1500</v>
      </c>
      <c r="AN4" s="4"/>
      <c r="AO4" s="17"/>
      <c r="AP4" s="18">
        <v>1</v>
      </c>
      <c r="AQ4" s="19">
        <v>4000</v>
      </c>
      <c r="AR4" s="17"/>
      <c r="AS4" s="20"/>
      <c r="AT4" s="20">
        <v>1</v>
      </c>
      <c r="AU4" s="20">
        <v>400</v>
      </c>
      <c r="AV4" s="20"/>
      <c r="AW4" s="23"/>
      <c r="AX4" s="24">
        <v>1</v>
      </c>
      <c r="AY4" s="25">
        <v>3600</v>
      </c>
      <c r="AZ4" s="23"/>
      <c r="BA4" s="26"/>
      <c r="BB4" s="26">
        <v>1</v>
      </c>
      <c r="BC4" s="26">
        <v>250</v>
      </c>
      <c r="BD4" s="26"/>
      <c r="BE4" s="29"/>
      <c r="BF4" s="29">
        <v>1</v>
      </c>
      <c r="BG4" s="30">
        <v>2500</v>
      </c>
      <c r="BH4" s="29"/>
      <c r="BI4" s="31"/>
      <c r="BJ4" s="32">
        <v>1</v>
      </c>
      <c r="BK4" s="33">
        <v>4747</v>
      </c>
      <c r="BL4" s="31"/>
      <c r="BM4" s="50"/>
      <c r="BN4" s="51">
        <v>1</v>
      </c>
      <c r="BO4" s="52">
        <v>5400</v>
      </c>
      <c r="BP4" s="50"/>
      <c r="BQ4" s="53"/>
      <c r="BR4" s="54">
        <v>1</v>
      </c>
      <c r="BS4" s="55">
        <v>5000</v>
      </c>
      <c r="BT4" s="53"/>
      <c r="BU4" s="12"/>
      <c r="BV4" s="13">
        <v>1</v>
      </c>
      <c r="BW4" s="34">
        <v>4500</v>
      </c>
      <c r="BX4" s="12"/>
      <c r="BY4" s="56"/>
      <c r="BZ4" s="57">
        <v>1</v>
      </c>
      <c r="CA4" s="58">
        <v>4000</v>
      </c>
      <c r="CB4" s="56"/>
    </row>
    <row r="5" spans="1:80" x14ac:dyDescent="0.4">
      <c r="A5" s="7"/>
      <c r="B5" s="8">
        <v>2</v>
      </c>
      <c r="C5" s="8">
        <v>360</v>
      </c>
      <c r="D5" s="7"/>
      <c r="E5" s="36"/>
      <c r="F5" s="37">
        <v>2</v>
      </c>
      <c r="G5" s="37">
        <v>420</v>
      </c>
      <c r="H5" s="36"/>
      <c r="I5" s="26"/>
      <c r="J5" s="27">
        <v>2</v>
      </c>
      <c r="K5" s="27">
        <v>450</v>
      </c>
      <c r="L5" s="26"/>
      <c r="M5" s="29"/>
      <c r="N5" s="39">
        <v>2</v>
      </c>
      <c r="O5" s="39">
        <v>850</v>
      </c>
      <c r="P5" s="29"/>
      <c r="Q5" s="41"/>
      <c r="R5" s="42">
        <v>2</v>
      </c>
      <c r="S5" s="42">
        <v>650</v>
      </c>
      <c r="T5" s="41"/>
      <c r="U5" s="4"/>
      <c r="V5" s="5">
        <v>2</v>
      </c>
      <c r="W5" s="5">
        <v>800</v>
      </c>
      <c r="X5" s="4"/>
      <c r="Y5" s="44"/>
      <c r="Z5" s="45">
        <v>2</v>
      </c>
      <c r="AA5" s="45">
        <v>630</v>
      </c>
      <c r="AB5" s="44"/>
      <c r="AC5" s="47"/>
      <c r="AD5" s="48">
        <v>2</v>
      </c>
      <c r="AE5" s="48">
        <v>700</v>
      </c>
      <c r="AF5" s="47"/>
      <c r="AG5" s="14"/>
      <c r="AH5" s="15">
        <v>2</v>
      </c>
      <c r="AI5" s="16">
        <v>1900</v>
      </c>
      <c r="AJ5" s="14"/>
      <c r="AK5" s="4"/>
      <c r="AL5" s="5">
        <v>2</v>
      </c>
      <c r="AM5" s="6">
        <v>1800</v>
      </c>
      <c r="AN5" s="4"/>
      <c r="AO5" s="17" t="s">
        <v>17</v>
      </c>
      <c r="AP5" s="18">
        <v>2</v>
      </c>
      <c r="AQ5" s="19">
        <v>4400</v>
      </c>
      <c r="AR5" s="17"/>
      <c r="AS5" s="20"/>
      <c r="AT5" s="20">
        <v>2</v>
      </c>
      <c r="AU5" s="20">
        <v>800</v>
      </c>
      <c r="AV5" s="20"/>
      <c r="AW5" s="23"/>
      <c r="AX5" s="24">
        <v>2</v>
      </c>
      <c r="AY5" s="25">
        <v>4200</v>
      </c>
      <c r="AZ5" s="23"/>
      <c r="BA5" s="26"/>
      <c r="BB5" s="27">
        <v>2</v>
      </c>
      <c r="BC5" s="28">
        <v>1000</v>
      </c>
      <c r="BD5" s="26"/>
      <c r="BE5" s="29"/>
      <c r="BF5" s="29">
        <v>2</v>
      </c>
      <c r="BG5" s="30">
        <v>2800</v>
      </c>
      <c r="BH5" s="29"/>
      <c r="BI5" s="31"/>
      <c r="BJ5" s="32">
        <v>2</v>
      </c>
      <c r="BK5" s="33">
        <v>5050</v>
      </c>
      <c r="BL5" s="31"/>
      <c r="BM5" s="50"/>
      <c r="BN5" s="51">
        <v>2</v>
      </c>
      <c r="BO5" s="52">
        <v>5700</v>
      </c>
      <c r="BP5" s="50"/>
      <c r="BQ5" s="53"/>
      <c r="BR5" s="54">
        <v>2</v>
      </c>
      <c r="BS5" s="55">
        <v>5200</v>
      </c>
      <c r="BT5" s="53"/>
      <c r="BU5" s="12"/>
      <c r="BV5" s="13">
        <v>2</v>
      </c>
      <c r="BW5" s="34">
        <v>5000</v>
      </c>
      <c r="BX5" s="12"/>
      <c r="BY5" s="56"/>
      <c r="BZ5" s="57">
        <v>2</v>
      </c>
      <c r="CA5" s="58">
        <v>4200</v>
      </c>
      <c r="CB5" s="56"/>
    </row>
    <row r="6" spans="1:80" x14ac:dyDescent="0.4">
      <c r="A6" s="7"/>
      <c r="B6" s="8">
        <v>3</v>
      </c>
      <c r="C6" s="8">
        <v>420</v>
      </c>
      <c r="D6" s="7"/>
      <c r="E6" s="36"/>
      <c r="F6" s="37">
        <v>3</v>
      </c>
      <c r="G6" s="37">
        <v>460</v>
      </c>
      <c r="H6" s="36"/>
      <c r="I6" s="26"/>
      <c r="J6" s="27">
        <v>3</v>
      </c>
      <c r="K6" s="27">
        <v>500</v>
      </c>
      <c r="L6" s="26"/>
      <c r="M6" s="29"/>
      <c r="N6" s="39">
        <v>3</v>
      </c>
      <c r="O6" s="39">
        <v>900</v>
      </c>
      <c r="P6" s="29"/>
      <c r="Q6" s="41"/>
      <c r="R6" s="42">
        <v>3</v>
      </c>
      <c r="S6" s="42">
        <v>680</v>
      </c>
      <c r="T6" s="41"/>
      <c r="U6" s="4"/>
      <c r="V6" s="5">
        <v>3</v>
      </c>
      <c r="W6" s="5">
        <v>850</v>
      </c>
      <c r="X6" s="4"/>
      <c r="Y6" s="44"/>
      <c r="Z6" s="45">
        <v>3</v>
      </c>
      <c r="AA6" s="45">
        <v>660</v>
      </c>
      <c r="AB6" s="44"/>
      <c r="AC6" s="47"/>
      <c r="AD6" s="48">
        <v>3</v>
      </c>
      <c r="AE6" s="48">
        <v>750</v>
      </c>
      <c r="AF6" s="47"/>
      <c r="AG6" s="14"/>
      <c r="AH6" s="15">
        <v>3</v>
      </c>
      <c r="AI6" s="16">
        <v>2300</v>
      </c>
      <c r="AJ6" s="14"/>
      <c r="AK6" s="4"/>
      <c r="AL6" s="5">
        <v>3</v>
      </c>
      <c r="AM6" s="6">
        <v>2100</v>
      </c>
      <c r="AN6" s="4"/>
      <c r="AO6" s="17"/>
      <c r="AP6" s="18">
        <v>3</v>
      </c>
      <c r="AQ6" s="19">
        <v>4800</v>
      </c>
      <c r="AR6" s="17"/>
      <c r="AS6" s="20"/>
      <c r="AT6" s="20">
        <v>3</v>
      </c>
      <c r="AU6" s="113">
        <v>1600</v>
      </c>
      <c r="AV6" s="20"/>
      <c r="AW6" s="23"/>
      <c r="AX6" s="24">
        <v>3</v>
      </c>
      <c r="AY6" s="25">
        <v>4800</v>
      </c>
      <c r="AZ6" s="23"/>
      <c r="BA6" s="26"/>
      <c r="BB6" s="27">
        <v>3</v>
      </c>
      <c r="BC6" s="28">
        <v>1300</v>
      </c>
      <c r="BD6" s="26"/>
      <c r="BE6" s="29"/>
      <c r="BF6" s="29">
        <v>3</v>
      </c>
      <c r="BG6" s="30">
        <v>3100</v>
      </c>
      <c r="BH6" s="29"/>
      <c r="BI6" s="31"/>
      <c r="BJ6" s="32">
        <v>3</v>
      </c>
      <c r="BK6" s="33">
        <v>5353</v>
      </c>
      <c r="BL6" s="31"/>
      <c r="BM6" s="50"/>
      <c r="BN6" s="51">
        <v>3</v>
      </c>
      <c r="BO6" s="52">
        <v>6000</v>
      </c>
      <c r="BP6" s="50"/>
      <c r="BQ6" s="53"/>
      <c r="BR6" s="54">
        <v>3</v>
      </c>
      <c r="BS6" s="55">
        <v>5400</v>
      </c>
      <c r="BT6" s="53"/>
      <c r="BU6" s="12" t="s">
        <v>15</v>
      </c>
      <c r="BV6" s="13">
        <v>3</v>
      </c>
      <c r="BW6" s="34">
        <v>5000</v>
      </c>
      <c r="BX6" s="12"/>
      <c r="BY6" s="56" t="s">
        <v>15</v>
      </c>
      <c r="BZ6" s="57">
        <v>3</v>
      </c>
      <c r="CA6" s="58">
        <v>4200</v>
      </c>
      <c r="CB6" s="56"/>
    </row>
    <row r="7" spans="1:80" x14ac:dyDescent="0.4">
      <c r="A7" s="7"/>
      <c r="B7" s="8">
        <v>4</v>
      </c>
      <c r="C7" s="8">
        <v>500</v>
      </c>
      <c r="D7" s="7"/>
      <c r="E7" s="36"/>
      <c r="F7" s="37">
        <v>4</v>
      </c>
      <c r="G7" s="37">
        <v>500</v>
      </c>
      <c r="H7" s="36"/>
      <c r="I7" s="26"/>
      <c r="J7" s="27">
        <v>4</v>
      </c>
      <c r="K7" s="27">
        <v>550</v>
      </c>
      <c r="L7" s="26"/>
      <c r="M7" s="29"/>
      <c r="N7" s="39">
        <v>4</v>
      </c>
      <c r="O7" s="39">
        <v>950</v>
      </c>
      <c r="P7" s="29"/>
      <c r="Q7" s="41"/>
      <c r="R7" s="42">
        <v>4</v>
      </c>
      <c r="S7" s="42">
        <v>730</v>
      </c>
      <c r="T7" s="41"/>
      <c r="U7" s="4"/>
      <c r="V7" s="5">
        <v>4</v>
      </c>
      <c r="W7" s="5">
        <v>900</v>
      </c>
      <c r="X7" s="4"/>
      <c r="Y7" s="44"/>
      <c r="Z7" s="45">
        <v>4</v>
      </c>
      <c r="AA7" s="45">
        <v>690</v>
      </c>
      <c r="AB7" s="44"/>
      <c r="AC7" s="47"/>
      <c r="AD7" s="48">
        <v>4</v>
      </c>
      <c r="AE7" s="48">
        <v>850</v>
      </c>
      <c r="AF7" s="47"/>
      <c r="AG7" s="14"/>
      <c r="AH7" s="15">
        <v>4</v>
      </c>
      <c r="AI7" s="16">
        <v>2700</v>
      </c>
      <c r="AJ7" s="14"/>
      <c r="AK7" s="4"/>
      <c r="AL7" s="5">
        <v>4</v>
      </c>
      <c r="AM7" s="6">
        <v>2400</v>
      </c>
      <c r="AN7" s="4"/>
      <c r="AO7" s="17"/>
      <c r="AP7" s="18">
        <v>4</v>
      </c>
      <c r="AQ7" s="19">
        <v>5200</v>
      </c>
      <c r="AR7" s="17"/>
      <c r="AS7" s="20"/>
      <c r="AT7" s="20">
        <v>4</v>
      </c>
      <c r="AU7" s="113">
        <v>2000</v>
      </c>
      <c r="AV7" s="20"/>
      <c r="AW7" s="23"/>
      <c r="AX7" s="24">
        <v>4</v>
      </c>
      <c r="AY7" s="25">
        <v>5100</v>
      </c>
      <c r="AZ7" s="23"/>
      <c r="BA7" s="26"/>
      <c r="BB7" s="27">
        <v>4</v>
      </c>
      <c r="BC7" s="28">
        <v>1600</v>
      </c>
      <c r="BD7" s="26"/>
      <c r="BE7" s="29"/>
      <c r="BF7" s="29"/>
      <c r="BG7" s="29"/>
      <c r="BH7" s="29"/>
      <c r="BI7" s="31"/>
      <c r="BJ7" s="32">
        <v>4</v>
      </c>
      <c r="BK7" s="33">
        <v>5656</v>
      </c>
      <c r="BL7" s="31"/>
      <c r="BM7" s="50" t="s">
        <v>15</v>
      </c>
      <c r="BN7" s="51">
        <v>4</v>
      </c>
      <c r="BO7" s="52">
        <v>6000</v>
      </c>
      <c r="BP7" s="50"/>
      <c r="BQ7" s="53" t="s">
        <v>15</v>
      </c>
      <c r="BR7" s="54">
        <v>4</v>
      </c>
      <c r="BS7" s="55">
        <v>5400</v>
      </c>
      <c r="BT7" s="53"/>
      <c r="BU7" s="12" t="s">
        <v>15</v>
      </c>
      <c r="BV7" s="13">
        <v>4</v>
      </c>
      <c r="BW7" s="34">
        <v>5250</v>
      </c>
      <c r="BX7" s="12"/>
      <c r="BY7" s="56" t="s">
        <v>15</v>
      </c>
      <c r="BZ7" s="57">
        <v>4</v>
      </c>
      <c r="CA7" s="58">
        <v>4350</v>
      </c>
      <c r="CB7" s="56"/>
    </row>
    <row r="8" spans="1:80" x14ac:dyDescent="0.4">
      <c r="A8" s="7"/>
      <c r="B8" s="8">
        <v>5</v>
      </c>
      <c r="C8" s="8">
        <v>600</v>
      </c>
      <c r="D8" s="7"/>
      <c r="E8" s="36"/>
      <c r="F8" s="37">
        <v>5</v>
      </c>
      <c r="G8" s="37">
        <v>540</v>
      </c>
      <c r="H8" s="36"/>
      <c r="I8" s="26"/>
      <c r="J8" s="27">
        <v>5</v>
      </c>
      <c r="K8" s="27">
        <v>600</v>
      </c>
      <c r="L8" s="26"/>
      <c r="M8" s="29"/>
      <c r="N8" s="39">
        <v>5</v>
      </c>
      <c r="O8" s="40">
        <v>1000</v>
      </c>
      <c r="P8" s="29"/>
      <c r="Q8" s="41"/>
      <c r="R8" s="42">
        <v>5</v>
      </c>
      <c r="S8" s="42">
        <v>840</v>
      </c>
      <c r="T8" s="41"/>
      <c r="U8" s="4"/>
      <c r="V8" s="5">
        <v>5</v>
      </c>
      <c r="W8" s="5">
        <v>950</v>
      </c>
      <c r="X8" s="4"/>
      <c r="Y8" s="44"/>
      <c r="Z8" s="45">
        <v>5</v>
      </c>
      <c r="AA8" s="45">
        <v>730</v>
      </c>
      <c r="AB8" s="44"/>
      <c r="AC8" s="47"/>
      <c r="AD8" s="48">
        <v>5</v>
      </c>
      <c r="AE8" s="49">
        <v>1050</v>
      </c>
      <c r="AF8" s="47"/>
      <c r="AG8" s="14"/>
      <c r="AH8" s="15">
        <v>5</v>
      </c>
      <c r="AI8" s="16">
        <v>3100</v>
      </c>
      <c r="AJ8" s="14"/>
      <c r="AK8" s="4"/>
      <c r="AL8" s="5">
        <v>5</v>
      </c>
      <c r="AM8" s="6">
        <v>2700</v>
      </c>
      <c r="AN8" s="4"/>
      <c r="AO8" s="17"/>
      <c r="AP8" s="18">
        <v>5</v>
      </c>
      <c r="AQ8" s="19">
        <v>5600</v>
      </c>
      <c r="AR8" s="17"/>
      <c r="AS8" s="20"/>
      <c r="AT8" s="20">
        <v>5</v>
      </c>
      <c r="AU8" s="113">
        <v>2400</v>
      </c>
      <c r="AV8" s="20"/>
      <c r="AW8" s="23"/>
      <c r="AX8" s="24">
        <v>5</v>
      </c>
      <c r="AY8" s="25">
        <v>5410</v>
      </c>
      <c r="AZ8" s="23"/>
      <c r="BA8" s="26"/>
      <c r="BB8" s="27">
        <v>5</v>
      </c>
      <c r="BC8" s="28">
        <v>1800</v>
      </c>
      <c r="BD8" s="26"/>
      <c r="BI8" s="31" t="s">
        <v>15</v>
      </c>
      <c r="BJ8" s="32">
        <v>5</v>
      </c>
      <c r="BK8" s="33">
        <v>5656</v>
      </c>
      <c r="BL8" s="31"/>
      <c r="BM8" s="50" t="s">
        <v>15</v>
      </c>
      <c r="BN8" s="51">
        <v>5</v>
      </c>
      <c r="BO8" s="52">
        <v>6150</v>
      </c>
      <c r="BP8" s="50"/>
      <c r="BQ8" s="53" t="s">
        <v>15</v>
      </c>
      <c r="BR8" s="54">
        <v>5</v>
      </c>
      <c r="BS8" s="55">
        <v>5500</v>
      </c>
      <c r="BT8" s="53"/>
      <c r="BU8" s="12"/>
      <c r="BV8" s="12"/>
      <c r="BW8" s="12"/>
      <c r="BX8" s="12"/>
      <c r="BY8" s="56"/>
      <c r="BZ8" s="56"/>
      <c r="CA8" s="56"/>
      <c r="CB8" s="56"/>
    </row>
    <row r="9" spans="1:80" x14ac:dyDescent="0.4">
      <c r="A9" s="7"/>
      <c r="B9" s="8">
        <v>6</v>
      </c>
      <c r="C9" s="8">
        <v>660</v>
      </c>
      <c r="D9" s="7"/>
      <c r="E9" s="36"/>
      <c r="F9" s="37">
        <v>6</v>
      </c>
      <c r="G9" s="37">
        <v>580</v>
      </c>
      <c r="H9" s="36"/>
      <c r="I9" s="26"/>
      <c r="J9" s="27">
        <v>6</v>
      </c>
      <c r="K9" s="27">
        <v>650</v>
      </c>
      <c r="L9" s="26"/>
      <c r="M9" s="29"/>
      <c r="N9" s="39">
        <v>6</v>
      </c>
      <c r="O9" s="40">
        <v>1050</v>
      </c>
      <c r="P9" s="29"/>
      <c r="Q9" s="41"/>
      <c r="R9" s="42">
        <v>6</v>
      </c>
      <c r="S9" s="42">
        <v>960</v>
      </c>
      <c r="T9" s="41"/>
      <c r="U9" s="4"/>
      <c r="V9" s="5">
        <v>6</v>
      </c>
      <c r="W9" s="6">
        <v>1000</v>
      </c>
      <c r="X9" s="4"/>
      <c r="Y9" s="44"/>
      <c r="Z9" s="45">
        <v>6</v>
      </c>
      <c r="AA9" s="45">
        <v>770</v>
      </c>
      <c r="AB9" s="44"/>
      <c r="AC9" s="47"/>
      <c r="AD9" s="48">
        <v>6</v>
      </c>
      <c r="AE9" s="49">
        <v>1300</v>
      </c>
      <c r="AF9" s="47"/>
      <c r="AG9" s="14"/>
      <c r="AH9" s="15">
        <v>6</v>
      </c>
      <c r="AI9" s="16">
        <v>3400</v>
      </c>
      <c r="AJ9" s="14"/>
      <c r="AK9" s="4"/>
      <c r="AL9" s="5">
        <v>6</v>
      </c>
      <c r="AM9" s="6">
        <v>3000</v>
      </c>
      <c r="AN9" s="4"/>
      <c r="AO9" s="17"/>
      <c r="AP9" s="18">
        <v>6</v>
      </c>
      <c r="AQ9" s="19">
        <v>5900</v>
      </c>
      <c r="AR9" s="17"/>
      <c r="AS9" s="20"/>
      <c r="AT9" s="20">
        <v>6</v>
      </c>
      <c r="AU9" s="113">
        <v>2800</v>
      </c>
      <c r="AV9" s="20"/>
      <c r="AW9" s="23"/>
      <c r="AX9" s="24">
        <v>6</v>
      </c>
      <c r="AY9" s="25">
        <v>5600</v>
      </c>
      <c r="AZ9" s="23"/>
      <c r="BA9" s="26"/>
      <c r="BB9" s="27">
        <v>6</v>
      </c>
      <c r="BC9" s="28">
        <v>1900</v>
      </c>
      <c r="BD9" s="26"/>
      <c r="BI9" s="31" t="s">
        <v>15</v>
      </c>
      <c r="BJ9" s="32">
        <v>6</v>
      </c>
      <c r="BK9" s="33">
        <v>5858</v>
      </c>
      <c r="BL9" s="31"/>
      <c r="BM9" s="50"/>
      <c r="BN9" s="50"/>
      <c r="BO9" s="50"/>
      <c r="BP9" s="50"/>
      <c r="BQ9" s="53"/>
      <c r="BR9" s="53"/>
      <c r="BS9" s="53"/>
      <c r="BT9" s="53"/>
    </row>
    <row r="10" spans="1:80" x14ac:dyDescent="0.4">
      <c r="A10" s="7"/>
      <c r="B10" s="8">
        <v>7</v>
      </c>
      <c r="C10" s="8">
        <v>730</v>
      </c>
      <c r="D10" s="7"/>
      <c r="E10" s="36"/>
      <c r="F10" s="37">
        <v>7</v>
      </c>
      <c r="G10" s="37">
        <v>630</v>
      </c>
      <c r="H10" s="36"/>
      <c r="I10" s="26"/>
      <c r="J10" s="27">
        <v>7</v>
      </c>
      <c r="K10" s="27">
        <v>700</v>
      </c>
      <c r="L10" s="26"/>
      <c r="M10" s="29"/>
      <c r="N10" s="39">
        <v>7</v>
      </c>
      <c r="O10" s="40">
        <v>1100</v>
      </c>
      <c r="P10" s="29"/>
      <c r="Q10" s="41"/>
      <c r="R10" s="42">
        <v>7</v>
      </c>
      <c r="S10" s="43">
        <v>1200</v>
      </c>
      <c r="T10" s="41"/>
      <c r="U10" s="4"/>
      <c r="V10" s="5">
        <v>7</v>
      </c>
      <c r="W10" s="6">
        <v>1050</v>
      </c>
      <c r="X10" s="4"/>
      <c r="Y10" s="44"/>
      <c r="Z10" s="45">
        <v>7</v>
      </c>
      <c r="AA10" s="45">
        <v>810</v>
      </c>
      <c r="AB10" s="44"/>
      <c r="AC10" s="47"/>
      <c r="AD10" s="48">
        <v>7</v>
      </c>
      <c r="AE10" s="49">
        <v>1600</v>
      </c>
      <c r="AF10" s="47"/>
      <c r="AG10" s="14"/>
      <c r="AH10" s="15">
        <v>7</v>
      </c>
      <c r="AI10" s="16">
        <v>3700</v>
      </c>
      <c r="AJ10" s="14"/>
      <c r="AK10" s="4"/>
      <c r="AL10" s="5">
        <v>7</v>
      </c>
      <c r="AM10" s="6">
        <v>3300</v>
      </c>
      <c r="AN10" s="4"/>
      <c r="AO10" s="17"/>
      <c r="AP10" s="18">
        <v>7</v>
      </c>
      <c r="AQ10" s="19">
        <v>6200</v>
      </c>
      <c r="AR10" s="17"/>
      <c r="AS10" s="20"/>
      <c r="AT10" s="20">
        <v>7</v>
      </c>
      <c r="AU10" s="113">
        <v>3300</v>
      </c>
      <c r="AV10" s="20"/>
      <c r="AW10" s="23" t="s">
        <v>15</v>
      </c>
      <c r="AX10" s="24">
        <v>7</v>
      </c>
      <c r="AY10" s="25">
        <v>5600</v>
      </c>
      <c r="AZ10" s="23"/>
      <c r="BA10" s="26"/>
      <c r="BB10" s="27">
        <v>7</v>
      </c>
      <c r="BC10" s="28">
        <v>2000</v>
      </c>
      <c r="BD10" s="26"/>
      <c r="BI10" s="31"/>
      <c r="BJ10" s="31"/>
      <c r="BK10" s="31"/>
      <c r="BL10" s="31"/>
    </row>
    <row r="11" spans="1:80" x14ac:dyDescent="0.4">
      <c r="A11" s="7"/>
      <c r="B11" s="8">
        <v>8</v>
      </c>
      <c r="C11" s="8">
        <v>800</v>
      </c>
      <c r="D11" s="7"/>
      <c r="E11" s="36"/>
      <c r="F11" s="37">
        <v>8</v>
      </c>
      <c r="G11" s="37">
        <v>690</v>
      </c>
      <c r="H11" s="36"/>
      <c r="I11" s="26"/>
      <c r="J11" s="27">
        <v>8</v>
      </c>
      <c r="K11" s="27">
        <v>800</v>
      </c>
      <c r="L11" s="26"/>
      <c r="M11" s="29"/>
      <c r="N11" s="39">
        <v>8</v>
      </c>
      <c r="O11" s="40">
        <v>1210</v>
      </c>
      <c r="P11" s="29"/>
      <c r="Q11" s="41"/>
      <c r="R11" s="42">
        <v>8</v>
      </c>
      <c r="S11" s="43">
        <v>1440</v>
      </c>
      <c r="T11" s="41"/>
      <c r="Y11" s="44"/>
      <c r="Z11" s="45">
        <v>8</v>
      </c>
      <c r="AA11" s="45">
        <v>850</v>
      </c>
      <c r="AB11" s="44"/>
      <c r="AC11" s="47"/>
      <c r="AD11" s="48">
        <v>8</v>
      </c>
      <c r="AE11" s="49">
        <v>1900</v>
      </c>
      <c r="AF11" s="47"/>
      <c r="AG11" s="14"/>
      <c r="AH11" s="15">
        <v>8</v>
      </c>
      <c r="AI11" s="16">
        <v>4000</v>
      </c>
      <c r="AJ11" s="14"/>
      <c r="AK11" s="4"/>
      <c r="AL11" s="5">
        <v>8</v>
      </c>
      <c r="AM11" s="6">
        <v>3700</v>
      </c>
      <c r="AN11" s="4"/>
      <c r="AS11" s="20"/>
      <c r="AT11" s="20">
        <v>8</v>
      </c>
      <c r="AU11" s="113">
        <v>3900</v>
      </c>
      <c r="AV11" s="20"/>
      <c r="AW11" s="23" t="s">
        <v>15</v>
      </c>
      <c r="AX11" s="24">
        <v>8</v>
      </c>
      <c r="AY11" s="25">
        <v>5750</v>
      </c>
      <c r="AZ11" s="23"/>
      <c r="BA11" s="26" t="s">
        <v>15</v>
      </c>
      <c r="BB11" s="27">
        <v>8</v>
      </c>
      <c r="BC11" s="28">
        <v>2000</v>
      </c>
      <c r="BD11" s="26"/>
    </row>
    <row r="12" spans="1:80" x14ac:dyDescent="0.4">
      <c r="A12" s="7"/>
      <c r="B12" s="8">
        <v>9</v>
      </c>
      <c r="C12" s="8">
        <v>880</v>
      </c>
      <c r="D12" s="7"/>
      <c r="E12" s="36"/>
      <c r="F12" s="37">
        <v>9</v>
      </c>
      <c r="G12" s="37">
        <v>750</v>
      </c>
      <c r="H12" s="36"/>
      <c r="I12" s="26"/>
      <c r="J12" s="27">
        <v>9</v>
      </c>
      <c r="K12" s="27">
        <v>950</v>
      </c>
      <c r="L12" s="26"/>
      <c r="M12" s="29"/>
      <c r="N12" s="39">
        <v>9</v>
      </c>
      <c r="O12" s="40">
        <v>1300</v>
      </c>
      <c r="P12" s="29"/>
      <c r="Q12" s="41"/>
      <c r="R12" s="42">
        <v>9</v>
      </c>
      <c r="S12" s="43">
        <v>1600</v>
      </c>
      <c r="T12" s="41"/>
      <c r="Y12" s="44"/>
      <c r="Z12" s="45">
        <v>9</v>
      </c>
      <c r="AA12" s="45">
        <v>900</v>
      </c>
      <c r="AB12" s="44"/>
      <c r="AC12" s="47"/>
      <c r="AD12" s="48">
        <v>9</v>
      </c>
      <c r="AE12" s="49">
        <v>2300</v>
      </c>
      <c r="AF12" s="47"/>
      <c r="AG12" s="14"/>
      <c r="AH12" s="15">
        <v>9</v>
      </c>
      <c r="AI12" s="16">
        <v>4200</v>
      </c>
      <c r="AJ12" s="14"/>
      <c r="AK12" s="4"/>
      <c r="AL12" s="5">
        <v>9</v>
      </c>
      <c r="AM12" s="6">
        <v>4000</v>
      </c>
      <c r="AN12" s="4"/>
      <c r="AS12" s="20"/>
      <c r="AT12" s="20">
        <v>9</v>
      </c>
      <c r="AU12" s="113">
        <v>4600</v>
      </c>
      <c r="AV12" s="20"/>
      <c r="AW12" s="23"/>
      <c r="AX12" s="23"/>
      <c r="AY12" s="23"/>
      <c r="AZ12" s="23"/>
      <c r="BA12" s="26" t="s">
        <v>15</v>
      </c>
      <c r="BB12" s="27">
        <v>9</v>
      </c>
      <c r="BC12" s="28">
        <v>2050</v>
      </c>
      <c r="BD12" s="26"/>
    </row>
    <row r="13" spans="1:80" x14ac:dyDescent="0.4">
      <c r="A13" s="7"/>
      <c r="B13" s="8">
        <v>10</v>
      </c>
      <c r="C13" s="8">
        <v>960</v>
      </c>
      <c r="D13" s="7"/>
      <c r="E13" s="36"/>
      <c r="F13" s="37">
        <v>10</v>
      </c>
      <c r="G13" s="37">
        <v>810</v>
      </c>
      <c r="H13" s="36"/>
      <c r="I13" s="26"/>
      <c r="J13" s="27">
        <v>10</v>
      </c>
      <c r="K13" s="28">
        <v>1100</v>
      </c>
      <c r="L13" s="26"/>
      <c r="M13" s="29"/>
      <c r="N13" s="39">
        <v>10</v>
      </c>
      <c r="O13" s="40">
        <v>1400</v>
      </c>
      <c r="P13" s="29"/>
      <c r="Q13" s="41"/>
      <c r="R13" s="42">
        <v>10</v>
      </c>
      <c r="S13" s="43">
        <v>1900</v>
      </c>
      <c r="T13" s="41"/>
      <c r="Y13" s="44"/>
      <c r="Z13" s="45">
        <v>10</v>
      </c>
      <c r="AA13" s="45">
        <v>980</v>
      </c>
      <c r="AB13" s="44"/>
      <c r="AC13" s="47"/>
      <c r="AD13" s="48">
        <v>10</v>
      </c>
      <c r="AE13" s="49">
        <v>2500</v>
      </c>
      <c r="AF13" s="47"/>
      <c r="AG13" s="14"/>
      <c r="AH13" s="15">
        <v>10</v>
      </c>
      <c r="AI13" s="16">
        <v>4400</v>
      </c>
      <c r="AJ13" s="14"/>
      <c r="AK13" s="4"/>
      <c r="AL13" s="5">
        <v>10</v>
      </c>
      <c r="AM13" s="6">
        <v>4400</v>
      </c>
      <c r="AN13" s="4"/>
      <c r="AS13" s="20"/>
      <c r="AT13" s="20">
        <v>10</v>
      </c>
      <c r="AU13" s="113">
        <v>5500</v>
      </c>
      <c r="AV13" s="20"/>
    </row>
    <row r="14" spans="1:80" x14ac:dyDescent="0.4">
      <c r="A14" s="7"/>
      <c r="B14" s="8">
        <v>11</v>
      </c>
      <c r="C14" s="35">
        <v>1060</v>
      </c>
      <c r="D14" s="7"/>
      <c r="E14" s="36"/>
      <c r="F14" s="37">
        <v>11</v>
      </c>
      <c r="G14" s="37">
        <v>890</v>
      </c>
      <c r="H14" s="36"/>
      <c r="I14" s="26"/>
      <c r="J14" s="27">
        <v>11</v>
      </c>
      <c r="K14" s="28">
        <v>1300</v>
      </c>
      <c r="L14" s="26"/>
      <c r="M14" s="29"/>
      <c r="N14" s="39">
        <v>11</v>
      </c>
      <c r="O14" s="40">
        <v>1500</v>
      </c>
      <c r="P14" s="29"/>
      <c r="Q14" s="41"/>
      <c r="R14" s="42">
        <v>11</v>
      </c>
      <c r="S14" s="43">
        <v>2120</v>
      </c>
      <c r="T14" s="41"/>
      <c r="Y14" s="44"/>
      <c r="Z14" s="45">
        <v>11</v>
      </c>
      <c r="AA14" s="46">
        <v>1100</v>
      </c>
      <c r="AB14" s="44"/>
      <c r="AC14" s="47"/>
      <c r="AD14" s="48">
        <v>11</v>
      </c>
      <c r="AE14" s="49">
        <v>2700</v>
      </c>
      <c r="AF14" s="47"/>
      <c r="AG14" s="14"/>
      <c r="AH14" s="15">
        <v>11</v>
      </c>
      <c r="AI14" s="16">
        <v>4600</v>
      </c>
      <c r="AJ14" s="14"/>
      <c r="AK14" s="4"/>
      <c r="AL14" s="5">
        <v>11</v>
      </c>
      <c r="AM14" s="6">
        <v>4800</v>
      </c>
      <c r="AN14" s="4"/>
      <c r="AS14" s="20"/>
      <c r="AT14" s="20">
        <v>11</v>
      </c>
      <c r="AU14" s="113">
        <v>6800</v>
      </c>
      <c r="AV14" s="20"/>
    </row>
    <row r="15" spans="1:80" x14ac:dyDescent="0.4">
      <c r="A15" s="7"/>
      <c r="B15" s="8">
        <v>12</v>
      </c>
      <c r="C15" s="35">
        <v>1160</v>
      </c>
      <c r="D15" s="7"/>
      <c r="E15" s="36"/>
      <c r="F15" s="37">
        <v>12</v>
      </c>
      <c r="G15" s="37">
        <v>970</v>
      </c>
      <c r="H15" s="36"/>
      <c r="I15" s="26"/>
      <c r="J15" s="27">
        <v>12</v>
      </c>
      <c r="K15" s="28">
        <v>1500</v>
      </c>
      <c r="L15" s="26"/>
      <c r="M15" s="29"/>
      <c r="N15" s="39">
        <v>12</v>
      </c>
      <c r="O15" s="40">
        <v>1650</v>
      </c>
      <c r="P15" s="29"/>
      <c r="Q15" s="41"/>
      <c r="R15" s="42">
        <v>12</v>
      </c>
      <c r="S15" s="43">
        <v>2240</v>
      </c>
      <c r="T15" s="41"/>
      <c r="Y15" s="44"/>
      <c r="Z15" s="45">
        <v>12</v>
      </c>
      <c r="AA15" s="46">
        <v>1200</v>
      </c>
      <c r="AB15" s="44"/>
      <c r="AC15" s="47"/>
      <c r="AD15" s="48">
        <v>12</v>
      </c>
      <c r="AE15" s="49">
        <v>2900</v>
      </c>
      <c r="AF15" s="47"/>
      <c r="AG15" s="14"/>
      <c r="AH15" s="15">
        <v>12</v>
      </c>
      <c r="AI15" s="16">
        <v>4800</v>
      </c>
      <c r="AJ15" s="14"/>
      <c r="AK15" s="4" t="s">
        <v>15</v>
      </c>
      <c r="AL15" s="5">
        <v>12</v>
      </c>
      <c r="AM15" s="6">
        <v>4800</v>
      </c>
      <c r="AN15" s="4"/>
      <c r="AS15" s="20" t="s">
        <v>117</v>
      </c>
      <c r="AT15" s="21">
        <v>12</v>
      </c>
      <c r="AU15" s="22">
        <v>7500</v>
      </c>
      <c r="AV15" s="20"/>
    </row>
    <row r="16" spans="1:80" x14ac:dyDescent="0.4">
      <c r="A16" s="7"/>
      <c r="B16" s="8">
        <v>13</v>
      </c>
      <c r="C16" s="35">
        <v>1260</v>
      </c>
      <c r="D16" s="7"/>
      <c r="E16" s="36"/>
      <c r="F16" s="37">
        <v>13</v>
      </c>
      <c r="G16" s="38">
        <v>1050</v>
      </c>
      <c r="H16" s="36"/>
      <c r="I16" s="26"/>
      <c r="J16" s="27">
        <v>13</v>
      </c>
      <c r="K16" s="28">
        <v>1700</v>
      </c>
      <c r="L16" s="26"/>
      <c r="M16" s="29"/>
      <c r="N16" s="39">
        <v>13</v>
      </c>
      <c r="O16" s="40">
        <v>1750</v>
      </c>
      <c r="P16" s="29"/>
      <c r="Q16" s="41"/>
      <c r="R16" s="42">
        <v>13</v>
      </c>
      <c r="S16" s="43">
        <v>2500</v>
      </c>
      <c r="T16" s="41"/>
      <c r="Y16" s="44"/>
      <c r="Z16" s="45">
        <v>13</v>
      </c>
      <c r="AA16" s="46">
        <v>1350</v>
      </c>
      <c r="AB16" s="44"/>
      <c r="AC16" s="47" t="s">
        <v>15</v>
      </c>
      <c r="AD16" s="48">
        <v>13</v>
      </c>
      <c r="AE16" s="49">
        <v>2900</v>
      </c>
      <c r="AF16" s="47"/>
      <c r="AG16" s="14" t="s">
        <v>15</v>
      </c>
      <c r="AH16" s="15">
        <v>13</v>
      </c>
      <c r="AI16" s="16">
        <v>4800</v>
      </c>
      <c r="AJ16" s="14"/>
      <c r="AK16" s="4" t="s">
        <v>15</v>
      </c>
      <c r="AL16" s="5">
        <v>13</v>
      </c>
      <c r="AM16" s="6">
        <v>5000</v>
      </c>
      <c r="AN16" s="4"/>
      <c r="AS16" s="20"/>
      <c r="AT16" s="21">
        <v>13</v>
      </c>
      <c r="AU16" s="22">
        <v>8200</v>
      </c>
      <c r="AV16" s="20"/>
    </row>
    <row r="17" spans="1:48" x14ac:dyDescent="0.4">
      <c r="A17" s="7"/>
      <c r="B17" s="8">
        <v>14</v>
      </c>
      <c r="C17" s="35">
        <v>1380</v>
      </c>
      <c r="D17" s="7"/>
      <c r="E17" s="36"/>
      <c r="F17" s="37">
        <v>14</v>
      </c>
      <c r="G17" s="38">
        <v>1130</v>
      </c>
      <c r="H17" s="36"/>
      <c r="I17" s="26"/>
      <c r="J17" s="27">
        <v>14</v>
      </c>
      <c r="K17" s="28">
        <v>1950</v>
      </c>
      <c r="L17" s="26"/>
      <c r="M17" s="29"/>
      <c r="N17" s="39">
        <v>14</v>
      </c>
      <c r="O17" s="40">
        <v>1850</v>
      </c>
      <c r="P17" s="29"/>
      <c r="Q17" s="41"/>
      <c r="R17" s="42">
        <v>14</v>
      </c>
      <c r="S17" s="43">
        <v>2800</v>
      </c>
      <c r="T17" s="41"/>
      <c r="Y17" s="44"/>
      <c r="Z17" s="45">
        <v>14</v>
      </c>
      <c r="AA17" s="46">
        <v>1450</v>
      </c>
      <c r="AB17" s="44"/>
      <c r="AC17" s="47" t="s">
        <v>15</v>
      </c>
      <c r="AD17" s="48">
        <v>14</v>
      </c>
      <c r="AE17" s="49">
        <v>3000</v>
      </c>
      <c r="AF17" s="47"/>
      <c r="AG17" s="14" t="s">
        <v>15</v>
      </c>
      <c r="AH17" s="15">
        <v>14</v>
      </c>
      <c r="AI17" s="16">
        <v>4900</v>
      </c>
      <c r="AJ17" s="14"/>
      <c r="AK17" s="4"/>
      <c r="AL17" s="5"/>
      <c r="AM17" s="4"/>
      <c r="AN17" s="4"/>
      <c r="AS17" s="20"/>
      <c r="AT17" s="21">
        <v>14</v>
      </c>
      <c r="AU17" s="22">
        <v>8900</v>
      </c>
      <c r="AV17" s="20"/>
    </row>
    <row r="18" spans="1:48" x14ac:dyDescent="0.4">
      <c r="A18" s="7"/>
      <c r="B18" s="8">
        <v>15</v>
      </c>
      <c r="C18" s="35">
        <v>1500</v>
      </c>
      <c r="D18" s="7"/>
      <c r="E18" s="36"/>
      <c r="F18" s="37">
        <v>15</v>
      </c>
      <c r="G18" s="38">
        <v>1230</v>
      </c>
      <c r="H18" s="36"/>
      <c r="I18" s="26"/>
      <c r="J18" s="27">
        <v>15</v>
      </c>
      <c r="K18" s="28">
        <v>2150</v>
      </c>
      <c r="L18" s="26"/>
      <c r="M18" s="29"/>
      <c r="N18" s="39">
        <v>15</v>
      </c>
      <c r="O18" s="40">
        <v>1950</v>
      </c>
      <c r="P18" s="29"/>
      <c r="Q18" s="41"/>
      <c r="R18" s="42">
        <v>15</v>
      </c>
      <c r="S18" s="43">
        <v>3000</v>
      </c>
      <c r="T18" s="41"/>
      <c r="Y18" s="44"/>
      <c r="Z18" s="45">
        <v>15</v>
      </c>
      <c r="AA18" s="46">
        <v>1550</v>
      </c>
      <c r="AB18" s="44"/>
      <c r="AC18" s="47"/>
      <c r="AD18" s="47"/>
      <c r="AE18" s="47"/>
      <c r="AF18" s="47"/>
      <c r="AG18" s="14"/>
      <c r="AH18" s="14"/>
      <c r="AI18" s="14"/>
      <c r="AJ18" s="14"/>
      <c r="AK18" s="4"/>
      <c r="AL18" s="4"/>
      <c r="AM18" s="4"/>
      <c r="AN18" s="4"/>
      <c r="AS18" s="20"/>
      <c r="AT18" s="21">
        <v>15</v>
      </c>
      <c r="AU18" s="22">
        <v>9600</v>
      </c>
      <c r="AV18" s="20"/>
    </row>
    <row r="19" spans="1:48" x14ac:dyDescent="0.4">
      <c r="A19" s="7"/>
      <c r="B19" s="8">
        <v>16</v>
      </c>
      <c r="C19" s="35">
        <v>1620</v>
      </c>
      <c r="D19" s="7"/>
      <c r="E19" s="36"/>
      <c r="F19" s="37">
        <v>16</v>
      </c>
      <c r="G19" s="38">
        <v>1310</v>
      </c>
      <c r="H19" s="36"/>
      <c r="I19" s="26"/>
      <c r="J19" s="27">
        <v>16</v>
      </c>
      <c r="K19" s="28">
        <v>2300</v>
      </c>
      <c r="L19" s="26"/>
      <c r="M19" s="29"/>
      <c r="N19" s="29"/>
      <c r="O19" s="29"/>
      <c r="P19" s="29"/>
      <c r="Q19" s="41"/>
      <c r="R19" s="42">
        <v>16</v>
      </c>
      <c r="S19" s="43">
        <v>3150</v>
      </c>
      <c r="T19" s="41"/>
      <c r="Y19" s="44"/>
      <c r="Z19" s="45">
        <v>16</v>
      </c>
      <c r="AA19" s="46">
        <v>1650</v>
      </c>
      <c r="AB19" s="44"/>
      <c r="AC19" s="47"/>
      <c r="AD19" s="47"/>
      <c r="AE19" s="47"/>
      <c r="AF19" s="47"/>
      <c r="AS19" s="20"/>
      <c r="AT19" s="21">
        <v>16</v>
      </c>
      <c r="AU19" s="22">
        <v>10000</v>
      </c>
      <c r="AV19" s="20"/>
    </row>
    <row r="20" spans="1:48" x14ac:dyDescent="0.4">
      <c r="A20" s="7"/>
      <c r="B20" s="8">
        <v>17</v>
      </c>
      <c r="C20" s="35">
        <v>1740</v>
      </c>
      <c r="D20" s="7"/>
      <c r="E20" s="36"/>
      <c r="F20" s="37">
        <v>17</v>
      </c>
      <c r="G20" s="38">
        <v>1390</v>
      </c>
      <c r="H20" s="36"/>
      <c r="I20" s="26"/>
      <c r="J20" s="27">
        <v>17</v>
      </c>
      <c r="K20" s="28">
        <v>2450</v>
      </c>
      <c r="L20" s="26"/>
      <c r="Q20" s="41"/>
      <c r="R20" s="42">
        <v>17</v>
      </c>
      <c r="S20" s="43">
        <v>3300</v>
      </c>
      <c r="T20" s="41"/>
      <c r="Y20" s="44" t="s">
        <v>15</v>
      </c>
      <c r="Z20" s="45">
        <v>17</v>
      </c>
      <c r="AA20" s="46">
        <v>1650</v>
      </c>
      <c r="AB20" s="44"/>
      <c r="AS20" s="20"/>
      <c r="AT20" s="21">
        <v>17</v>
      </c>
      <c r="AU20" s="22">
        <v>10400</v>
      </c>
      <c r="AV20" s="20"/>
    </row>
    <row r="21" spans="1:48" x14ac:dyDescent="0.4">
      <c r="A21" s="7"/>
      <c r="B21" s="8">
        <v>18</v>
      </c>
      <c r="C21" s="35">
        <v>1870</v>
      </c>
      <c r="D21" s="7"/>
      <c r="E21" s="36"/>
      <c r="F21" s="37">
        <v>18</v>
      </c>
      <c r="G21" s="38">
        <v>1510</v>
      </c>
      <c r="H21" s="36"/>
      <c r="I21" s="26" t="s">
        <v>15</v>
      </c>
      <c r="J21" s="27">
        <v>18</v>
      </c>
      <c r="K21" s="28">
        <v>2450</v>
      </c>
      <c r="L21" s="26"/>
      <c r="Q21" s="41" t="s">
        <v>15</v>
      </c>
      <c r="R21" s="42">
        <v>18</v>
      </c>
      <c r="S21" s="43">
        <v>3300</v>
      </c>
      <c r="T21" s="41"/>
      <c r="Y21" s="44" t="s">
        <v>15</v>
      </c>
      <c r="Z21" s="45">
        <v>18</v>
      </c>
      <c r="AA21" s="46">
        <v>1700</v>
      </c>
      <c r="AB21" s="44"/>
      <c r="AS21" s="20"/>
      <c r="AT21" s="20"/>
      <c r="AU21" s="20"/>
      <c r="AV21" s="20"/>
    </row>
    <row r="22" spans="1:48" x14ac:dyDescent="0.4">
      <c r="A22" s="7"/>
      <c r="B22" s="8">
        <v>19</v>
      </c>
      <c r="C22" s="35">
        <v>2000</v>
      </c>
      <c r="D22" s="7"/>
      <c r="E22" s="36"/>
      <c r="F22" s="37">
        <v>19</v>
      </c>
      <c r="G22" s="38">
        <v>1600</v>
      </c>
      <c r="H22" s="36"/>
      <c r="I22" s="26" t="s">
        <v>15</v>
      </c>
      <c r="J22" s="27">
        <v>19</v>
      </c>
      <c r="K22" s="28">
        <v>2525</v>
      </c>
      <c r="L22" s="26"/>
      <c r="Q22" s="41" t="s">
        <v>15</v>
      </c>
      <c r="R22" s="42">
        <v>19</v>
      </c>
      <c r="S22" s="43">
        <v>3375</v>
      </c>
      <c r="T22" s="41"/>
      <c r="Y22" s="44"/>
      <c r="Z22" s="44"/>
      <c r="AA22" s="44"/>
      <c r="AB22" s="44"/>
      <c r="AS22" s="20"/>
      <c r="AT22" s="20"/>
      <c r="AU22" s="20"/>
      <c r="AV22" s="20"/>
    </row>
    <row r="23" spans="1:48" x14ac:dyDescent="0.4">
      <c r="A23" s="7"/>
      <c r="B23" s="8">
        <v>20</v>
      </c>
      <c r="C23" s="35">
        <v>2150</v>
      </c>
      <c r="D23" s="7"/>
      <c r="E23" s="36"/>
      <c r="F23" s="37">
        <v>20</v>
      </c>
      <c r="G23" s="38">
        <v>1700</v>
      </c>
      <c r="H23" s="36"/>
      <c r="I23" s="26"/>
      <c r="J23" s="26"/>
      <c r="K23" s="26"/>
      <c r="L23" s="26"/>
      <c r="Q23" s="41"/>
      <c r="R23" s="41"/>
      <c r="S23" s="41"/>
      <c r="T23" s="41"/>
      <c r="AS23" s="20"/>
      <c r="AT23" s="20"/>
      <c r="AU23" s="20"/>
      <c r="AV23" s="20"/>
    </row>
    <row r="24" spans="1:48" x14ac:dyDescent="0.4">
      <c r="A24" s="7"/>
      <c r="B24" s="8">
        <v>21</v>
      </c>
      <c r="C24" s="35">
        <v>2250</v>
      </c>
      <c r="D24" s="7"/>
      <c r="E24" s="36"/>
      <c r="F24" s="37">
        <v>21</v>
      </c>
      <c r="G24" s="38">
        <v>1800</v>
      </c>
      <c r="H24" s="36"/>
    </row>
    <row r="25" spans="1:48" x14ac:dyDescent="0.4">
      <c r="A25" s="7"/>
      <c r="B25" s="7"/>
      <c r="C25" s="7"/>
      <c r="D25" s="7"/>
      <c r="E25" s="36"/>
      <c r="F25" s="36"/>
      <c r="G25" s="36"/>
      <c r="H25" s="36"/>
    </row>
  </sheetData>
  <mergeCells count="40">
    <mergeCell ref="BR1:BT2"/>
    <mergeCell ref="AK1:AK2"/>
    <mergeCell ref="BV1:BW2"/>
    <mergeCell ref="BZ1:CA2"/>
    <mergeCell ref="AH1:AI2"/>
    <mergeCell ref="AL1:AM2"/>
    <mergeCell ref="AP1:AQ2"/>
    <mergeCell ref="AT1:AU2"/>
    <mergeCell ref="AX1:AY2"/>
    <mergeCell ref="BB1:BC2"/>
    <mergeCell ref="BM1:BM2"/>
    <mergeCell ref="BQ1:BQ2"/>
    <mergeCell ref="BU1:BU2"/>
    <mergeCell ref="BY1:BY2"/>
    <mergeCell ref="BI1:BI2"/>
    <mergeCell ref="BE1:BE2"/>
    <mergeCell ref="BN1:BO2"/>
    <mergeCell ref="B1:C2"/>
    <mergeCell ref="F1:G2"/>
    <mergeCell ref="J1:K2"/>
    <mergeCell ref="N1:O2"/>
    <mergeCell ref="R1:S2"/>
    <mergeCell ref="I1:I2"/>
    <mergeCell ref="E1:E2"/>
    <mergeCell ref="BF1:BG2"/>
    <mergeCell ref="BJ1:BK2"/>
    <mergeCell ref="BA1:BA2"/>
    <mergeCell ref="AW1:AW2"/>
    <mergeCell ref="AS1:AS2"/>
    <mergeCell ref="AO1:AO2"/>
    <mergeCell ref="A1:A2"/>
    <mergeCell ref="AG1:AG2"/>
    <mergeCell ref="AC1:AC2"/>
    <mergeCell ref="Y1:Y2"/>
    <mergeCell ref="U1:U2"/>
    <mergeCell ref="Q1:Q2"/>
    <mergeCell ref="M1:M2"/>
    <mergeCell ref="V1:W2"/>
    <mergeCell ref="Z1:AA2"/>
    <mergeCell ref="AD1:A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8BB7F-7460-4A01-BAD2-1748DC162E9E}">
  <sheetPr codeName="Sheet1"/>
  <dimension ref="A1:AQ38"/>
  <sheetViews>
    <sheetView topLeftCell="A14" zoomScaleNormal="85" workbookViewId="0">
      <selection activeCell="I21" sqref="I21"/>
    </sheetView>
  </sheetViews>
  <sheetFormatPr defaultRowHeight="14.6" x14ac:dyDescent="0.4"/>
  <cols>
    <col min="1" max="1" width="9.3828125" customWidth="1"/>
    <col min="2" max="2" width="9.921875" customWidth="1"/>
    <col min="3" max="3" width="10.15234375" customWidth="1"/>
    <col min="7" max="7" width="11.765625" customWidth="1"/>
    <col min="8" max="8" width="11.07421875" customWidth="1"/>
    <col min="9" max="9" width="17.53515625" customWidth="1"/>
    <col min="13" max="13" width="13.61328125" customWidth="1"/>
    <col min="15" max="15" width="12.23046875" customWidth="1"/>
    <col min="16" max="16" width="13.921875" customWidth="1"/>
    <col min="17" max="17" width="12.61328125" customWidth="1"/>
    <col min="18" max="18" width="13.53515625" customWidth="1"/>
    <col min="19" max="19" width="12.921875" customWidth="1"/>
    <col min="20" max="20" width="7.921875" customWidth="1"/>
    <col min="21" max="21" width="14.07421875" customWidth="1"/>
    <col min="22" max="22" width="14.15234375" customWidth="1"/>
    <col min="23" max="23" width="10.84375" customWidth="1"/>
    <col min="24" max="24" width="12.3046875" customWidth="1"/>
    <col min="25" max="25" width="12.15234375" customWidth="1"/>
    <col min="26" max="26" width="12.3046875" customWidth="1"/>
    <col min="27" max="27" width="10" customWidth="1"/>
    <col min="28" max="28" width="16.921875" customWidth="1"/>
    <col min="29" max="29" width="18.4609375" customWidth="1"/>
    <col min="30" max="30" width="11.3828125" customWidth="1"/>
    <col min="31" max="31" width="16.921875" customWidth="1"/>
  </cols>
  <sheetData>
    <row r="1" spans="1:31" x14ac:dyDescent="0.4">
      <c r="A1" t="s">
        <v>34</v>
      </c>
      <c r="B1" t="s">
        <v>40</v>
      </c>
      <c r="C1" t="s">
        <v>74</v>
      </c>
      <c r="D1" t="s">
        <v>81</v>
      </c>
      <c r="E1" t="s">
        <v>80</v>
      </c>
      <c r="F1" t="s">
        <v>106</v>
      </c>
      <c r="G1" t="s">
        <v>18</v>
      </c>
      <c r="H1" t="s">
        <v>19</v>
      </c>
      <c r="I1" t="s">
        <v>108</v>
      </c>
      <c r="J1" t="s">
        <v>125</v>
      </c>
      <c r="K1" t="s">
        <v>2</v>
      </c>
      <c r="L1" t="s">
        <v>64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75</v>
      </c>
      <c r="Z1" t="s">
        <v>60</v>
      </c>
      <c r="AA1" t="s">
        <v>61</v>
      </c>
      <c r="AB1" t="s">
        <v>72</v>
      </c>
      <c r="AC1" t="s">
        <v>73</v>
      </c>
      <c r="AD1" t="s">
        <v>62</v>
      </c>
      <c r="AE1" t="s">
        <v>63</v>
      </c>
    </row>
    <row r="2" spans="1:31" x14ac:dyDescent="0.4">
      <c r="A2" t="s">
        <v>35</v>
      </c>
      <c r="B2" t="e" vm="2">
        <f>[0]!ss_img</f>
        <v>#VALUE!</v>
      </c>
      <c r="C2" t="s">
        <v>64</v>
      </c>
      <c r="D2">
        <v>21</v>
      </c>
      <c r="E2" t="e" vm="41">
        <f>cannon_img</f>
        <v>#VALUE!</v>
      </c>
      <c r="F2" s="1">
        <v>2</v>
      </c>
      <c r="G2" s="1">
        <v>50</v>
      </c>
      <c r="H2" s="1">
        <v>37.5</v>
      </c>
      <c r="I2">
        <v>0</v>
      </c>
      <c r="J2" t="s">
        <v>126</v>
      </c>
      <c r="K2">
        <v>1</v>
      </c>
      <c r="L2" t="e" vm="42">
        <v>#VALUE!</v>
      </c>
      <c r="M2" t="e" vm="43">
        <v>#VALUE!</v>
      </c>
      <c r="N2" t="e" vm="44">
        <v>#VALUE!</v>
      </c>
      <c r="O2" t="e" vm="45">
        <v>#VALUE!</v>
      </c>
      <c r="P2" t="e" vm="46">
        <v>#VALUE!</v>
      </c>
      <c r="Q2" t="e" vm="47">
        <v>#VALUE!</v>
      </c>
      <c r="R2" t="e" vm="48">
        <v>#VALUE!</v>
      </c>
      <c r="S2" t="e" vm="49">
        <v>#VALUE!</v>
      </c>
      <c r="T2" t="e" vm="50">
        <v>#VALUE!</v>
      </c>
      <c r="U2" t="e" vm="51">
        <v>#VALUE!</v>
      </c>
      <c r="V2" t="e" vm="52">
        <v>#VALUE!</v>
      </c>
      <c r="W2" t="s">
        <v>118</v>
      </c>
      <c r="X2" t="e" vm="53">
        <v>#VALUE!</v>
      </c>
      <c r="Y2" t="e" vm="54">
        <v>#VALUE!</v>
      </c>
      <c r="Z2" t="e" vm="55">
        <v>#VALUE!</v>
      </c>
      <c r="AA2" t="e" vm="56">
        <v>#VALUE!</v>
      </c>
      <c r="AB2" t="e" vm="57">
        <v>#VALUE!</v>
      </c>
      <c r="AC2" t="e" vm="58">
        <v>#VALUE!</v>
      </c>
      <c r="AD2" t="e" vm="59">
        <v>#VALUE!</v>
      </c>
      <c r="AE2" t="e" vm="60">
        <v>#VALUE!</v>
      </c>
    </row>
    <row r="3" spans="1:31" x14ac:dyDescent="0.4">
      <c r="A3" t="s">
        <v>36</v>
      </c>
      <c r="B3" t="e" vm="3">
        <f>[0]!rgem_img</f>
        <v>#VALUE!</v>
      </c>
      <c r="C3" t="s">
        <v>65</v>
      </c>
      <c r="D3">
        <v>20</v>
      </c>
      <c r="E3" t="e" vm="61">
        <f>archertower_img</f>
        <v>#VALUE!</v>
      </c>
      <c r="F3" s="1">
        <v>3</v>
      </c>
      <c r="G3" s="1">
        <v>60</v>
      </c>
      <c r="H3" s="1">
        <v>45</v>
      </c>
      <c r="I3">
        <v>1</v>
      </c>
      <c r="J3" t="s">
        <v>123</v>
      </c>
      <c r="K3">
        <v>2</v>
      </c>
      <c r="L3" t="e" vm="62">
        <v>#VALUE!</v>
      </c>
      <c r="M3" t="e" vm="63">
        <v>#VALUE!</v>
      </c>
      <c r="N3" t="e" vm="64">
        <v>#VALUE!</v>
      </c>
      <c r="O3" t="e" vm="65">
        <v>#VALUE!</v>
      </c>
      <c r="P3" t="e" vm="66">
        <v>#VALUE!</v>
      </c>
      <c r="Q3" t="e" vm="67">
        <v>#VALUE!</v>
      </c>
      <c r="R3" t="e" vm="68">
        <v>#VALUE!</v>
      </c>
      <c r="S3" t="e" vm="69">
        <v>#VALUE!</v>
      </c>
      <c r="T3" t="e" vm="70">
        <v>#VALUE!</v>
      </c>
      <c r="U3" t="e" vm="71">
        <v>#VALUE!</v>
      </c>
      <c r="V3" t="e" vm="72">
        <v>#VALUE!</v>
      </c>
      <c r="W3" t="s">
        <v>118</v>
      </c>
      <c r="X3" t="e" vm="73">
        <v>#VALUE!</v>
      </c>
      <c r="Y3" t="e" vm="74">
        <v>#VALUE!</v>
      </c>
      <c r="Z3" t="e" vm="75">
        <v>#VALUE!</v>
      </c>
      <c r="AA3" t="e" vm="76">
        <v>#VALUE!</v>
      </c>
      <c r="AB3" t="e" vm="77">
        <v>#VALUE!</v>
      </c>
      <c r="AC3" t="e" vm="78">
        <v>#VALUE!</v>
      </c>
      <c r="AD3" t="e" vm="79">
        <v>#VALUE!</v>
      </c>
      <c r="AE3" t="e" vm="80">
        <v>#VALUE!</v>
      </c>
    </row>
    <row r="4" spans="1:31" x14ac:dyDescent="0.4">
      <c r="A4" t="s">
        <v>37</v>
      </c>
      <c r="B4" t="e" vm="9">
        <f>[0]!hvial_img</f>
        <v>#VALUE!</v>
      </c>
      <c r="C4" t="s">
        <v>66</v>
      </c>
      <c r="D4">
        <f>COUNT(DEFENSES!J4:J28)</f>
        <v>19</v>
      </c>
      <c r="E4" t="e" vm="81">
        <f>mortar_img</f>
        <v>#VALUE!</v>
      </c>
      <c r="F4" s="1">
        <v>4</v>
      </c>
      <c r="G4" s="1">
        <v>70</v>
      </c>
      <c r="H4" s="1">
        <v>52.5</v>
      </c>
      <c r="I4">
        <v>2</v>
      </c>
      <c r="J4" t="s">
        <v>122</v>
      </c>
      <c r="K4">
        <v>3</v>
      </c>
      <c r="L4" t="e" vm="82">
        <v>#VALUE!</v>
      </c>
      <c r="M4" t="e" vm="83">
        <v>#VALUE!</v>
      </c>
      <c r="N4" t="e" vm="84">
        <v>#VALUE!</v>
      </c>
      <c r="O4" t="e" vm="85">
        <v>#VALUE!</v>
      </c>
      <c r="P4" t="e" vm="86">
        <v>#VALUE!</v>
      </c>
      <c r="Q4" t="e" vm="87">
        <v>#VALUE!</v>
      </c>
      <c r="R4" t="e" vm="88">
        <v>#VALUE!</v>
      </c>
      <c r="S4" t="e" vm="89">
        <v>#VALUE!</v>
      </c>
      <c r="T4" t="e" vm="90">
        <v>#VALUE!</v>
      </c>
      <c r="U4" t="e" vm="91">
        <v>#VALUE!</v>
      </c>
      <c r="V4" t="e" vm="92">
        <v>#VALUE!</v>
      </c>
      <c r="W4" t="s">
        <v>118</v>
      </c>
      <c r="X4" t="e" vm="93">
        <v>#VALUE!</v>
      </c>
      <c r="Y4" t="e" vm="94">
        <v>#VALUE!</v>
      </c>
      <c r="Z4" t="e" vm="95">
        <v>#VALUE!</v>
      </c>
      <c r="AA4" t="e" vm="96">
        <v>#VALUE!</v>
      </c>
      <c r="AB4" t="e" vm="97">
        <v>#VALUE!</v>
      </c>
      <c r="AC4" t="e" vm="98">
        <v>#VALUE!</v>
      </c>
      <c r="AD4" t="e" vm="79">
        <v>#VALUE!</v>
      </c>
      <c r="AE4" t="e" vm="80">
        <v>#VALUE!</v>
      </c>
    </row>
    <row r="5" spans="1:31" x14ac:dyDescent="0.4">
      <c r="A5" t="s">
        <v>38</v>
      </c>
      <c r="B5" t="e" vm="10">
        <f>[0]!hrpuppet_img</f>
        <v>#VALUE!</v>
      </c>
      <c r="C5" t="s">
        <v>67</v>
      </c>
      <c r="D5">
        <f>COUNT(DEFENSES!N4:N29)</f>
        <v>15</v>
      </c>
      <c r="E5" t="e" vm="99">
        <f>airdefense_img</f>
        <v>#VALUE!</v>
      </c>
      <c r="F5" s="1">
        <v>5</v>
      </c>
      <c r="G5" s="1">
        <v>80</v>
      </c>
      <c r="H5" s="1">
        <v>60</v>
      </c>
      <c r="I5">
        <v>3</v>
      </c>
      <c r="K5">
        <v>4</v>
      </c>
      <c r="L5" t="e" vm="100">
        <v>#VALUE!</v>
      </c>
      <c r="M5" t="e" vm="101">
        <v>#VALUE!</v>
      </c>
      <c r="N5" t="e" vm="102">
        <v>#VALUE!</v>
      </c>
      <c r="O5" t="e" vm="103">
        <v>#VALUE!</v>
      </c>
      <c r="P5" t="e" vm="104">
        <v>#VALUE!</v>
      </c>
      <c r="Q5" t="e" vm="105">
        <v>#VALUE!</v>
      </c>
      <c r="R5" t="e" vm="106">
        <v>#VALUE!</v>
      </c>
      <c r="S5" t="e" vm="107">
        <v>#VALUE!</v>
      </c>
      <c r="T5" t="e" vm="108">
        <v>#VALUE!</v>
      </c>
      <c r="U5" t="e" vm="109">
        <v>#VALUE!</v>
      </c>
      <c r="V5" t="e" vm="110">
        <v>#VALUE!</v>
      </c>
      <c r="W5" t="s">
        <v>118</v>
      </c>
      <c r="X5" t="e" vm="111">
        <v>#VALUE!</v>
      </c>
      <c r="Y5" t="e" vm="112">
        <v>#VALUE!</v>
      </c>
      <c r="AA5" t="e" vm="113">
        <v>#VALUE!</v>
      </c>
      <c r="AB5" t="e" vm="97">
        <v>#VALUE!</v>
      </c>
      <c r="AC5" t="e" vm="98">
        <v>#VALUE!</v>
      </c>
      <c r="AD5" t="e" vm="79">
        <v>#VALUE!</v>
      </c>
      <c r="AE5" t="e" vm="80">
        <v>#VALUE!</v>
      </c>
    </row>
    <row r="6" spans="1:31" x14ac:dyDescent="0.4">
      <c r="A6" t="s">
        <v>9</v>
      </c>
      <c r="B6" t="e" vm="11">
        <f>[0]!eboots_img</f>
        <v>#VALUE!</v>
      </c>
      <c r="C6" t="s">
        <v>68</v>
      </c>
      <c r="D6">
        <f>COUNT(DEFENSES!R4:R35)</f>
        <v>19</v>
      </c>
      <c r="E6" t="e" vm="114">
        <f>wizardtower_img</f>
        <v>#VALUE!</v>
      </c>
      <c r="F6" s="1">
        <v>6</v>
      </c>
      <c r="G6" s="1">
        <v>85</v>
      </c>
      <c r="H6" s="1">
        <v>63.75</v>
      </c>
      <c r="I6">
        <v>4</v>
      </c>
      <c r="K6">
        <v>5</v>
      </c>
      <c r="L6" t="e" vm="115">
        <v>#VALUE!</v>
      </c>
      <c r="M6" t="e" vm="116">
        <v>#VALUE!</v>
      </c>
      <c r="N6" t="e" vm="117">
        <v>#VALUE!</v>
      </c>
      <c r="O6" t="e" vm="118">
        <v>#VALUE!</v>
      </c>
      <c r="P6" t="e" vm="119">
        <v>#VALUE!</v>
      </c>
      <c r="Q6" t="e" vm="120">
        <v>#VALUE!</v>
      </c>
      <c r="R6" t="e" vm="121">
        <v>#VALUE!</v>
      </c>
      <c r="S6" t="e" vm="122">
        <v>#VALUE!</v>
      </c>
      <c r="T6" t="e" vm="123">
        <v>#VALUE!</v>
      </c>
      <c r="U6" t="e" vm="124">
        <v>#VALUE!</v>
      </c>
      <c r="V6" t="e" vm="125">
        <v>#VALUE!</v>
      </c>
      <c r="W6" t="s">
        <v>118</v>
      </c>
      <c r="X6" t="e" vm="126">
        <v>#VALUE!</v>
      </c>
      <c r="Y6" t="e" vm="127">
        <v>#VALUE!</v>
      </c>
      <c r="AA6" t="e" vm="113">
        <v>#VALUE!</v>
      </c>
      <c r="AB6" t="e" vm="97">
        <v>#VALUE!</v>
      </c>
      <c r="AC6" t="e" vm="98">
        <v>#VALUE!</v>
      </c>
    </row>
    <row r="7" spans="1:31" x14ac:dyDescent="0.4">
      <c r="A7" t="s">
        <v>39</v>
      </c>
      <c r="B7" t="e" vm="12">
        <f>[0]!rspr_img</f>
        <v>#VALUE!</v>
      </c>
      <c r="C7" t="s">
        <v>69</v>
      </c>
      <c r="D7">
        <f>COUNT(DEFENSES!V4:V42)</f>
        <v>7</v>
      </c>
      <c r="E7" t="e" vm="128">
        <f>airsweeper_img</f>
        <v>#VALUE!</v>
      </c>
      <c r="F7" s="1">
        <v>7</v>
      </c>
      <c r="G7" s="1">
        <v>90</v>
      </c>
      <c r="H7" s="1">
        <v>67.5</v>
      </c>
      <c r="I7">
        <v>5</v>
      </c>
      <c r="K7">
        <v>6</v>
      </c>
      <c r="L7" t="e" vm="129">
        <v>#VALUE!</v>
      </c>
      <c r="M7" t="e" vm="130">
        <v>#VALUE!</v>
      </c>
      <c r="N7" t="e" vm="131">
        <v>#VALUE!</v>
      </c>
      <c r="O7" t="e" vm="132">
        <v>#VALUE!</v>
      </c>
      <c r="P7" t="e" vm="133">
        <v>#VALUE!</v>
      </c>
      <c r="Q7" t="e" vm="134">
        <v>#VALUE!</v>
      </c>
      <c r="R7" t="e" vm="135">
        <v>#VALUE!</v>
      </c>
      <c r="S7" t="e" vm="136">
        <v>#VALUE!</v>
      </c>
      <c r="T7" t="e" vm="137">
        <v>#VALUE!</v>
      </c>
      <c r="U7" t="e" vm="138">
        <v>#VALUE!</v>
      </c>
      <c r="V7" t="e" vm="139">
        <v>#VALUE!</v>
      </c>
      <c r="W7" t="s">
        <v>118</v>
      </c>
      <c r="X7" t="e" vm="140">
        <v>#VALUE!</v>
      </c>
      <c r="Y7" t="e" vm="141">
        <v>#VALUE!</v>
      </c>
      <c r="AA7" t="e" vm="113">
        <v>#VALUE!</v>
      </c>
    </row>
    <row r="8" spans="1:31" x14ac:dyDescent="0.4">
      <c r="C8" t="s">
        <v>70</v>
      </c>
      <c r="D8">
        <f>COUNT(DEFENSES!Z4:Z41)</f>
        <v>18</v>
      </c>
      <c r="E8" t="e" vm="142">
        <f>hiddentesla_img</f>
        <v>#VALUE!</v>
      </c>
      <c r="F8" t="s">
        <v>107</v>
      </c>
      <c r="K8">
        <v>7</v>
      </c>
      <c r="L8" t="e" vm="143">
        <v>#VALUE!</v>
      </c>
      <c r="M8" t="e" vm="144">
        <v>#VALUE!</v>
      </c>
      <c r="N8" t="e" vm="145">
        <v>#VALUE!</v>
      </c>
      <c r="O8" t="e" vm="146">
        <v>#VALUE!</v>
      </c>
      <c r="P8" t="e" vm="147">
        <v>#VALUE!</v>
      </c>
      <c r="Q8" t="e" vm="148">
        <v>#VALUE!</v>
      </c>
      <c r="R8" t="e" vm="149">
        <v>#VALUE!</v>
      </c>
      <c r="S8" t="e" vm="150">
        <v>#VALUE!</v>
      </c>
      <c r="T8" t="e" vm="151">
        <v>#VALUE!</v>
      </c>
      <c r="U8" t="e" vm="152">
        <v>#VALUE!</v>
      </c>
      <c r="V8" t="e" vm="153">
        <v>#VALUE!</v>
      </c>
      <c r="W8" t="s">
        <v>118</v>
      </c>
      <c r="X8" t="e" vm="140">
        <v>#VALUE!</v>
      </c>
      <c r="Y8" t="e" vm="154">
        <v>#VALUE!</v>
      </c>
    </row>
    <row r="9" spans="1:31" x14ac:dyDescent="0.4">
      <c r="C9" t="s">
        <v>71</v>
      </c>
      <c r="D9">
        <f>COUNT(DEFENSES!AD4:AD27)</f>
        <v>14</v>
      </c>
      <c r="E9" t="e" vm="155">
        <f>bombtower_img</f>
        <v>#VALUE!</v>
      </c>
      <c r="F9" s="1">
        <v>0.75</v>
      </c>
      <c r="K9">
        <v>8</v>
      </c>
      <c r="L9" t="e" vm="156">
        <v>#VALUE!</v>
      </c>
      <c r="M9" t="e" vm="157">
        <v>#VALUE!</v>
      </c>
      <c r="N9" t="e" vm="158">
        <v>#VALUE!</v>
      </c>
      <c r="O9" t="e" vm="159">
        <v>#VALUE!</v>
      </c>
      <c r="P9" t="e" vm="160">
        <v>#VALUE!</v>
      </c>
      <c r="R9" t="e" vm="161">
        <v>#VALUE!</v>
      </c>
      <c r="S9" t="e" vm="162">
        <v>#VALUE!</v>
      </c>
      <c r="T9" t="e" vm="163">
        <v>#VALUE!</v>
      </c>
      <c r="U9" t="e" vm="164">
        <v>#VALUE!</v>
      </c>
      <c r="W9" t="s">
        <v>118</v>
      </c>
      <c r="X9" t="e" vm="140">
        <v>#VALUE!</v>
      </c>
      <c r="Y9" t="e" vm="154">
        <v>#VALUE!</v>
      </c>
    </row>
    <row r="10" spans="1:31" x14ac:dyDescent="0.4">
      <c r="C10" t="s">
        <v>54</v>
      </c>
      <c r="D10">
        <f>COUNT(DEFENSES!AH4:AH32)</f>
        <v>14</v>
      </c>
      <c r="E10" t="e" vm="165">
        <f>xbow_img</f>
        <v>#VALUE!</v>
      </c>
      <c r="K10">
        <v>9</v>
      </c>
      <c r="L10" t="e" vm="166">
        <v>#VALUE!</v>
      </c>
      <c r="M10" t="e" vm="167">
        <v>#VALUE!</v>
      </c>
      <c r="N10" t="e" vm="168">
        <v>#VALUE!</v>
      </c>
      <c r="O10" t="e" vm="169">
        <v>#VALUE!</v>
      </c>
      <c r="P10" t="e" vm="170">
        <v>#VALUE!</v>
      </c>
      <c r="R10" t="e" vm="171">
        <v>#VALUE!</v>
      </c>
      <c r="S10" t="e" vm="172">
        <v>#VALUE!</v>
      </c>
      <c r="T10" t="e" vm="173">
        <v>#VALUE!</v>
      </c>
      <c r="U10" t="e" vm="174">
        <v>#VALUE!</v>
      </c>
      <c r="W10" t="s">
        <v>118</v>
      </c>
      <c r="Y10" t="e" vm="154">
        <v>#VALUE!</v>
      </c>
    </row>
    <row r="11" spans="1:31" x14ac:dyDescent="0.4">
      <c r="C11" t="s">
        <v>55</v>
      </c>
      <c r="D11">
        <f>COUNT(DEFENSES!AL4:AL31)</f>
        <v>13</v>
      </c>
      <c r="E11" t="e" vm="175">
        <f>infernotower_img</f>
        <v>#VALUE!</v>
      </c>
      <c r="I11" t="s">
        <v>151</v>
      </c>
      <c r="K11">
        <v>10</v>
      </c>
      <c r="L11" t="e" vm="176">
        <v>#VALUE!</v>
      </c>
      <c r="M11" t="e" vm="177">
        <v>#VALUE!</v>
      </c>
      <c r="N11" t="e" vm="178">
        <v>#VALUE!</v>
      </c>
      <c r="O11" t="e" vm="179">
        <v>#VALUE!</v>
      </c>
      <c r="P11" t="e" vm="180">
        <v>#VALUE!</v>
      </c>
      <c r="R11" t="e" vm="181">
        <v>#VALUE!</v>
      </c>
      <c r="S11" t="e" vm="182">
        <v>#VALUE!</v>
      </c>
      <c r="T11" t="e" vm="183">
        <v>#VALUE!</v>
      </c>
      <c r="U11" t="e" vm="184">
        <v>#VALUE!</v>
      </c>
      <c r="W11" t="s">
        <v>118</v>
      </c>
    </row>
    <row r="12" spans="1:31" x14ac:dyDescent="0.4">
      <c r="C12" t="s">
        <v>56</v>
      </c>
      <c r="D12">
        <f>COUNT(DEFENSES!AP4:AP16)</f>
        <v>7</v>
      </c>
      <c r="E12" t="e" vm="185">
        <f>eagleartillery_img</f>
        <v>#VALUE!</v>
      </c>
      <c r="I12" t="s">
        <v>152</v>
      </c>
      <c r="K12">
        <v>11</v>
      </c>
      <c r="L12" t="e" vm="186">
        <v>#VALUE!</v>
      </c>
      <c r="M12" t="e" vm="187">
        <v>#VALUE!</v>
      </c>
      <c r="N12" t="e" vm="188">
        <v>#VALUE!</v>
      </c>
      <c r="O12" t="e" vm="189">
        <v>#VALUE!</v>
      </c>
      <c r="P12" t="e" vm="190">
        <v>#VALUE!</v>
      </c>
      <c r="R12" t="e" vm="191">
        <v>#VALUE!</v>
      </c>
      <c r="S12" t="e" vm="192">
        <v>#VALUE!</v>
      </c>
      <c r="T12" t="e" vm="193">
        <v>#VALUE!</v>
      </c>
      <c r="U12" t="e" vm="194">
        <v>#VALUE!</v>
      </c>
      <c r="W12" t="s">
        <v>118</v>
      </c>
    </row>
    <row r="13" spans="1:31" x14ac:dyDescent="0.4">
      <c r="C13" t="s">
        <v>57</v>
      </c>
      <c r="D13">
        <f>COUNT(DEFENSES!AT4:AT30)</f>
        <v>17</v>
      </c>
      <c r="E13" t="e" vm="195">
        <f>townhall_img</f>
        <v>#VALUE!</v>
      </c>
      <c r="I13" t="s">
        <v>153</v>
      </c>
      <c r="K13">
        <v>12</v>
      </c>
      <c r="L13" t="e" vm="196">
        <v>#VALUE!</v>
      </c>
      <c r="M13" t="e" vm="197">
        <v>#VALUE!</v>
      </c>
      <c r="N13" t="e" vm="198">
        <v>#VALUE!</v>
      </c>
      <c r="O13" t="e" vm="199">
        <v>#VALUE!</v>
      </c>
      <c r="P13" t="e" vm="200">
        <v>#VALUE!</v>
      </c>
      <c r="R13" t="e" vm="201">
        <v>#VALUE!</v>
      </c>
      <c r="S13" t="e" vm="202">
        <v>#VALUE!</v>
      </c>
      <c r="T13" t="e" vm="203">
        <v>#VALUE!</v>
      </c>
      <c r="U13" t="e" vm="194">
        <v>#VALUE!</v>
      </c>
      <c r="W13" t="e" vm="204">
        <v>#VALUE!</v>
      </c>
    </row>
    <row r="14" spans="1:31" x14ac:dyDescent="0.4">
      <c r="C14" t="s">
        <v>58</v>
      </c>
      <c r="D14">
        <f>COUNT(DEFENSES!AX4:AX28)</f>
        <v>8</v>
      </c>
      <c r="E14" t="e" vm="205">
        <f>scattershot_img</f>
        <v>#VALUE!</v>
      </c>
      <c r="I14" t="s">
        <v>154</v>
      </c>
      <c r="K14">
        <v>13</v>
      </c>
      <c r="L14" t="e" vm="206">
        <v>#VALUE!</v>
      </c>
      <c r="M14" t="e" vm="207">
        <v>#VALUE!</v>
      </c>
      <c r="N14" t="e" vm="208">
        <v>#VALUE!</v>
      </c>
      <c r="O14" t="e" vm="209">
        <v>#VALUE!</v>
      </c>
      <c r="P14" t="e" vm="210">
        <v>#VALUE!</v>
      </c>
      <c r="R14" t="e" vm="211">
        <v>#VALUE!</v>
      </c>
      <c r="S14" t="e" vm="202">
        <v>#VALUE!</v>
      </c>
      <c r="T14" t="e" vm="203">
        <v>#VALUE!</v>
      </c>
      <c r="U14" t="e" vm="194">
        <v>#VALUE!</v>
      </c>
      <c r="W14" t="e" vm="212">
        <v>#VALUE!</v>
      </c>
    </row>
    <row r="15" spans="1:31" x14ac:dyDescent="0.4">
      <c r="C15" t="s">
        <v>75</v>
      </c>
      <c r="D15">
        <f>COUNT(DEFENSES!BB4:BB22)</f>
        <v>9</v>
      </c>
      <c r="E15" t="e" vm="213">
        <f>builderhut_img</f>
        <v>#VALUE!</v>
      </c>
      <c r="I15" t="s">
        <v>155</v>
      </c>
      <c r="K15">
        <v>14</v>
      </c>
      <c r="L15" t="e" vm="214">
        <v>#VALUE!</v>
      </c>
      <c r="M15" t="e" vm="215">
        <v>#VALUE!</v>
      </c>
      <c r="N15" t="e" vm="216">
        <v>#VALUE!</v>
      </c>
      <c r="O15" t="e" vm="217">
        <v>#VALUE!</v>
      </c>
      <c r="P15" t="e" vm="218">
        <v>#VALUE!</v>
      </c>
      <c r="R15" t="e" vm="219">
        <v>#VALUE!</v>
      </c>
      <c r="S15" t="e" vm="202">
        <v>#VALUE!</v>
      </c>
      <c r="T15" t="e" vm="203">
        <v>#VALUE!</v>
      </c>
      <c r="W15" t="e" vm="220">
        <v>#VALUE!</v>
      </c>
    </row>
    <row r="16" spans="1:31" x14ac:dyDescent="0.4">
      <c r="C16" t="s">
        <v>60</v>
      </c>
      <c r="D16">
        <f>COUNT(DEFENSES!BF4:BF13)</f>
        <v>3</v>
      </c>
      <c r="E16" t="e" vm="221">
        <f>spelltower_img</f>
        <v>#VALUE!</v>
      </c>
      <c r="I16" t="s">
        <v>156</v>
      </c>
      <c r="K16">
        <v>15</v>
      </c>
      <c r="L16" t="e" vm="222">
        <v>#VALUE!</v>
      </c>
      <c r="M16" t="e" vm="223">
        <v>#VALUE!</v>
      </c>
      <c r="N16" t="e" vm="224">
        <v>#VALUE!</v>
      </c>
      <c r="O16" t="e" vm="225">
        <v>#VALUE!</v>
      </c>
      <c r="P16" t="e" vm="226">
        <v>#VALUE!</v>
      </c>
      <c r="R16" t="e" vm="227">
        <v>#VALUE!</v>
      </c>
      <c r="W16" t="e" vm="228">
        <v>#VALUE!</v>
      </c>
    </row>
    <row r="17" spans="3:43" x14ac:dyDescent="0.4">
      <c r="C17" t="s">
        <v>61</v>
      </c>
      <c r="D17">
        <f>COUNT(DEFENSES!BJ4:BJ17)</f>
        <v>6</v>
      </c>
      <c r="E17" t="e" vm="229">
        <f>monolith_img</f>
        <v>#VALUE!</v>
      </c>
      <c r="I17" t="s">
        <v>159</v>
      </c>
      <c r="K17">
        <v>16</v>
      </c>
      <c r="L17" t="e" vm="230">
        <v>#VALUE!</v>
      </c>
      <c r="M17" t="e" vm="231">
        <v>#VALUE!</v>
      </c>
      <c r="N17" t="e" vm="232">
        <v>#VALUE!</v>
      </c>
      <c r="O17" t="e" vm="233">
        <v>#VALUE!</v>
      </c>
      <c r="P17" t="e" vm="234">
        <v>#VALUE!</v>
      </c>
      <c r="R17" t="e" vm="235">
        <v>#VALUE!</v>
      </c>
      <c r="W17" t="e" vm="236">
        <v>#VALUE!</v>
      </c>
    </row>
    <row r="18" spans="3:43" x14ac:dyDescent="0.4">
      <c r="C18" t="s">
        <v>72</v>
      </c>
      <c r="D18">
        <f>COUNT(DEFENSES!BN4:BN18)</f>
        <v>5</v>
      </c>
      <c r="E18" t="e" vm="237">
        <f>ricochetcannon_img</f>
        <v>#VALUE!</v>
      </c>
      <c r="I18" t="s">
        <v>161</v>
      </c>
      <c r="K18">
        <v>17</v>
      </c>
      <c r="L18" t="e" vm="238">
        <v>#VALUE!</v>
      </c>
      <c r="M18" t="e" vm="239">
        <v>#VALUE!</v>
      </c>
      <c r="N18" t="e" vm="240">
        <v>#VALUE!</v>
      </c>
      <c r="O18" t="e" vm="241">
        <v>#VALUE!</v>
      </c>
      <c r="P18" t="e" vm="242">
        <v>#VALUE!</v>
      </c>
      <c r="R18" t="e" vm="235">
        <v>#VALUE!</v>
      </c>
      <c r="W18" t="e" vm="243">
        <v>#VALUE!</v>
      </c>
    </row>
    <row r="19" spans="3:43" x14ac:dyDescent="0.4">
      <c r="C19" t="s">
        <v>73</v>
      </c>
      <c r="D19">
        <f>COUNT(DEFENSES!BR4:BR17)</f>
        <v>5</v>
      </c>
      <c r="E19" t="e" vm="244">
        <f>multiarchertower_img</f>
        <v>#VALUE!</v>
      </c>
      <c r="I19" t="s">
        <v>174</v>
      </c>
      <c r="K19">
        <v>18</v>
      </c>
      <c r="L19" t="e" vm="245">
        <v>#VALUE!</v>
      </c>
      <c r="M19" t="e" vm="246">
        <v>#VALUE!</v>
      </c>
      <c r="N19" t="e" vm="247">
        <v>#VALUE!</v>
      </c>
      <c r="P19" t="e" vm="248">
        <v>#VALUE!</v>
      </c>
      <c r="R19" t="e" vm="235">
        <v>#VALUE!</v>
      </c>
    </row>
    <row r="20" spans="3:43" x14ac:dyDescent="0.4">
      <c r="C20" t="s">
        <v>62</v>
      </c>
      <c r="D20">
        <f>COUNT(DEFENSES!BV4:BV16)</f>
        <v>4</v>
      </c>
      <c r="E20" t="e" vm="249">
        <f>firespitter_img</f>
        <v>#VALUE!</v>
      </c>
      <c r="I20" t="s">
        <v>173</v>
      </c>
      <c r="K20">
        <v>19</v>
      </c>
      <c r="L20" t="e" vm="250">
        <v>#VALUE!</v>
      </c>
      <c r="M20" t="e" vm="246">
        <v>#VALUE!</v>
      </c>
      <c r="N20" t="e" vm="251">
        <v>#VALUE!</v>
      </c>
      <c r="P20" t="e" vm="252">
        <v>#VALUE!</v>
      </c>
    </row>
    <row r="21" spans="3:43" x14ac:dyDescent="0.4">
      <c r="C21" t="s">
        <v>63</v>
      </c>
      <c r="D21">
        <f>COUNT(DEFENSES!BZ4:BZ15)</f>
        <v>4</v>
      </c>
      <c r="E21" t="e" vm="253">
        <f>multigeartower_img</f>
        <v>#VALUE!</v>
      </c>
      <c r="K21">
        <v>20</v>
      </c>
      <c r="L21" t="e" vm="254">
        <v>#VALUE!</v>
      </c>
      <c r="M21" t="e" vm="255">
        <v>#VALUE!</v>
      </c>
    </row>
    <row r="22" spans="3:43" x14ac:dyDescent="0.4">
      <c r="D22">
        <f>COUNT(#REF!)</f>
        <v>0</v>
      </c>
      <c r="K22">
        <v>21</v>
      </c>
      <c r="L22" t="e" vm="256">
        <v>#VALUE!</v>
      </c>
      <c r="M22" t="e" vm="257">
        <v>#VALUE!</v>
      </c>
    </row>
    <row r="31" spans="3:43" x14ac:dyDescent="0.4">
      <c r="I31" t="s">
        <v>157</v>
      </c>
    </row>
    <row r="32" spans="3:43" x14ac:dyDescent="0.4">
      <c r="I32" t="s">
        <v>158</v>
      </c>
      <c r="AQ32" s="115"/>
    </row>
    <row r="33" spans="9:9" x14ac:dyDescent="0.4">
      <c r="I33" t="s">
        <v>50</v>
      </c>
    </row>
    <row r="34" spans="9:9" x14ac:dyDescent="0.4">
      <c r="I34" t="s">
        <v>162</v>
      </c>
    </row>
    <row r="35" spans="9:9" x14ac:dyDescent="0.4">
      <c r="I35" t="s">
        <v>160</v>
      </c>
    </row>
    <row r="36" spans="9:9" x14ac:dyDescent="0.4">
      <c r="I36" t="s">
        <v>163</v>
      </c>
    </row>
    <row r="37" spans="9:9" x14ac:dyDescent="0.4">
      <c r="I37" t="s">
        <v>164</v>
      </c>
    </row>
    <row r="38" spans="9:9" x14ac:dyDescent="0.4">
      <c r="I38" t="s">
        <v>167</v>
      </c>
    </row>
  </sheetData>
  <pageMargins left="0.7" right="0.7" top="0.75" bottom="0.75" header="0.3" footer="0.3"/>
  <ignoredErrors>
    <ignoredError sqref="D2:D21" calculatedColumn="1"/>
  </ignoredErrors>
  <tableParts count="7">
    <tablePart r:id="rId1"/>
    <tablePart r:id="rId2"/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990AEE-B4CF-44CD-8C03-4784D7E12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47</vt:i4>
      </vt:variant>
    </vt:vector>
  </HeadingPairs>
  <TitlesOfParts>
    <vt:vector size="55" baseType="lpstr">
      <vt:lpstr>DamageCalc</vt:lpstr>
      <vt:lpstr>ChargeTracker</vt:lpstr>
      <vt:lpstr>SetLevels</vt:lpstr>
      <vt:lpstr>RCStats</vt:lpstr>
      <vt:lpstr>RCEquipment</vt:lpstr>
      <vt:lpstr>DMGTOOLS</vt:lpstr>
      <vt:lpstr>DEFENSES</vt:lpstr>
      <vt:lpstr>Tabling</vt:lpstr>
      <vt:lpstr>airdefense_img</vt:lpstr>
      <vt:lpstr>airsweeper_img</vt:lpstr>
      <vt:lpstr>archertower_img</vt:lpstr>
      <vt:lpstr>bombtower_img</vt:lpstr>
      <vt:lpstr>builderhut_img</vt:lpstr>
      <vt:lpstr>cannon_img</vt:lpstr>
      <vt:lpstr>cannon7_img</vt:lpstr>
      <vt:lpstr>ChargeStepTable</vt:lpstr>
      <vt:lpstr>ConcurrentEventsTable</vt:lpstr>
      <vt:lpstr>DefenseSelectionTable</vt:lpstr>
      <vt:lpstr>DMGEarthquake</vt:lpstr>
      <vt:lpstr>DMGGiantArrow</vt:lpstr>
      <vt:lpstr>DMGLogLauncher</vt:lpstr>
      <vt:lpstr>DMGPhoenix</vt:lpstr>
      <vt:lpstr>DMGSeekingShield</vt:lpstr>
      <vt:lpstr>eagleartillery_img</vt:lpstr>
      <vt:lpstr>eboots_img</vt:lpstr>
      <vt:lpstr>EquipmentElectroBoots</vt:lpstr>
      <vt:lpstr>EquipmentHasteVial</vt:lpstr>
      <vt:lpstr>EquipmentRocketSpear</vt:lpstr>
      <vt:lpstr>EquipmentRoyalGem</vt:lpstr>
      <vt:lpstr>firespitter_img</vt:lpstr>
      <vt:lpstr>hiddentesla_img</vt:lpstr>
      <vt:lpstr>hrpuppet_img</vt:lpstr>
      <vt:lpstr>hvial_img</vt:lpstr>
      <vt:lpstr>infernotower_img</vt:lpstr>
      <vt:lpstr>monolith_img</vt:lpstr>
      <vt:lpstr>mortar_img</vt:lpstr>
      <vt:lpstr>multiarchertower_img</vt:lpstr>
      <vt:lpstr>multigeartower_img</vt:lpstr>
      <vt:lpstr>PetTable</vt:lpstr>
      <vt:lpstr>PetTableDD</vt:lpstr>
      <vt:lpstr>phoenix_img</vt:lpstr>
      <vt:lpstr>RCStats</vt:lpstr>
      <vt:lpstr>rgem_img</vt:lpstr>
      <vt:lpstr>ricochetcannon_img</vt:lpstr>
      <vt:lpstr>rspr_img</vt:lpstr>
      <vt:lpstr>scattershot_img</vt:lpstr>
      <vt:lpstr>spelltower_img</vt:lpstr>
      <vt:lpstr>spiritfox_img</vt:lpstr>
      <vt:lpstr>ss_img</vt:lpstr>
      <vt:lpstr>TablingImageEquipmentLibrary</vt:lpstr>
      <vt:lpstr>TablingImageLibrary</vt:lpstr>
      <vt:lpstr>TablingLevelCapDefenses</vt:lpstr>
      <vt:lpstr>townhall_img</vt:lpstr>
      <vt:lpstr>wizardtower_img</vt:lpstr>
      <vt:lpstr>xbow_img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Patel, Sachit</dc:creator>
  <cp:lastModifiedBy>Patel, Sachit</cp:lastModifiedBy>
  <dcterms:created xsi:type="dcterms:W3CDTF">2025-07-29T20:27:06Z</dcterms:created>
  <dcterms:modified xsi:type="dcterms:W3CDTF">2025-08-24T14:53:19Z</dcterms:modified>
</cp:coreProperties>
</file>