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ЭтаКнига" defaultThemeVersion="124226"/>
  <mc:AlternateContent xmlns:mc="http://schemas.openxmlformats.org/markup-compatibility/2006">
    <mc:Choice Requires="x15">
      <x15ac:absPath xmlns:x15ac="http://schemas.microsoft.com/office/spreadsheetml/2010/11/ac" url="C:\Users\Сергей Смирнов\Desktop\"/>
    </mc:Choice>
  </mc:AlternateContent>
  <xr:revisionPtr revIDLastSave="0" documentId="8_{38C75A2A-ECCD-4B49-A49F-E96BB638EB72}" xr6:coauthVersionLast="45" xr6:coauthVersionMax="45" xr10:uidLastSave="{00000000-0000-0000-0000-000000000000}"/>
  <bookViews>
    <workbookView xWindow="-120" yWindow="-120" windowWidth="19440" windowHeight="10440" xr2:uid="{00000000-000D-0000-FFFF-FFFF00000000}"/>
  </bookViews>
  <sheets>
    <sheet name="УП" sheetId="5" r:id="rId1"/>
    <sheet name="МАТРИЦА" sheetId="6" r:id="rId2"/>
  </sheets>
  <externalReferences>
    <externalReference r:id="rId3"/>
    <externalReference r:id="rId4"/>
    <externalReference r:id="rId5"/>
  </externalReferences>
  <definedNames>
    <definedName name="_xlnm._FilterDatabase" localSheetId="0" hidden="1">УП!$A$19:$CH$19</definedName>
    <definedName name="а11" localSheetId="0">[1]Справочник_ФГОСВО!$J$4:$J$66</definedName>
    <definedName name="а11">[2]Справочник_ФГОСВО!$J$4:$J$66</definedName>
    <definedName name="а8" localSheetId="0">[1]Справочник_ФГОСВО!$H$4:$H$66</definedName>
    <definedName name="а8">[2]Справочник_ФГОСВО!$H$4:$H$66</definedName>
    <definedName name="_xlnm.Print_Titles" localSheetId="0">УП!$11:$18</definedName>
    <definedName name="_xlnm.Extract" localSheetId="0">УП!$A$19:$BY$19</definedName>
    <definedName name="к_ф_об" localSheetId="0">[1]справочники!$C$132:$C$134</definedName>
    <definedName name="к_ф_об">[2]справочники!$C$132:$C$134</definedName>
    <definedName name="каф_2013" localSheetId="0">[1]справочники!$A$2:$A$75</definedName>
    <definedName name="каф_2013">[2]справочники!$A$2:$A$75</definedName>
    <definedName name="каф_2014" localSheetId="0">[1]справочники!$B$2:$B$114</definedName>
    <definedName name="каф_2014">[2]справочники!$B$2:$B$114</definedName>
    <definedName name="каф_2015" localSheetId="0">[1]справочники!$D$2:$D$71</definedName>
    <definedName name="каф_2015">[2]справочники!$D$2:$D$71</definedName>
    <definedName name="кр_наим_каф" localSheetId="0">[3]справочники!$D$2:$D$100</definedName>
    <definedName name="кр_наим_каф">[2]справочники!$D$2:$D$100</definedName>
    <definedName name="_xlnm.Criteria" localSheetId="0">УП!#REF!</definedName>
    <definedName name="направ" localSheetId="0">OFFSET([1]Справочник_ФГОСВО!$H$4,MATCH('[1]Графики ФГОСВО'!$E$8,[1]Справочник_ФГОСВО!$H$4:'[1]Справочник_ФГОСВО'!$H$66,0)-1,3,COUNTIF([1]Справочник_ФГОСВО!$H$4:'[1]Справочник_ФГОСВО'!$H$66,'[1]Графики ФГОСВО'!$E$8),1)</definedName>
    <definedName name="направ">OFFSET([2]Справочник_ФГОСВО!$H$4,MATCH('[2]Графики ФГОСВО'!$E$8,[2]Справочник_ФГОСВО!$H$4:'[2]Справочник_ФГОСВО'!$H$66,0)-1,3,COUNTIF([2]Справочник_ФГОСВО!$H$4:'[2]Справочник_ФГОСВО'!$H$66,'[2]Графики ФГОСВО'!$E$8),1)</definedName>
    <definedName name="направ_руп" localSheetId="0">OFFSET([1]Справочник_ФГОСВО!$H$4,MATCH(УП!#REF!,[1]Справочник_ФГОСВО!$H$4:'[1]Справочник_ФГОСВО'!$H$66,0)-1,2,COUNTIF([1]Справочник_ФГОСВО!$H$4:'[1]Справочник_ФГОСВО'!$H$66,УП!#REF!),1)</definedName>
    <definedName name="направ_руп">OFFSET([2]Справочник_ФГОСВО!$H$4,MATCH(#REF!,[2]Справочник_ФГОСВО!$H$4:'[2]Справочник_ФГОСВО'!$H$66,0)-1,2,COUNTIF([2]Справочник_ФГОСВО!$H$4:'[2]Справочник_ФГОСВО'!$H$66,#REF!),1)</definedName>
    <definedName name="_xlnm.Print_Area" localSheetId="0">УП!$A$1:$BY$265</definedName>
    <definedName name="сем1" localSheetId="0">[3]справочники!#REF!</definedName>
    <definedName name="сем1">[2]справочники!#REF!</definedName>
    <definedName name="сем8" localSheetId="0">[3]справочники!#REF!</definedName>
    <definedName name="сем8">[2]справочники!#REF!</definedName>
    <definedName name="спр_деканов" localSheetId="0">[3]справочники!$I$2:$I$16</definedName>
    <definedName name="спр_деканов">[2]справочники!$I$2:$I$16</definedName>
    <definedName name="спр_инст" localSheetId="0">[1]справочники!$E$218:$E$221</definedName>
    <definedName name="спр_инст">[2]справочники!$E$218:$E$221</definedName>
    <definedName name="спр_направление" localSheetId="0">[1]справочники!$F$2:$F$34</definedName>
    <definedName name="спр_направление">[2]справочники!$F$2:$F$34</definedName>
    <definedName name="спр_председателей" localSheetId="0">[1]справочники!$J$2:$J$16</definedName>
    <definedName name="спр_председателей">[2]справочники!$J$2:$J$16</definedName>
    <definedName name="спр_профилей" localSheetId="0">[1]справочники!$G$125:$G$180</definedName>
    <definedName name="спр_профилей">[2]справочники!$G$125:$G$180</definedName>
    <definedName name="спр_формы_обуч" localSheetId="0">[1]справочники!$D$132:$D$134</definedName>
    <definedName name="спр_формы_обуч">[2]справочники!$D$132:$D$134</definedName>
    <definedName name="срок" localSheetId="0">[1]справочники!$B$132:$B$136</definedName>
    <definedName name="срок">[2]справочники!$B$132:$B$136</definedName>
    <definedName name="цикл_д" localSheetId="0">[1]справочники!$E$193:$E$214</definedName>
    <definedName name="цикл_д">[2]справочники!$E$193:$E$214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5" i="5" l="1"/>
  <c r="I206" i="5"/>
  <c r="E99" i="5"/>
  <c r="F99" i="5" s="1"/>
  <c r="Y99" i="5"/>
  <c r="Z99" i="5"/>
  <c r="X99" i="5" s="1"/>
  <c r="BY99" i="5" s="1"/>
  <c r="AA99" i="5"/>
  <c r="E104" i="5"/>
  <c r="F104" i="5" s="1"/>
  <c r="Y104" i="5"/>
  <c r="Z104" i="5"/>
  <c r="AA104" i="5"/>
  <c r="X104" i="5" l="1"/>
  <c r="W104" i="5" s="1"/>
  <c r="AK104" i="5" s="1"/>
  <c r="W99" i="5"/>
  <c r="AK99" i="5" s="1"/>
  <c r="I226" i="5"/>
  <c r="I220" i="5"/>
  <c r="AV206" i="5"/>
  <c r="AV205" i="5"/>
  <c r="AT206" i="5"/>
  <c r="AT205" i="5"/>
  <c r="E25" i="5"/>
  <c r="F25" i="5" s="1"/>
  <c r="E31" i="5"/>
  <c r="E52" i="5" l="1"/>
  <c r="Z52" i="5"/>
  <c r="X52" i="5" s="1"/>
  <c r="E53" i="5"/>
  <c r="F53" i="5" s="1"/>
  <c r="Z53" i="5"/>
  <c r="X53" i="5" s="1"/>
  <c r="W53" i="5" s="1"/>
  <c r="E55" i="5"/>
  <c r="F55" i="5" s="1"/>
  <c r="Z55" i="5"/>
  <c r="X55" i="5" s="1"/>
  <c r="E56" i="5"/>
  <c r="F56" i="5" s="1"/>
  <c r="Z56" i="5"/>
  <c r="X56" i="5" s="1"/>
  <c r="E58" i="5"/>
  <c r="F58" i="5" s="1"/>
  <c r="Z58" i="5"/>
  <c r="X58" i="5" s="1"/>
  <c r="E59" i="5"/>
  <c r="F59" i="5" s="1"/>
  <c r="Z59" i="5"/>
  <c r="X59" i="5" s="1"/>
  <c r="E61" i="5"/>
  <c r="Z61" i="5"/>
  <c r="X61" i="5" s="1"/>
  <c r="E62" i="5"/>
  <c r="F62" i="5" s="1"/>
  <c r="Z62" i="5"/>
  <c r="X62" i="5" s="1"/>
  <c r="W62" i="5" s="1"/>
  <c r="Y253" i="5"/>
  <c r="Z253" i="5"/>
  <c r="AA253" i="5"/>
  <c r="Y254" i="5"/>
  <c r="Z254" i="5"/>
  <c r="AA254" i="5"/>
  <c r="F254" i="5"/>
  <c r="F253" i="5"/>
  <c r="AA255" i="5"/>
  <c r="Z255" i="5"/>
  <c r="Y255" i="5"/>
  <c r="F255" i="5"/>
  <c r="AA252" i="5"/>
  <c r="Z252" i="5"/>
  <c r="Y252" i="5"/>
  <c r="F252" i="5"/>
  <c r="AA251" i="5"/>
  <c r="Z251" i="5"/>
  <c r="Y251" i="5"/>
  <c r="F251" i="5"/>
  <c r="AA250" i="5"/>
  <c r="Z250" i="5"/>
  <c r="Y250" i="5"/>
  <c r="F250" i="5"/>
  <c r="E50" i="5" l="1"/>
  <c r="F50" i="5" s="1"/>
  <c r="F61" i="5"/>
  <c r="BY61" i="5" s="1"/>
  <c r="E51" i="5"/>
  <c r="F51" i="5" s="1"/>
  <c r="E54" i="5"/>
  <c r="F54" i="5" s="1"/>
  <c r="F52" i="5"/>
  <c r="BY52" i="5" s="1"/>
  <c r="E57" i="5"/>
  <c r="F57" i="5" s="1"/>
  <c r="E60" i="5"/>
  <c r="F60" i="5" s="1"/>
  <c r="BY59" i="5"/>
  <c r="AK53" i="5"/>
  <c r="W58" i="5"/>
  <c r="AK58" i="5" s="1"/>
  <c r="BY58" i="5"/>
  <c r="W61" i="5"/>
  <c r="AK61" i="5" s="1"/>
  <c r="W52" i="5"/>
  <c r="BY55" i="5"/>
  <c r="W55" i="5"/>
  <c r="AK55" i="5" s="1"/>
  <c r="AK62" i="5"/>
  <c r="BY56" i="5"/>
  <c r="BY62" i="5"/>
  <c r="W59" i="5"/>
  <c r="AK59" i="5" s="1"/>
  <c r="W56" i="5"/>
  <c r="AK56" i="5" s="1"/>
  <c r="BY53" i="5"/>
  <c r="X255" i="5"/>
  <c r="BY255" i="5" s="1"/>
  <c r="X250" i="5"/>
  <c r="W250" i="5" s="1"/>
  <c r="AK250" i="5" s="1"/>
  <c r="X251" i="5"/>
  <c r="BY251" i="5" s="1"/>
  <c r="X252" i="5"/>
  <c r="BY252" i="5" s="1"/>
  <c r="X253" i="5"/>
  <c r="X254" i="5"/>
  <c r="W252" i="5"/>
  <c r="AK252" i="5" s="1"/>
  <c r="W251" i="5" l="1"/>
  <c r="AK251" i="5" s="1"/>
  <c r="AK52" i="5"/>
  <c r="BY250" i="5"/>
  <c r="W253" i="5"/>
  <c r="AK253" i="5" s="1"/>
  <c r="BY253" i="5"/>
  <c r="W255" i="5"/>
  <c r="AK255" i="5" s="1"/>
  <c r="W254" i="5"/>
  <c r="AK254" i="5" s="1"/>
  <c r="BY254" i="5"/>
  <c r="L206" i="5"/>
  <c r="L223" i="5" s="1"/>
  <c r="L205" i="5"/>
  <c r="L217" i="5" s="1"/>
  <c r="Z68" i="5"/>
  <c r="X68" i="5" s="1"/>
  <c r="W68" i="5" s="1"/>
  <c r="Z67" i="5"/>
  <c r="Z65" i="5"/>
  <c r="X65" i="5" s="1"/>
  <c r="W65" i="5" s="1"/>
  <c r="Z64" i="5"/>
  <c r="X64" i="5" s="1"/>
  <c r="W64" i="5" s="1"/>
  <c r="AT223" i="5"/>
  <c r="AT217" i="5"/>
  <c r="AV223" i="5"/>
  <c r="AV217" i="5"/>
  <c r="E157" i="5"/>
  <c r="F157" i="5" s="1"/>
  <c r="Y157" i="5"/>
  <c r="Z157" i="5"/>
  <c r="AA157" i="5"/>
  <c r="E158" i="5"/>
  <c r="F158" i="5" s="1"/>
  <c r="Y158" i="5"/>
  <c r="Z158" i="5"/>
  <c r="AA158" i="5"/>
  <c r="E159" i="5"/>
  <c r="F159" i="5" s="1"/>
  <c r="BY160" i="5"/>
  <c r="BY161" i="5"/>
  <c r="BY162" i="5"/>
  <c r="BY163" i="5"/>
  <c r="BY164" i="5"/>
  <c r="BY165" i="5"/>
  <c r="BY166" i="5"/>
  <c r="BY167" i="5"/>
  <c r="BY168" i="5"/>
  <c r="BY169" i="5"/>
  <c r="BY170" i="5"/>
  <c r="BY171" i="5"/>
  <c r="BY172" i="5"/>
  <c r="BY173" i="5"/>
  <c r="BY174" i="5"/>
  <c r="BY175" i="5"/>
  <c r="W72" i="5"/>
  <c r="AK72" i="5" s="1"/>
  <c r="W35" i="5"/>
  <c r="AK35" i="5" s="1"/>
  <c r="W37" i="5"/>
  <c r="M231" i="5"/>
  <c r="M225" i="5"/>
  <c r="M232" i="5"/>
  <c r="M226" i="5"/>
  <c r="L232" i="5"/>
  <c r="L226" i="5"/>
  <c r="L231" i="5"/>
  <c r="L225" i="5"/>
  <c r="K232" i="5"/>
  <c r="K226" i="5"/>
  <c r="L230" i="5"/>
  <c r="K230" i="5"/>
  <c r="J232" i="5"/>
  <c r="J226" i="5"/>
  <c r="J230" i="5"/>
  <c r="I230" i="5"/>
  <c r="I232" i="5"/>
  <c r="H231" i="5"/>
  <c r="G231" i="5"/>
  <c r="L227" i="5"/>
  <c r="J224" i="5"/>
  <c r="I224" i="5"/>
  <c r="H225" i="5"/>
  <c r="G225" i="5"/>
  <c r="AT207" i="5"/>
  <c r="AT229" i="5" s="1"/>
  <c r="AV207" i="5"/>
  <c r="AV229" i="5" s="1"/>
  <c r="BC207" i="5"/>
  <c r="BC229" i="5" s="1"/>
  <c r="BC206" i="5"/>
  <c r="BC223" i="5" s="1"/>
  <c r="BC205" i="5"/>
  <c r="BC217" i="5" s="1"/>
  <c r="BE207" i="5"/>
  <c r="BE229" i="5" s="1"/>
  <c r="BE206" i="5"/>
  <c r="BE223" i="5" s="1"/>
  <c r="BE205" i="5"/>
  <c r="BE217" i="5" s="1"/>
  <c r="M220" i="5"/>
  <c r="H226" i="5"/>
  <c r="M219" i="5"/>
  <c r="J220" i="5"/>
  <c r="J218" i="5"/>
  <c r="I218" i="5"/>
  <c r="H219" i="5"/>
  <c r="G219" i="5"/>
  <c r="K220" i="5"/>
  <c r="L219" i="5"/>
  <c r="L218" i="5"/>
  <c r="K218" i="5"/>
  <c r="L207" i="5"/>
  <c r="L229" i="5" s="1"/>
  <c r="X67" i="5"/>
  <c r="W67" i="5" s="1"/>
  <c r="I207" i="5"/>
  <c r="I229" i="5" s="1"/>
  <c r="I223" i="5"/>
  <c r="I217" i="5"/>
  <c r="E177" i="5"/>
  <c r="F177" i="5" s="1"/>
  <c r="Y177" i="5"/>
  <c r="Z177" i="5"/>
  <c r="AA177" i="5"/>
  <c r="E178" i="5"/>
  <c r="F178" i="5" s="1"/>
  <c r="Y178" i="5"/>
  <c r="Z178" i="5"/>
  <c r="AA178" i="5"/>
  <c r="E179" i="5"/>
  <c r="F179" i="5" s="1"/>
  <c r="Y179" i="5"/>
  <c r="Z179" i="5"/>
  <c r="AA179" i="5"/>
  <c r="E180" i="5"/>
  <c r="F180" i="5" s="1"/>
  <c r="Y180" i="5"/>
  <c r="Z180" i="5"/>
  <c r="AA180" i="5"/>
  <c r="E181" i="5"/>
  <c r="F181" i="5" s="1"/>
  <c r="Y181" i="5"/>
  <c r="Z181" i="5"/>
  <c r="AA181" i="5"/>
  <c r="E182" i="5"/>
  <c r="F182" i="5" s="1"/>
  <c r="Y182" i="5"/>
  <c r="Z182" i="5"/>
  <c r="AA182" i="5"/>
  <c r="E183" i="5"/>
  <c r="F183" i="5" s="1"/>
  <c r="Y183" i="5"/>
  <c r="Z183" i="5"/>
  <c r="AA183" i="5"/>
  <c r="E184" i="5"/>
  <c r="F184" i="5" s="1"/>
  <c r="Y184" i="5"/>
  <c r="Z184" i="5"/>
  <c r="AA184" i="5"/>
  <c r="E185" i="5"/>
  <c r="F185" i="5" s="1"/>
  <c r="Y185" i="5"/>
  <c r="Z185" i="5"/>
  <c r="AA185" i="5"/>
  <c r="E186" i="5"/>
  <c r="F186" i="5" s="1"/>
  <c r="Y186" i="5"/>
  <c r="Z186" i="5"/>
  <c r="AA186" i="5"/>
  <c r="E187" i="5"/>
  <c r="F187" i="5" s="1"/>
  <c r="Y187" i="5"/>
  <c r="Z187" i="5"/>
  <c r="AA187" i="5"/>
  <c r="E188" i="5"/>
  <c r="F188" i="5" s="1"/>
  <c r="Y188" i="5"/>
  <c r="Z188" i="5"/>
  <c r="AA188" i="5"/>
  <c r="E189" i="5"/>
  <c r="F189" i="5" s="1"/>
  <c r="Y189" i="5"/>
  <c r="Z189" i="5"/>
  <c r="AA189" i="5"/>
  <c r="E191" i="5"/>
  <c r="F191" i="5" s="1"/>
  <c r="Y191" i="5"/>
  <c r="Z191" i="5"/>
  <c r="AA191" i="5"/>
  <c r="E192" i="5"/>
  <c r="F192" i="5" s="1"/>
  <c r="Y192" i="5"/>
  <c r="Z192" i="5"/>
  <c r="AA192" i="5"/>
  <c r="E193" i="5"/>
  <c r="F193" i="5" s="1"/>
  <c r="Y193" i="5"/>
  <c r="Z193" i="5"/>
  <c r="AA193" i="5"/>
  <c r="E194" i="5"/>
  <c r="F194" i="5" s="1"/>
  <c r="Y194" i="5"/>
  <c r="Z194" i="5"/>
  <c r="AA194" i="5"/>
  <c r="E195" i="5"/>
  <c r="F195" i="5" s="1"/>
  <c r="Y195" i="5"/>
  <c r="Z195" i="5"/>
  <c r="AA195" i="5"/>
  <c r="E196" i="5"/>
  <c r="F196" i="5" s="1"/>
  <c r="Y196" i="5"/>
  <c r="Z196" i="5"/>
  <c r="AA196" i="5"/>
  <c r="E197" i="5"/>
  <c r="F197" i="5" s="1"/>
  <c r="Y197" i="5"/>
  <c r="Z197" i="5"/>
  <c r="AA197" i="5"/>
  <c r="E198" i="5"/>
  <c r="F198" i="5" s="1"/>
  <c r="Y198" i="5"/>
  <c r="Z198" i="5"/>
  <c r="AA198" i="5"/>
  <c r="E199" i="5"/>
  <c r="F199" i="5" s="1"/>
  <c r="Y199" i="5"/>
  <c r="Z199" i="5"/>
  <c r="AA199" i="5"/>
  <c r="E200" i="5"/>
  <c r="F200" i="5" s="1"/>
  <c r="Y200" i="5"/>
  <c r="Z200" i="5"/>
  <c r="AA200" i="5"/>
  <c r="E201" i="5"/>
  <c r="F201" i="5" s="1"/>
  <c r="Y201" i="5"/>
  <c r="Z201" i="5"/>
  <c r="AA201" i="5"/>
  <c r="E202" i="5"/>
  <c r="F202" i="5" s="1"/>
  <c r="Y202" i="5"/>
  <c r="Z202" i="5"/>
  <c r="AA202" i="5"/>
  <c r="E203" i="5"/>
  <c r="F203" i="5" s="1"/>
  <c r="Y203" i="5"/>
  <c r="Z203" i="5"/>
  <c r="AA203" i="5"/>
  <c r="Y204" i="5"/>
  <c r="Z204" i="5"/>
  <c r="AA204" i="5"/>
  <c r="G205" i="5"/>
  <c r="G217" i="5" s="1"/>
  <c r="H205" i="5"/>
  <c r="H217" i="5" s="1"/>
  <c r="J205" i="5"/>
  <c r="J217" i="5" s="1"/>
  <c r="K205" i="5"/>
  <c r="K217" i="5" s="1"/>
  <c r="M205" i="5"/>
  <c r="M217" i="5" s="1"/>
  <c r="N205" i="5"/>
  <c r="N217" i="5" s="1"/>
  <c r="O205" i="5"/>
  <c r="O208" i="5" s="1"/>
  <c r="P205" i="5"/>
  <c r="P217" i="5" s="1"/>
  <c r="Q205" i="5"/>
  <c r="Q208" i="5" s="1"/>
  <c r="R205" i="5"/>
  <c r="R208" i="5" s="1"/>
  <c r="AN205" i="5"/>
  <c r="AN217" i="5" s="1"/>
  <c r="AO205" i="5"/>
  <c r="AO217" i="5" s="1"/>
  <c r="AP205" i="5"/>
  <c r="AP217" i="5" s="1"/>
  <c r="AQ205" i="5"/>
  <c r="AQ217" i="5" s="1"/>
  <c r="AR205" i="5"/>
  <c r="AR217" i="5" s="1"/>
  <c r="AS205" i="5"/>
  <c r="AS217" i="5" s="1"/>
  <c r="AU205" i="5"/>
  <c r="AU217" i="5" s="1"/>
  <c r="AW205" i="5"/>
  <c r="AW217" i="5" s="1"/>
  <c r="AX205" i="5"/>
  <c r="AX217" i="5" s="1"/>
  <c r="AY205" i="5"/>
  <c r="AY217" i="5" s="1"/>
  <c r="AZ205" i="5"/>
  <c r="AZ217" i="5" s="1"/>
  <c r="BA205" i="5"/>
  <c r="BA217" i="5" s="1"/>
  <c r="BB205" i="5"/>
  <c r="BB217" i="5" s="1"/>
  <c r="BD205" i="5"/>
  <c r="BD217" i="5" s="1"/>
  <c r="BF205" i="5"/>
  <c r="BF217" i="5" s="1"/>
  <c r="BG205" i="5"/>
  <c r="BG217" i="5" s="1"/>
  <c r="BH205" i="5"/>
  <c r="BH217" i="5" s="1"/>
  <c r="G206" i="5"/>
  <c r="G223" i="5" s="1"/>
  <c r="H206" i="5"/>
  <c r="H223" i="5" s="1"/>
  <c r="J206" i="5"/>
  <c r="J223" i="5" s="1"/>
  <c r="K206" i="5"/>
  <c r="K223" i="5" s="1"/>
  <c r="M206" i="5"/>
  <c r="M223" i="5" s="1"/>
  <c r="N206" i="5"/>
  <c r="N223" i="5" s="1"/>
  <c r="O206" i="5"/>
  <c r="O223" i="5" s="1"/>
  <c r="P206" i="5"/>
  <c r="P223" i="5" s="1"/>
  <c r="Q206" i="5"/>
  <c r="Q223" i="5" s="1"/>
  <c r="R206" i="5"/>
  <c r="R223" i="5" s="1"/>
  <c r="R235" i="5" s="1"/>
  <c r="AN206" i="5"/>
  <c r="AN223" i="5" s="1"/>
  <c r="AO206" i="5"/>
  <c r="AO223" i="5" s="1"/>
  <c r="AP206" i="5"/>
  <c r="AP223" i="5" s="1"/>
  <c r="AQ206" i="5"/>
  <c r="AQ223" i="5" s="1"/>
  <c r="AR206" i="5"/>
  <c r="AR223" i="5" s="1"/>
  <c r="AS206" i="5"/>
  <c r="AS223" i="5" s="1"/>
  <c r="AU206" i="5"/>
  <c r="AU223" i="5" s="1"/>
  <c r="AW206" i="5"/>
  <c r="AW223" i="5" s="1"/>
  <c r="AX206" i="5"/>
  <c r="AX223" i="5" s="1"/>
  <c r="AY206" i="5"/>
  <c r="AY223" i="5" s="1"/>
  <c r="AZ206" i="5"/>
  <c r="AZ223" i="5" s="1"/>
  <c r="BA206" i="5"/>
  <c r="BA223" i="5" s="1"/>
  <c r="BB206" i="5"/>
  <c r="BB223" i="5" s="1"/>
  <c r="BD206" i="5"/>
  <c r="BD223" i="5" s="1"/>
  <c r="BF206" i="5"/>
  <c r="BG206" i="5"/>
  <c r="BG223" i="5" s="1"/>
  <c r="BH206" i="5"/>
  <c r="BH223" i="5" s="1"/>
  <c r="G207" i="5"/>
  <c r="G229" i="5" s="1"/>
  <c r="H207" i="5"/>
  <c r="H229" i="5" s="1"/>
  <c r="J207" i="5"/>
  <c r="J229" i="5" s="1"/>
  <c r="K207" i="5"/>
  <c r="K229" i="5" s="1"/>
  <c r="M207" i="5"/>
  <c r="M229" i="5" s="1"/>
  <c r="N207" i="5"/>
  <c r="N229" i="5" s="1"/>
  <c r="O207" i="5"/>
  <c r="P207" i="5"/>
  <c r="Q207" i="5"/>
  <c r="R207" i="5"/>
  <c r="AN207" i="5"/>
  <c r="AN229" i="5" s="1"/>
  <c r="AO207" i="5"/>
  <c r="AO229" i="5" s="1"/>
  <c r="AP207" i="5"/>
  <c r="AP229" i="5" s="1"/>
  <c r="AQ207" i="5"/>
  <c r="AQ229" i="5" s="1"/>
  <c r="AR207" i="5"/>
  <c r="AR229" i="5" s="1"/>
  <c r="AS207" i="5"/>
  <c r="AS229" i="5" s="1"/>
  <c r="AU207" i="5"/>
  <c r="AU229" i="5" s="1"/>
  <c r="AW207" i="5"/>
  <c r="AW229" i="5" s="1"/>
  <c r="AX207" i="5"/>
  <c r="AX229" i="5" s="1"/>
  <c r="AY207" i="5"/>
  <c r="AY229" i="5" s="1"/>
  <c r="AZ207" i="5"/>
  <c r="AZ229" i="5" s="1"/>
  <c r="BA207" i="5"/>
  <c r="BA229" i="5" s="1"/>
  <c r="BB207" i="5"/>
  <c r="BB229" i="5" s="1"/>
  <c r="BD207" i="5"/>
  <c r="BD229" i="5" s="1"/>
  <c r="BF207" i="5"/>
  <c r="BF229" i="5" s="1"/>
  <c r="BG207" i="5"/>
  <c r="BG229" i="5" s="1"/>
  <c r="BH207" i="5"/>
  <c r="BH229" i="5" s="1"/>
  <c r="G208" i="5"/>
  <c r="G235" i="5" s="1"/>
  <c r="H208" i="5"/>
  <c r="H235" i="5" s="1"/>
  <c r="I208" i="5"/>
  <c r="I235" i="5" s="1"/>
  <c r="J208" i="5"/>
  <c r="J235" i="5" s="1"/>
  <c r="K208" i="5"/>
  <c r="K235" i="5" s="1"/>
  <c r="L208" i="5"/>
  <c r="L235" i="5" s="1"/>
  <c r="M208" i="5"/>
  <c r="M235" i="5" s="1"/>
  <c r="N208" i="5"/>
  <c r="N235" i="5" s="1"/>
  <c r="AN208" i="5"/>
  <c r="AN235" i="5" s="1"/>
  <c r="AO208" i="5"/>
  <c r="AO235" i="5" s="1"/>
  <c r="AP208" i="5"/>
  <c r="AP235" i="5" s="1"/>
  <c r="AQ208" i="5"/>
  <c r="AQ235" i="5" s="1"/>
  <c r="AR208" i="5"/>
  <c r="AR235" i="5" s="1"/>
  <c r="AS208" i="5"/>
  <c r="AS235" i="5" s="1"/>
  <c r="AT208" i="5"/>
  <c r="AT235" i="5" s="1"/>
  <c r="AU208" i="5"/>
  <c r="AU235" i="5" s="1"/>
  <c r="AV208" i="5"/>
  <c r="AV235" i="5" s="1"/>
  <c r="AW208" i="5"/>
  <c r="AW235" i="5" s="1"/>
  <c r="AX208" i="5"/>
  <c r="AX235" i="5" s="1"/>
  <c r="AY208" i="5"/>
  <c r="AY235" i="5" s="1"/>
  <c r="AZ208" i="5"/>
  <c r="AZ235" i="5" s="1"/>
  <c r="BA208" i="5"/>
  <c r="BA235" i="5" s="1"/>
  <c r="BB208" i="5"/>
  <c r="BB235" i="5" s="1"/>
  <c r="BC208" i="5"/>
  <c r="BC235" i="5" s="1"/>
  <c r="BD208" i="5"/>
  <c r="BD235" i="5" s="1"/>
  <c r="BE208" i="5"/>
  <c r="BE235" i="5" s="1"/>
  <c r="BF208" i="5"/>
  <c r="BF235" i="5" s="1"/>
  <c r="BG208" i="5"/>
  <c r="BG235" i="5" s="1"/>
  <c r="BH208" i="5"/>
  <c r="BH235" i="5" s="1"/>
  <c r="E111" i="5"/>
  <c r="F111" i="5" s="1"/>
  <c r="E112" i="5"/>
  <c r="F112" i="5" s="1"/>
  <c r="E113" i="5"/>
  <c r="F113" i="5" s="1"/>
  <c r="E114" i="5"/>
  <c r="F114" i="5" s="1"/>
  <c r="A31" i="6"/>
  <c r="A29" i="6"/>
  <c r="B60" i="6"/>
  <c r="B61" i="6"/>
  <c r="B62" i="6"/>
  <c r="B63" i="6"/>
  <c r="A60" i="6"/>
  <c r="A61" i="6"/>
  <c r="A62" i="6"/>
  <c r="A63" i="6"/>
  <c r="A64" i="6"/>
  <c r="AA77" i="5"/>
  <c r="Z77" i="5"/>
  <c r="Y77" i="5"/>
  <c r="E77" i="5"/>
  <c r="F77" i="5" s="1"/>
  <c r="AA76" i="5"/>
  <c r="Z76" i="5"/>
  <c r="Y76" i="5"/>
  <c r="E76" i="5"/>
  <c r="F76" i="5" s="1"/>
  <c r="E44" i="5"/>
  <c r="E43" i="5" s="1"/>
  <c r="F43" i="5" s="1"/>
  <c r="Z42" i="5"/>
  <c r="Y41" i="5"/>
  <c r="X41" i="5" s="1"/>
  <c r="E42" i="5"/>
  <c r="F42" i="5" s="1"/>
  <c r="E41" i="5"/>
  <c r="F41" i="5" s="1"/>
  <c r="AA32" i="5"/>
  <c r="Z31" i="5"/>
  <c r="A183" i="6"/>
  <c r="A184" i="6"/>
  <c r="A182" i="6"/>
  <c r="B173" i="6"/>
  <c r="B174" i="6"/>
  <c r="B175" i="6"/>
  <c r="B176" i="6"/>
  <c r="B177" i="6"/>
  <c r="B178" i="6"/>
  <c r="B179" i="6"/>
  <c r="A178" i="6"/>
  <c r="A179" i="6"/>
  <c r="A173" i="6"/>
  <c r="A174" i="6"/>
  <c r="A175" i="6"/>
  <c r="A176" i="6"/>
  <c r="A177" i="6"/>
  <c r="A168" i="6"/>
  <c r="A169" i="6"/>
  <c r="A170" i="6"/>
  <c r="A171" i="6"/>
  <c r="A172" i="6"/>
  <c r="A167" i="6"/>
  <c r="A154" i="6"/>
  <c r="A155" i="6"/>
  <c r="A156" i="6"/>
  <c r="A157" i="6"/>
  <c r="A158" i="6"/>
  <c r="A159" i="6"/>
  <c r="A160" i="6"/>
  <c r="A161" i="6"/>
  <c r="A162" i="6"/>
  <c r="A163" i="6"/>
  <c r="A164" i="6"/>
  <c r="A165" i="6"/>
  <c r="A153" i="6"/>
  <c r="A140" i="6"/>
  <c r="A141" i="6"/>
  <c r="A142" i="6"/>
  <c r="A143" i="6"/>
  <c r="A144" i="6"/>
  <c r="A145" i="6"/>
  <c r="A146" i="6"/>
  <c r="A147" i="6"/>
  <c r="A148" i="6"/>
  <c r="A149" i="6"/>
  <c r="A150" i="6"/>
  <c r="A151" i="6"/>
  <c r="A139" i="6"/>
  <c r="A126" i="6"/>
  <c r="A127" i="6"/>
  <c r="A128" i="6"/>
  <c r="A129" i="6"/>
  <c r="A130" i="6"/>
  <c r="A131" i="6"/>
  <c r="A132" i="6"/>
  <c r="A133" i="6"/>
  <c r="A134" i="6"/>
  <c r="A135" i="6"/>
  <c r="A136" i="6"/>
  <c r="A137" i="6"/>
  <c r="A125" i="6"/>
  <c r="A112" i="6"/>
  <c r="A113" i="6"/>
  <c r="A114" i="6"/>
  <c r="A115" i="6"/>
  <c r="A116" i="6"/>
  <c r="A117" i="6"/>
  <c r="A118" i="6"/>
  <c r="A119" i="6"/>
  <c r="A120" i="6"/>
  <c r="A121" i="6"/>
  <c r="A122" i="6"/>
  <c r="A123" i="6"/>
  <c r="A111" i="6"/>
  <c r="A97" i="6"/>
  <c r="A98" i="6"/>
  <c r="A99" i="6"/>
  <c r="A100" i="6"/>
  <c r="A101" i="6"/>
  <c r="A102" i="6"/>
  <c r="A103" i="6"/>
  <c r="A104" i="6"/>
  <c r="A105" i="6"/>
  <c r="A106" i="6"/>
  <c r="A107" i="6"/>
  <c r="A108" i="6"/>
  <c r="A96" i="6"/>
  <c r="B90" i="6"/>
  <c r="B91" i="6"/>
  <c r="B92" i="6"/>
  <c r="B93" i="6"/>
  <c r="B94" i="6"/>
  <c r="A90" i="6"/>
  <c r="A91" i="6"/>
  <c r="A92" i="6"/>
  <c r="A93" i="6"/>
  <c r="A94" i="6"/>
  <c r="A89" i="6"/>
  <c r="A85" i="6"/>
  <c r="A84" i="6"/>
  <c r="A80" i="6"/>
  <c r="B80" i="6"/>
  <c r="B81" i="6"/>
  <c r="A73" i="6"/>
  <c r="A74" i="6"/>
  <c r="A75" i="6"/>
  <c r="A76" i="6"/>
  <c r="A77" i="6"/>
  <c r="A78" i="6"/>
  <c r="A72" i="6"/>
  <c r="A67" i="6"/>
  <c r="A68" i="6"/>
  <c r="A69" i="6"/>
  <c r="A70" i="6"/>
  <c r="A66" i="6"/>
  <c r="A59" i="6"/>
  <c r="A58" i="6"/>
  <c r="A55" i="6"/>
  <c r="A54" i="6"/>
  <c r="A52" i="6"/>
  <c r="A51" i="6"/>
  <c r="A49" i="6"/>
  <c r="A48" i="6"/>
  <c r="A46" i="6"/>
  <c r="A45" i="6"/>
  <c r="A43" i="6"/>
  <c r="A42" i="6"/>
  <c r="A40" i="6"/>
  <c r="A39" i="6"/>
  <c r="A35" i="6"/>
  <c r="A34" i="6"/>
  <c r="A25" i="6"/>
  <c r="A26" i="6"/>
  <c r="A27" i="6"/>
  <c r="A28" i="6"/>
  <c r="A24" i="6"/>
  <c r="A20" i="6"/>
  <c r="A17" i="6"/>
  <c r="A16" i="6"/>
  <c r="A9" i="6"/>
  <c r="B64" i="6"/>
  <c r="B73" i="6"/>
  <c r="B74" i="6"/>
  <c r="B75" i="6"/>
  <c r="B76" i="6"/>
  <c r="B77" i="6"/>
  <c r="B78" i="6"/>
  <c r="B67" i="6"/>
  <c r="B68" i="6"/>
  <c r="B69" i="6"/>
  <c r="B70" i="6"/>
  <c r="B59" i="6"/>
  <c r="B58" i="6"/>
  <c r="E116" i="5"/>
  <c r="F116" i="5" s="1"/>
  <c r="E115" i="5"/>
  <c r="F115" i="5" s="1"/>
  <c r="E91" i="5"/>
  <c r="F91" i="5" s="1"/>
  <c r="E90" i="5"/>
  <c r="F90" i="5" s="1"/>
  <c r="E89" i="5"/>
  <c r="F89" i="5" s="1"/>
  <c r="E88" i="5"/>
  <c r="F88" i="5" s="1"/>
  <c r="AA83" i="5"/>
  <c r="Z83" i="5"/>
  <c r="Y83" i="5"/>
  <c r="AA82" i="5"/>
  <c r="Z82" i="5"/>
  <c r="Y82" i="5"/>
  <c r="AA81" i="5"/>
  <c r="Z81" i="5"/>
  <c r="Y81" i="5"/>
  <c r="AA80" i="5"/>
  <c r="Z80" i="5"/>
  <c r="Y80" i="5"/>
  <c r="E83" i="5"/>
  <c r="F83" i="5" s="1"/>
  <c r="E82" i="5"/>
  <c r="F82" i="5" s="1"/>
  <c r="E81" i="5"/>
  <c r="E80" i="5"/>
  <c r="Y211" i="5"/>
  <c r="Z211" i="5"/>
  <c r="AA211" i="5"/>
  <c r="AK211" i="5"/>
  <c r="E37" i="5"/>
  <c r="F37" i="5" s="1"/>
  <c r="E38" i="5"/>
  <c r="F38" i="5" s="1"/>
  <c r="E39" i="5"/>
  <c r="F39" i="5" s="1"/>
  <c r="E40" i="5"/>
  <c r="F40" i="5" s="1"/>
  <c r="E47" i="5"/>
  <c r="F47" i="5" s="1"/>
  <c r="E48" i="5"/>
  <c r="E49" i="5"/>
  <c r="B182" i="6"/>
  <c r="B192" i="6"/>
  <c r="B191" i="6"/>
  <c r="B190" i="6"/>
  <c r="B189" i="6"/>
  <c r="B188"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8" i="6"/>
  <c r="B107" i="6"/>
  <c r="B106" i="6"/>
  <c r="B105" i="6"/>
  <c r="B104" i="6"/>
  <c r="B103" i="6"/>
  <c r="B102" i="6"/>
  <c r="B101" i="6"/>
  <c r="B100" i="6"/>
  <c r="B99" i="6"/>
  <c r="B98" i="6"/>
  <c r="B97" i="6"/>
  <c r="B96" i="6"/>
  <c r="B109" i="6"/>
  <c r="B95" i="6"/>
  <c r="B89" i="6"/>
  <c r="B88" i="6"/>
  <c r="B87" i="6"/>
  <c r="B86" i="6"/>
  <c r="B85" i="6"/>
  <c r="B84" i="6"/>
  <c r="B83" i="6"/>
  <c r="B72" i="6"/>
  <c r="B82" i="6"/>
  <c r="B79" i="6"/>
  <c r="B71" i="6"/>
  <c r="B66" i="6"/>
  <c r="B65" i="6"/>
  <c r="B57" i="6"/>
  <c r="B56" i="6"/>
  <c r="B55" i="6"/>
  <c r="B54" i="6"/>
  <c r="B53" i="6"/>
  <c r="B52" i="6"/>
  <c r="B51" i="6"/>
  <c r="B50" i="6"/>
  <c r="B49" i="6"/>
  <c r="B48" i="6"/>
  <c r="B47" i="6"/>
  <c r="B46" i="6"/>
  <c r="B45" i="6"/>
  <c r="B44" i="6"/>
  <c r="B43" i="6"/>
  <c r="B42" i="6"/>
  <c r="B41" i="6"/>
  <c r="B40" i="6"/>
  <c r="B39" i="6"/>
  <c r="B38" i="6"/>
  <c r="B28" i="6"/>
  <c r="B29" i="6"/>
  <c r="B27" i="6"/>
  <c r="B26" i="6"/>
  <c r="B25" i="6"/>
  <c r="B24" i="6"/>
  <c r="B22" i="6"/>
  <c r="B21" i="6"/>
  <c r="B20" i="6"/>
  <c r="B5" i="6"/>
  <c r="B6" i="6"/>
  <c r="B7" i="6"/>
  <c r="B8" i="6"/>
  <c r="B9" i="6"/>
  <c r="B10" i="6"/>
  <c r="Q245" i="5"/>
  <c r="P245" i="5"/>
  <c r="O245" i="5"/>
  <c r="N245" i="5"/>
  <c r="M245" i="5"/>
  <c r="L245" i="5"/>
  <c r="K245" i="5"/>
  <c r="J245" i="5"/>
  <c r="I245" i="5"/>
  <c r="H245" i="5"/>
  <c r="G245" i="5"/>
  <c r="Q244" i="5"/>
  <c r="P244" i="5"/>
  <c r="O244" i="5"/>
  <c r="N244" i="5"/>
  <c r="M244" i="5"/>
  <c r="L244" i="5"/>
  <c r="K244" i="5"/>
  <c r="J244" i="5"/>
  <c r="I244" i="5"/>
  <c r="H244" i="5"/>
  <c r="G244" i="5"/>
  <c r="B15" i="6"/>
  <c r="B14" i="6"/>
  <c r="B13" i="6"/>
  <c r="B12" i="6"/>
  <c r="B11" i="6"/>
  <c r="Y248" i="5"/>
  <c r="Z248" i="5"/>
  <c r="AA248" i="5"/>
  <c r="E248" i="5"/>
  <c r="F248" i="5" s="1"/>
  <c r="Y111" i="5"/>
  <c r="Z111" i="5"/>
  <c r="AA111" i="5"/>
  <c r="Y97" i="5"/>
  <c r="Z97" i="5"/>
  <c r="AA97" i="5"/>
  <c r="F97" i="5"/>
  <c r="E93" i="5"/>
  <c r="E92" i="5" s="1"/>
  <c r="F92" i="5" s="1"/>
  <c r="Y91" i="5"/>
  <c r="AA91" i="5"/>
  <c r="Z91" i="5"/>
  <c r="Y90" i="5"/>
  <c r="AA90" i="5"/>
  <c r="Z90" i="5"/>
  <c r="Y89" i="5"/>
  <c r="AA89" i="5"/>
  <c r="Z89" i="5"/>
  <c r="Y88" i="5"/>
  <c r="AA88" i="5"/>
  <c r="Z88" i="5"/>
  <c r="E67" i="5"/>
  <c r="F67" i="5" s="1"/>
  <c r="E68" i="5"/>
  <c r="F68" i="5" s="1"/>
  <c r="E64" i="5"/>
  <c r="F64" i="5" s="1"/>
  <c r="E65" i="5"/>
  <c r="F65" i="5" s="1"/>
  <c r="E32" i="5"/>
  <c r="E23" i="5" s="1"/>
  <c r="F23" i="5" s="1"/>
  <c r="BY23" i="5" s="1"/>
  <c r="Y32" i="5"/>
  <c r="Z32" i="5"/>
  <c r="AA25" i="5"/>
  <c r="Y25" i="5"/>
  <c r="Z25" i="5"/>
  <c r="F24" i="5"/>
  <c r="J238" i="5"/>
  <c r="I238" i="5"/>
  <c r="N243" i="5"/>
  <c r="M243" i="5"/>
  <c r="L243" i="5"/>
  <c r="K243" i="5"/>
  <c r="J243" i="5"/>
  <c r="I243" i="5"/>
  <c r="H243" i="5"/>
  <c r="G243" i="5"/>
  <c r="O243" i="5"/>
  <c r="P243" i="5"/>
  <c r="Q243" i="5"/>
  <c r="N242" i="5"/>
  <c r="M242" i="5"/>
  <c r="L242" i="5"/>
  <c r="K242" i="5"/>
  <c r="J242" i="5"/>
  <c r="I242" i="5"/>
  <c r="H242" i="5"/>
  <c r="G242" i="5"/>
  <c r="N239" i="5"/>
  <c r="M239" i="5"/>
  <c r="L239" i="5"/>
  <c r="K239" i="5"/>
  <c r="J239" i="5"/>
  <c r="I239" i="5"/>
  <c r="H239" i="5"/>
  <c r="G239" i="5"/>
  <c r="N238" i="5"/>
  <c r="M238" i="5"/>
  <c r="L238" i="5"/>
  <c r="K238" i="5"/>
  <c r="H238" i="5"/>
  <c r="G238" i="5"/>
  <c r="N237" i="5"/>
  <c r="M237" i="5"/>
  <c r="L237" i="5"/>
  <c r="K237" i="5"/>
  <c r="J237" i="5"/>
  <c r="I237" i="5"/>
  <c r="H237" i="5"/>
  <c r="G237" i="5"/>
  <c r="N236" i="5"/>
  <c r="M236" i="5"/>
  <c r="L236" i="5"/>
  <c r="K236" i="5"/>
  <c r="J236" i="5"/>
  <c r="I236" i="5"/>
  <c r="H236" i="5"/>
  <c r="G236" i="5"/>
  <c r="N231" i="5"/>
  <c r="K231" i="5"/>
  <c r="J231" i="5"/>
  <c r="I231" i="5"/>
  <c r="N233" i="5"/>
  <c r="M233" i="5"/>
  <c r="L233" i="5"/>
  <c r="K233" i="5"/>
  <c r="J233" i="5"/>
  <c r="I233" i="5"/>
  <c r="H233" i="5"/>
  <c r="G233" i="5"/>
  <c r="N232" i="5"/>
  <c r="H232" i="5"/>
  <c r="G232" i="5"/>
  <c r="N230" i="5"/>
  <c r="M230" i="5"/>
  <c r="H230" i="5"/>
  <c r="G230" i="5"/>
  <c r="O230" i="5"/>
  <c r="P230" i="5"/>
  <c r="Q230" i="5"/>
  <c r="BK209" i="5"/>
  <c r="BK241" i="5" s="1"/>
  <c r="BJ209" i="5"/>
  <c r="BJ241" i="5" s="1"/>
  <c r="BI209" i="5"/>
  <c r="BI241" i="5" s="1"/>
  <c r="BH209" i="5"/>
  <c r="BH241" i="5" s="1"/>
  <c r="BG209" i="5"/>
  <c r="BG241" i="5" s="1"/>
  <c r="BF209" i="5"/>
  <c r="BF241" i="5" s="1"/>
  <c r="BE209" i="5"/>
  <c r="BE241" i="5" s="1"/>
  <c r="BD209" i="5"/>
  <c r="BD241" i="5" s="1"/>
  <c r="BC209" i="5"/>
  <c r="BC241" i="5" s="1"/>
  <c r="BB209" i="5"/>
  <c r="BB241" i="5" s="1"/>
  <c r="BA209" i="5"/>
  <c r="BA241" i="5" s="1"/>
  <c r="AZ209" i="5"/>
  <c r="AZ241" i="5" s="1"/>
  <c r="AY209" i="5"/>
  <c r="AY241" i="5" s="1"/>
  <c r="AX209" i="5"/>
  <c r="AX241" i="5" s="1"/>
  <c r="AW209" i="5"/>
  <c r="AW241" i="5" s="1"/>
  <c r="AV209" i="5"/>
  <c r="AV241" i="5" s="1"/>
  <c r="AU209" i="5"/>
  <c r="AU241" i="5" s="1"/>
  <c r="AT209" i="5"/>
  <c r="AT241" i="5" s="1"/>
  <c r="AS209" i="5"/>
  <c r="AS241" i="5" s="1"/>
  <c r="AR209" i="5"/>
  <c r="AR241" i="5" s="1"/>
  <c r="AQ209" i="5"/>
  <c r="AQ241" i="5" s="1"/>
  <c r="AP209" i="5"/>
  <c r="AP241" i="5" s="1"/>
  <c r="AO209" i="5"/>
  <c r="AO241" i="5" s="1"/>
  <c r="AN209" i="5"/>
  <c r="AN241" i="5" s="1"/>
  <c r="N209" i="5"/>
  <c r="N241" i="5" s="1"/>
  <c r="M209" i="5"/>
  <c r="M241" i="5" s="1"/>
  <c r="L209" i="5"/>
  <c r="L241" i="5" s="1"/>
  <c r="K209" i="5"/>
  <c r="K241" i="5" s="1"/>
  <c r="J209" i="5"/>
  <c r="J241" i="5" s="1"/>
  <c r="I209" i="5"/>
  <c r="I241" i="5" s="1"/>
  <c r="H209" i="5"/>
  <c r="H241" i="5" s="1"/>
  <c r="G209" i="5"/>
  <c r="G241" i="5" s="1"/>
  <c r="BK208" i="5"/>
  <c r="BK235" i="5" s="1"/>
  <c r="BJ208" i="5"/>
  <c r="BJ235" i="5" s="1"/>
  <c r="BI208" i="5"/>
  <c r="BI235" i="5" s="1"/>
  <c r="BK207" i="5"/>
  <c r="BK229" i="5" s="1"/>
  <c r="BJ207" i="5"/>
  <c r="BJ229" i="5" s="1"/>
  <c r="BI207" i="5"/>
  <c r="BI229" i="5" s="1"/>
  <c r="Q242" i="5"/>
  <c r="P242" i="5"/>
  <c r="O242" i="5"/>
  <c r="Q239" i="5"/>
  <c r="P239" i="5"/>
  <c r="O239" i="5"/>
  <c r="Q238" i="5"/>
  <c r="P238" i="5"/>
  <c r="O238" i="5"/>
  <c r="Q237" i="5"/>
  <c r="P237" i="5"/>
  <c r="O237" i="5"/>
  <c r="Q236" i="5"/>
  <c r="P236" i="5"/>
  <c r="O236" i="5"/>
  <c r="Q233" i="5"/>
  <c r="P233" i="5"/>
  <c r="O233" i="5"/>
  <c r="Q232" i="5"/>
  <c r="P232" i="5"/>
  <c r="O232" i="5"/>
  <c r="Q231" i="5"/>
  <c r="P231" i="5"/>
  <c r="O231" i="5"/>
  <c r="BU230" i="5"/>
  <c r="BU231" i="5" s="1"/>
  <c r="BR230" i="5"/>
  <c r="BR231" i="5" s="1"/>
  <c r="BO230" i="5"/>
  <c r="BO231" i="5" s="1"/>
  <c r="BL230" i="5"/>
  <c r="BL231" i="5" s="1"/>
  <c r="P224" i="5"/>
  <c r="P218" i="5"/>
  <c r="P219" i="5"/>
  <c r="P220" i="5"/>
  <c r="P221" i="5"/>
  <c r="BW207" i="5"/>
  <c r="BV207" i="5"/>
  <c r="BU207" i="5"/>
  <c r="BT207" i="5"/>
  <c r="BS207" i="5"/>
  <c r="BR207" i="5"/>
  <c r="BQ207" i="5"/>
  <c r="BP207" i="5"/>
  <c r="BO207" i="5"/>
  <c r="BN207" i="5"/>
  <c r="BM207" i="5"/>
  <c r="BL207" i="5"/>
  <c r="H224" i="5"/>
  <c r="H218" i="5"/>
  <c r="B16" i="6"/>
  <c r="B17" i="6"/>
  <c r="B18" i="6"/>
  <c r="B19" i="6"/>
  <c r="B23" i="6"/>
  <c r="B30" i="6"/>
  <c r="B31" i="6"/>
  <c r="B32" i="6"/>
  <c r="B33" i="6"/>
  <c r="B34" i="6"/>
  <c r="B35" i="6"/>
  <c r="B36" i="6"/>
  <c r="B37" i="6"/>
  <c r="B180" i="6"/>
  <c r="B181" i="6"/>
  <c r="B183" i="6"/>
  <c r="B184" i="6"/>
  <c r="B185" i="6"/>
  <c r="B186" i="6"/>
  <c r="Q227" i="5"/>
  <c r="P227" i="5"/>
  <c r="O227" i="5"/>
  <c r="N227" i="5"/>
  <c r="M227" i="5"/>
  <c r="K227" i="5"/>
  <c r="J227" i="5"/>
  <c r="I227" i="5"/>
  <c r="G227" i="5"/>
  <c r="H227" i="5"/>
  <c r="Q226" i="5"/>
  <c r="P226" i="5"/>
  <c r="O226" i="5"/>
  <c r="N226" i="5"/>
  <c r="G226" i="5"/>
  <c r="Q225" i="5"/>
  <c r="P225" i="5"/>
  <c r="O225" i="5"/>
  <c r="N225" i="5"/>
  <c r="K225" i="5"/>
  <c r="J225" i="5"/>
  <c r="I225" i="5"/>
  <c r="Q224" i="5"/>
  <c r="O224" i="5"/>
  <c r="N224" i="5"/>
  <c r="M224" i="5"/>
  <c r="L224" i="5"/>
  <c r="K224" i="5"/>
  <c r="G224" i="5"/>
  <c r="G221" i="5"/>
  <c r="Q219" i="5"/>
  <c r="O219" i="5"/>
  <c r="N219" i="5"/>
  <c r="K219" i="5"/>
  <c r="J219" i="5"/>
  <c r="I219" i="5"/>
  <c r="Q221" i="5"/>
  <c r="O221" i="5"/>
  <c r="N221" i="5"/>
  <c r="M221" i="5"/>
  <c r="L221" i="5"/>
  <c r="K221" i="5"/>
  <c r="J221" i="5"/>
  <c r="I221" i="5"/>
  <c r="H221" i="5"/>
  <c r="Q220" i="5"/>
  <c r="O220" i="5"/>
  <c r="N220" i="5"/>
  <c r="H220" i="5"/>
  <c r="G220" i="5"/>
  <c r="Q218" i="5"/>
  <c r="O218" i="5"/>
  <c r="N218" i="5"/>
  <c r="M218" i="5"/>
  <c r="G218" i="5"/>
  <c r="BW206" i="5"/>
  <c r="BW223" i="5" s="1"/>
  <c r="BW235" i="5" s="1"/>
  <c r="BV206" i="5"/>
  <c r="BV223" i="5" s="1"/>
  <c r="BV235" i="5" s="1"/>
  <c r="BU206" i="5"/>
  <c r="BU223" i="5" s="1"/>
  <c r="BT206" i="5"/>
  <c r="BT223" i="5" s="1"/>
  <c r="BT235" i="5" s="1"/>
  <c r="BS206" i="5"/>
  <c r="BS223" i="5" s="1"/>
  <c r="BS235" i="5" s="1"/>
  <c r="BR206" i="5"/>
  <c r="BR223" i="5" s="1"/>
  <c r="BQ206" i="5"/>
  <c r="BQ223" i="5" s="1"/>
  <c r="BQ235" i="5" s="1"/>
  <c r="BP206" i="5"/>
  <c r="BP223" i="5" s="1"/>
  <c r="BP235" i="5" s="1"/>
  <c r="BO206" i="5"/>
  <c r="BO223" i="5" s="1"/>
  <c r="BN206" i="5"/>
  <c r="BN223" i="5" s="1"/>
  <c r="BN235" i="5" s="1"/>
  <c r="BM206" i="5"/>
  <c r="BM223" i="5" s="1"/>
  <c r="BM235" i="5" s="1"/>
  <c r="BL206" i="5"/>
  <c r="BL223" i="5" s="1"/>
  <c r="BK206" i="5"/>
  <c r="BK223" i="5" s="1"/>
  <c r="BJ206" i="5"/>
  <c r="BJ223" i="5" s="1"/>
  <c r="BI206" i="5"/>
  <c r="BI223" i="5" s="1"/>
  <c r="BW205" i="5"/>
  <c r="BW208" i="5" s="1"/>
  <c r="BV205" i="5"/>
  <c r="BU205" i="5"/>
  <c r="BU208" i="5" s="1"/>
  <c r="BT205" i="5"/>
  <c r="BT217" i="5" s="1"/>
  <c r="BT229" i="5" s="1"/>
  <c r="BT241" i="5" s="1"/>
  <c r="BS205" i="5"/>
  <c r="BS208" i="5" s="1"/>
  <c r="BR205" i="5"/>
  <c r="BQ205" i="5"/>
  <c r="BQ208" i="5" s="1"/>
  <c r="BP205" i="5"/>
  <c r="BP208" i="5" s="1"/>
  <c r="BO205" i="5"/>
  <c r="BO208" i="5" s="1"/>
  <c r="BN205" i="5"/>
  <c r="BN208" i="5" s="1"/>
  <c r="BM205" i="5"/>
  <c r="BM217" i="5" s="1"/>
  <c r="BM229" i="5" s="1"/>
  <c r="BM241" i="5" s="1"/>
  <c r="BL205" i="5"/>
  <c r="BL217" i="5" s="1"/>
  <c r="BK205" i="5"/>
  <c r="BK217" i="5" s="1"/>
  <c r="BJ205" i="5"/>
  <c r="BJ217" i="5" s="1"/>
  <c r="BI205" i="5"/>
  <c r="BI217" i="5" s="1"/>
  <c r="BY153" i="5"/>
  <c r="AA144" i="5"/>
  <c r="Y144" i="5"/>
  <c r="Z144" i="5"/>
  <c r="E144" i="5"/>
  <c r="F144" i="5" s="1"/>
  <c r="BY21" i="5"/>
  <c r="BY20" i="5"/>
  <c r="AA31" i="5"/>
  <c r="AA37" i="5"/>
  <c r="AA38" i="5"/>
  <c r="AA40" i="5"/>
  <c r="AA47" i="5"/>
  <c r="AA48" i="5"/>
  <c r="AA92" i="5"/>
  <c r="AA93" i="5"/>
  <c r="AA96" i="5"/>
  <c r="AA112" i="5"/>
  <c r="AA113" i="5"/>
  <c r="AA114" i="5"/>
  <c r="AA115" i="5"/>
  <c r="AA116" i="5"/>
  <c r="AA123" i="5"/>
  <c r="AA124" i="5"/>
  <c r="AA125" i="5"/>
  <c r="AA126" i="5"/>
  <c r="AA127" i="5"/>
  <c r="AA128" i="5"/>
  <c r="AA129" i="5"/>
  <c r="AA130" i="5"/>
  <c r="AA212" i="5"/>
  <c r="AA213" i="5"/>
  <c r="AA215" i="5"/>
  <c r="Y31" i="5"/>
  <c r="Y38" i="5"/>
  <c r="Y40" i="5"/>
  <c r="W44" i="5"/>
  <c r="Y47" i="5"/>
  <c r="Y48" i="5"/>
  <c r="Y92" i="5"/>
  <c r="Y93" i="5"/>
  <c r="Y96" i="5"/>
  <c r="Y113" i="5"/>
  <c r="Y114" i="5"/>
  <c r="Y115" i="5"/>
  <c r="Y116" i="5"/>
  <c r="Y123" i="5"/>
  <c r="Y124" i="5"/>
  <c r="Y125" i="5"/>
  <c r="Y126" i="5"/>
  <c r="Y127" i="5"/>
  <c r="Y128" i="5"/>
  <c r="Y129" i="5"/>
  <c r="Y130" i="5"/>
  <c r="Y212" i="5"/>
  <c r="Y213" i="5"/>
  <c r="Y215" i="5"/>
  <c r="Z37" i="5"/>
  <c r="Z38" i="5"/>
  <c r="Z39" i="5"/>
  <c r="W39" i="5"/>
  <c r="Z40" i="5"/>
  <c r="Z44" i="5"/>
  <c r="Z47" i="5"/>
  <c r="Z48" i="5"/>
  <c r="Z92" i="5"/>
  <c r="Z93" i="5"/>
  <c r="Z96" i="5"/>
  <c r="Z112" i="5"/>
  <c r="Z113" i="5"/>
  <c r="Z114" i="5"/>
  <c r="Z115" i="5"/>
  <c r="Z116" i="5"/>
  <c r="Z123" i="5"/>
  <c r="Z124" i="5"/>
  <c r="Z125" i="5"/>
  <c r="Z126" i="5"/>
  <c r="Z127" i="5"/>
  <c r="Z128" i="5"/>
  <c r="Z129" i="5"/>
  <c r="Z130" i="5"/>
  <c r="Z212" i="5"/>
  <c r="Z213" i="5"/>
  <c r="Z215" i="5"/>
  <c r="E129" i="5"/>
  <c r="F129" i="5" s="1"/>
  <c r="E130" i="5"/>
  <c r="F130" i="5" s="1"/>
  <c r="E128" i="5"/>
  <c r="F128" i="5" s="1"/>
  <c r="E127" i="5"/>
  <c r="F127" i="5" s="1"/>
  <c r="E126" i="5"/>
  <c r="F126" i="5" s="1"/>
  <c r="E125" i="5"/>
  <c r="F125" i="5" s="1"/>
  <c r="E124" i="5"/>
  <c r="F124" i="5" s="1"/>
  <c r="E123" i="5"/>
  <c r="F123" i="5" s="1"/>
  <c r="BY122" i="5"/>
  <c r="E215" i="5"/>
  <c r="F215" i="5" s="1"/>
  <c r="F214" i="5" s="1"/>
  <c r="BY214" i="5" s="1"/>
  <c r="AK215" i="5"/>
  <c r="BY119" i="5"/>
  <c r="E34" i="5"/>
  <c r="BY155" i="5"/>
  <c r="BY134" i="5"/>
  <c r="BY72" i="5"/>
  <c r="BY136" i="5"/>
  <c r="BY211" i="5"/>
  <c r="BY147" i="5"/>
  <c r="BY135" i="5"/>
  <c r="BY143" i="5"/>
  <c r="BY87" i="5"/>
  <c r="BY118" i="5"/>
  <c r="BY141" i="5"/>
  <c r="BY212" i="5"/>
  <c r="AK212" i="5"/>
  <c r="F93" i="5"/>
  <c r="F31" i="5"/>
  <c r="W42" i="5"/>
  <c r="BY140" i="5"/>
  <c r="BY142" i="5"/>
  <c r="E210" i="5"/>
  <c r="BY146" i="5"/>
  <c r="BY71" i="5"/>
  <c r="BY148" i="5"/>
  <c r="BY133" i="5"/>
  <c r="BY79" i="5"/>
  <c r="BY86" i="5"/>
  <c r="BY152" i="5"/>
  <c r="BY138" i="5"/>
  <c r="BY121" i="5"/>
  <c r="BY120" i="5"/>
  <c r="BY150" i="5"/>
  <c r="BY154" i="5"/>
  <c r="BY139" i="5"/>
  <c r="BY151" i="5"/>
  <c r="BY149" i="5"/>
  <c r="BY137" i="5"/>
  <c r="AK213" i="5"/>
  <c r="BY213" i="5"/>
  <c r="F210" i="5"/>
  <c r="BY210" i="5" s="1"/>
  <c r="F80" i="5"/>
  <c r="E98" i="5"/>
  <c r="F98" i="5" s="1"/>
  <c r="BY156" i="5"/>
  <c r="P208" i="5"/>
  <c r="E145" i="5" l="1"/>
  <c r="F145" i="5" s="1"/>
  <c r="F44" i="5"/>
  <c r="BY45" i="5" s="1"/>
  <c r="E176" i="5"/>
  <c r="F176" i="5" s="1"/>
  <c r="X89" i="5"/>
  <c r="W89" i="5" s="1"/>
  <c r="AK89" i="5" s="1"/>
  <c r="E190" i="5"/>
  <c r="F190" i="5" s="1"/>
  <c r="E70" i="5"/>
  <c r="F70" i="5" s="1"/>
  <c r="X211" i="5"/>
  <c r="X25" i="5"/>
  <c r="W25" i="5" s="1"/>
  <c r="AK25" i="5" s="1"/>
  <c r="X198" i="5"/>
  <c r="W198" i="5" s="1"/>
  <c r="AK198" i="5" s="1"/>
  <c r="E84" i="5"/>
  <c r="F84" i="5" s="1"/>
  <c r="E36" i="5"/>
  <c r="F36" i="5" s="1"/>
  <c r="X82" i="5"/>
  <c r="W82" i="5" s="1"/>
  <c r="AK82" i="5" s="1"/>
  <c r="X32" i="5"/>
  <c r="BY32" i="5" s="1"/>
  <c r="X76" i="5"/>
  <c r="W76" i="5" s="1"/>
  <c r="AK76" i="5" s="1"/>
  <c r="X203" i="5"/>
  <c r="W203" i="5" s="1"/>
  <c r="AK203" i="5" s="1"/>
  <c r="X200" i="5"/>
  <c r="W200" i="5" s="1"/>
  <c r="X199" i="5"/>
  <c r="W199" i="5" s="1"/>
  <c r="AK199" i="5" s="1"/>
  <c r="X196" i="5"/>
  <c r="W196" i="5" s="1"/>
  <c r="AK196" i="5" s="1"/>
  <c r="X194" i="5"/>
  <c r="W194" i="5" s="1"/>
  <c r="AK194" i="5" s="1"/>
  <c r="X80" i="5"/>
  <c r="W80" i="5" s="1"/>
  <c r="AK80" i="5" s="1"/>
  <c r="E63" i="5"/>
  <c r="F63" i="5" s="1"/>
  <c r="X116" i="5"/>
  <c r="W116" i="5" s="1"/>
  <c r="AK116" i="5" s="1"/>
  <c r="X31" i="5"/>
  <c r="BY31" i="5" s="1"/>
  <c r="X90" i="5"/>
  <c r="W90" i="5" s="1"/>
  <c r="X248" i="5"/>
  <c r="W248" i="5" s="1"/>
  <c r="AK248" i="5" s="1"/>
  <c r="X77" i="5"/>
  <c r="BY77" i="5" s="1"/>
  <c r="X213" i="5"/>
  <c r="X81" i="5"/>
  <c r="W81" i="5" s="1"/>
  <c r="AK67" i="5"/>
  <c r="X192" i="5"/>
  <c r="W192" i="5" s="1"/>
  <c r="AK192" i="5" s="1"/>
  <c r="Y205" i="5"/>
  <c r="Y217" i="5" s="1"/>
  <c r="F230" i="5"/>
  <c r="BS217" i="5"/>
  <c r="BS229" i="5" s="1"/>
  <c r="BS241" i="5" s="1"/>
  <c r="BW217" i="5"/>
  <c r="BW229" i="5" s="1"/>
  <c r="BW241" i="5" s="1"/>
  <c r="BF236" i="5"/>
  <c r="BF237" i="5" s="1"/>
  <c r="BP217" i="5"/>
  <c r="BP229" i="5" s="1"/>
  <c r="BP241" i="5" s="1"/>
  <c r="AZ218" i="5"/>
  <c r="AZ219" i="5" s="1"/>
  <c r="AZ242" i="5"/>
  <c r="AZ243" i="5" s="1"/>
  <c r="O217" i="5"/>
  <c r="O229" i="5" s="1"/>
  <c r="O241" i="5" s="1"/>
  <c r="F221" i="5"/>
  <c r="F238" i="5"/>
  <c r="F243" i="5"/>
  <c r="O209" i="5"/>
  <c r="BF224" i="5"/>
  <c r="BF225" i="5" s="1"/>
  <c r="BC224" i="5"/>
  <c r="BC225" i="5" s="1"/>
  <c r="BL208" i="5"/>
  <c r="BQ209" i="5"/>
  <c r="BR218" i="5"/>
  <c r="BR219" i="5" s="1"/>
  <c r="BP209" i="5"/>
  <c r="BW209" i="5"/>
  <c r="AW224" i="5"/>
  <c r="AW225" i="5" s="1"/>
  <c r="BU224" i="5"/>
  <c r="BU242" i="5" s="1"/>
  <c r="BU243" i="5" s="1"/>
  <c r="R217" i="5"/>
  <c r="R229" i="5" s="1"/>
  <c r="R241" i="5" s="1"/>
  <c r="F242" i="5"/>
  <c r="BF223" i="5"/>
  <c r="AQ224" i="5"/>
  <c r="AQ225" i="5" s="1"/>
  <c r="AT218" i="5"/>
  <c r="AT219" i="5" s="1"/>
  <c r="BU218" i="5"/>
  <c r="BU219" i="5" s="1"/>
  <c r="F244" i="5"/>
  <c r="BC236" i="5"/>
  <c r="BC237" i="5" s="1"/>
  <c r="AT224" i="5"/>
  <c r="AT225" i="5" s="1"/>
  <c r="AQ218" i="5"/>
  <c r="AQ219" i="5" s="1"/>
  <c r="AN236" i="5"/>
  <c r="AN237" i="5" s="1"/>
  <c r="BF242" i="5"/>
  <c r="BF243" i="5" s="1"/>
  <c r="BN209" i="5"/>
  <c r="AN218" i="5"/>
  <c r="AN219" i="5" s="1"/>
  <c r="BU217" i="5"/>
  <c r="BQ217" i="5"/>
  <c r="BQ229" i="5" s="1"/>
  <c r="BQ241" i="5" s="1"/>
  <c r="F227" i="5"/>
  <c r="F232" i="5"/>
  <c r="BV208" i="5"/>
  <c r="F219" i="5"/>
  <c r="F224" i="5"/>
  <c r="F225" i="5"/>
  <c r="F226" i="5"/>
  <c r="F239" i="5"/>
  <c r="F233" i="5"/>
  <c r="F231" i="5"/>
  <c r="F236" i="5"/>
  <c r="F237" i="5"/>
  <c r="BC218" i="5"/>
  <c r="BC219" i="5" s="1"/>
  <c r="AN230" i="5"/>
  <c r="AN231" i="5" s="1"/>
  <c r="AW230" i="5"/>
  <c r="AW231" i="5" s="1"/>
  <c r="AT236" i="5"/>
  <c r="AT237" i="5" s="1"/>
  <c r="AW236" i="5"/>
  <c r="AW237" i="5" s="1"/>
  <c r="BF230" i="5"/>
  <c r="BF231" i="5" s="1"/>
  <c r="BM208" i="5"/>
  <c r="AQ230" i="5"/>
  <c r="AQ231" i="5" s="1"/>
  <c r="AQ242" i="5"/>
  <c r="AQ243" i="5" s="1"/>
  <c r="AZ236" i="5"/>
  <c r="AZ237" i="5" s="1"/>
  <c r="R209" i="5"/>
  <c r="AZ230" i="5"/>
  <c r="AZ231" i="5" s="1"/>
  <c r="BL218" i="5"/>
  <c r="BL219" i="5" s="1"/>
  <c r="BU209" i="5"/>
  <c r="Q235" i="5"/>
  <c r="BC230" i="5"/>
  <c r="BC231" i="5" s="1"/>
  <c r="AW218" i="5"/>
  <c r="AW219" i="5" s="1"/>
  <c r="BC242" i="5"/>
  <c r="BC243" i="5" s="1"/>
  <c r="AT230" i="5"/>
  <c r="AT231" i="5" s="1"/>
  <c r="AN224" i="5"/>
  <c r="AN225" i="5" s="1"/>
  <c r="AZ224" i="5"/>
  <c r="AZ225" i="5" s="1"/>
  <c r="BR224" i="5"/>
  <c r="BR242" i="5" s="1"/>
  <c r="BR243" i="5" s="1"/>
  <c r="P209" i="5"/>
  <c r="Q209" i="5"/>
  <c r="BF218" i="5"/>
  <c r="BF219" i="5" s="1"/>
  <c r="Q217" i="5"/>
  <c r="Q229" i="5" s="1"/>
  <c r="Q241" i="5" s="1"/>
  <c r="X111" i="5"/>
  <c r="BY111" i="5" s="1"/>
  <c r="BI218" i="5"/>
  <c r="BI219" i="5" s="1"/>
  <c r="BV217" i="5"/>
  <c r="BV229" i="5" s="1"/>
  <c r="BV241" i="5" s="1"/>
  <c r="BO217" i="5"/>
  <c r="BR209" i="5"/>
  <c r="E131" i="5"/>
  <c r="F131" i="5" s="1"/>
  <c r="X189" i="5"/>
  <c r="W189" i="5" s="1"/>
  <c r="AK189" i="5" s="1"/>
  <c r="X188" i="5"/>
  <c r="BY188" i="5" s="1"/>
  <c r="X187" i="5"/>
  <c r="W187" i="5" s="1"/>
  <c r="AK187" i="5" s="1"/>
  <c r="X186" i="5"/>
  <c r="BY186" i="5" s="1"/>
  <c r="X185" i="5"/>
  <c r="W185" i="5" s="1"/>
  <c r="AK185" i="5" s="1"/>
  <c r="X184" i="5"/>
  <c r="BY184" i="5" s="1"/>
  <c r="X183" i="5"/>
  <c r="W183" i="5" s="1"/>
  <c r="AK183" i="5" s="1"/>
  <c r="X182" i="5"/>
  <c r="BY182" i="5" s="1"/>
  <c r="X181" i="5"/>
  <c r="BY181" i="5" s="1"/>
  <c r="X180" i="5"/>
  <c r="BY180" i="5" s="1"/>
  <c r="X179" i="5"/>
  <c r="BY179" i="5" s="1"/>
  <c r="X178" i="5"/>
  <c r="BY178" i="5" s="1"/>
  <c r="AN242" i="5"/>
  <c r="AN243" i="5" s="1"/>
  <c r="BI230" i="5"/>
  <c r="BI231" i="5" s="1"/>
  <c r="AT242" i="5"/>
  <c r="AT243" i="5" s="1"/>
  <c r="BI242" i="5"/>
  <c r="BI243" i="5" s="1"/>
  <c r="BR217" i="5"/>
  <c r="AW242" i="5"/>
  <c r="AW243" i="5" s="1"/>
  <c r="BI236" i="5"/>
  <c r="BI237" i="5" s="1"/>
  <c r="BO218" i="5"/>
  <c r="BV209" i="5"/>
  <c r="E132" i="5"/>
  <c r="F132" i="5" s="1"/>
  <c r="O235" i="5"/>
  <c r="X157" i="5"/>
  <c r="W157" i="5" s="1"/>
  <c r="AK157" i="5" s="1"/>
  <c r="BY42" i="5"/>
  <c r="AK42" i="5"/>
  <c r="X48" i="5"/>
  <c r="W48" i="5" s="1"/>
  <c r="BI224" i="5"/>
  <c r="BI225" i="5" s="1"/>
  <c r="BM209" i="5"/>
  <c r="BR208" i="5"/>
  <c r="E117" i="5"/>
  <c r="F117" i="5" s="1"/>
  <c r="BN217" i="5"/>
  <c r="BN229" i="5" s="1"/>
  <c r="BN241" i="5" s="1"/>
  <c r="X92" i="5"/>
  <c r="W92" i="5" s="1"/>
  <c r="X212" i="5"/>
  <c r="E46" i="5"/>
  <c r="F46" i="5" s="1"/>
  <c r="E78" i="5"/>
  <c r="X83" i="5"/>
  <c r="BY83" i="5" s="1"/>
  <c r="X197" i="5"/>
  <c r="W197" i="5" s="1"/>
  <c r="AK197" i="5" s="1"/>
  <c r="P229" i="5"/>
  <c r="P241" i="5" s="1"/>
  <c r="X215" i="5"/>
  <c r="BY215" i="5" s="1"/>
  <c r="X129" i="5"/>
  <c r="W129" i="5" s="1"/>
  <c r="AK129" i="5" s="1"/>
  <c r="X202" i="5"/>
  <c r="W202" i="5" s="1"/>
  <c r="AK202" i="5" s="1"/>
  <c r="BY82" i="5"/>
  <c r="AK90" i="5"/>
  <c r="X130" i="5"/>
  <c r="W130" i="5" s="1"/>
  <c r="AK130" i="5" s="1"/>
  <c r="X96" i="5"/>
  <c r="W96" i="5" s="1"/>
  <c r="E66" i="5"/>
  <c r="F66" i="5" s="1"/>
  <c r="X91" i="5"/>
  <c r="W91" i="5" s="1"/>
  <c r="AK91" i="5" s="1"/>
  <c r="BY198" i="5"/>
  <c r="X195" i="5"/>
  <c r="W195" i="5" s="1"/>
  <c r="AK195" i="5" s="1"/>
  <c r="BY41" i="5"/>
  <c r="W41" i="5"/>
  <c r="AK41" i="5" s="1"/>
  <c r="BY37" i="5"/>
  <c r="AK37" i="5"/>
  <c r="BL209" i="5"/>
  <c r="X158" i="5"/>
  <c r="W158" i="5" s="1"/>
  <c r="AK158" i="5" s="1"/>
  <c r="X38" i="5"/>
  <c r="W38" i="5" s="1"/>
  <c r="AK38" i="5" s="1"/>
  <c r="X127" i="5"/>
  <c r="W127" i="5" s="1"/>
  <c r="AK127" i="5" s="1"/>
  <c r="X123" i="5"/>
  <c r="BY123" i="5" s="1"/>
  <c r="X40" i="5"/>
  <c r="BY40" i="5" s="1"/>
  <c r="X124" i="5"/>
  <c r="BY124" i="5" s="1"/>
  <c r="X114" i="5"/>
  <c r="W114" i="5" s="1"/>
  <c r="AK114" i="5" s="1"/>
  <c r="F218" i="5"/>
  <c r="F48" i="5"/>
  <c r="P235" i="5"/>
  <c r="X204" i="5"/>
  <c r="F204" i="5" s="1"/>
  <c r="X126" i="5"/>
  <c r="BY126" i="5" s="1"/>
  <c r="X112" i="5"/>
  <c r="BY112" i="5" s="1"/>
  <c r="Z205" i="5"/>
  <c r="Z217" i="5" s="1"/>
  <c r="X128" i="5"/>
  <c r="BY128" i="5" s="1"/>
  <c r="AA206" i="5"/>
  <c r="AA223" i="5" s="1"/>
  <c r="X88" i="5"/>
  <c r="BY88" i="5" s="1"/>
  <c r="F81" i="5"/>
  <c r="X201" i="5"/>
  <c r="BY201" i="5" s="1"/>
  <c r="X191" i="5"/>
  <c r="W191" i="5" s="1"/>
  <c r="AK191" i="5" s="1"/>
  <c r="X177" i="5"/>
  <c r="BY177" i="5" s="1"/>
  <c r="E214" i="5"/>
  <c r="X113" i="5"/>
  <c r="BY113" i="5" s="1"/>
  <c r="X125" i="5"/>
  <c r="BY125" i="5" s="1"/>
  <c r="X115" i="5"/>
  <c r="W115" i="5" s="1"/>
  <c r="AK115" i="5" s="1"/>
  <c r="X93" i="5"/>
  <c r="BY93" i="5" s="1"/>
  <c r="X47" i="5"/>
  <c r="W47" i="5" s="1"/>
  <c r="AK47" i="5" s="1"/>
  <c r="Y206" i="5"/>
  <c r="Y223" i="5" s="1"/>
  <c r="X144" i="5"/>
  <c r="W144" i="5" s="1"/>
  <c r="AK144" i="5" s="1"/>
  <c r="X97" i="5"/>
  <c r="BY97" i="5" s="1"/>
  <c r="X193" i="5"/>
  <c r="W193" i="5" s="1"/>
  <c r="AK193" i="5" s="1"/>
  <c r="BY67" i="5"/>
  <c r="BY91" i="5"/>
  <c r="AK39" i="5"/>
  <c r="BY39" i="5"/>
  <c r="W181" i="5"/>
  <c r="AK181" i="5" s="1"/>
  <c r="E223" i="5"/>
  <c r="F223" i="5" s="1"/>
  <c r="AK68" i="5"/>
  <c r="BY68" i="5"/>
  <c r="BY64" i="5"/>
  <c r="AK64" i="5"/>
  <c r="AK65" i="5"/>
  <c r="BY65" i="5"/>
  <c r="AK200" i="5"/>
  <c r="BY200" i="5"/>
  <c r="BT208" i="5"/>
  <c r="Y208" i="5"/>
  <c r="Z207" i="5"/>
  <c r="Z229" i="5" s="1"/>
  <c r="Z209" i="5"/>
  <c r="Z241" i="5" s="1"/>
  <c r="Z208" i="5"/>
  <c r="Z235" i="5" s="1"/>
  <c r="AA209" i="5"/>
  <c r="AA241" i="5" s="1"/>
  <c r="BL224" i="5"/>
  <c r="BS209" i="5"/>
  <c r="BT209" i="5"/>
  <c r="AA205" i="5"/>
  <c r="AA217" i="5" s="1"/>
  <c r="BY90" i="5"/>
  <c r="E110" i="5"/>
  <c r="F110" i="5" s="1"/>
  <c r="AQ236" i="5"/>
  <c r="AQ237" i="5" s="1"/>
  <c r="Z206" i="5"/>
  <c r="Z223" i="5" s="1"/>
  <c r="AA207" i="5"/>
  <c r="AA229" i="5" s="1"/>
  <c r="AA208" i="5"/>
  <c r="AA235" i="5" s="1"/>
  <c r="Y209" i="5"/>
  <c r="Y207" i="5"/>
  <c r="BO209" i="5"/>
  <c r="BO224" i="5"/>
  <c r="F34" i="5"/>
  <c r="BY89" i="5" l="1"/>
  <c r="AK44" i="5"/>
  <c r="BY189" i="5"/>
  <c r="BY80" i="5"/>
  <c r="E69" i="5"/>
  <c r="F69" i="5" s="1"/>
  <c r="BY44" i="5"/>
  <c r="BY187" i="5"/>
  <c r="BY196" i="5"/>
  <c r="BY185" i="5"/>
  <c r="BY248" i="5"/>
  <c r="W31" i="5"/>
  <c r="AK31" i="5" s="1"/>
  <c r="W83" i="5"/>
  <c r="AK83" i="5" s="1"/>
  <c r="W215" i="5"/>
  <c r="BY203" i="5"/>
  <c r="BY192" i="5"/>
  <c r="W180" i="5"/>
  <c r="AK180" i="5" s="1"/>
  <c r="BY114" i="5"/>
  <c r="W113" i="5"/>
  <c r="AK113" i="5" s="1"/>
  <c r="W128" i="5"/>
  <c r="AK128" i="5" s="1"/>
  <c r="BY194" i="5"/>
  <c r="BY115" i="5"/>
  <c r="F78" i="5"/>
  <c r="W184" i="5"/>
  <c r="AK184" i="5" s="1"/>
  <c r="W188" i="5"/>
  <c r="AK188" i="5" s="1"/>
  <c r="BY193" i="5"/>
  <c r="BY129" i="5"/>
  <c r="W77" i="5"/>
  <c r="AK77" i="5" s="1"/>
  <c r="W93" i="5"/>
  <c r="AK93" i="5" s="1"/>
  <c r="BY130" i="5"/>
  <c r="BY144" i="5"/>
  <c r="W88" i="5"/>
  <c r="AK88" i="5" s="1"/>
  <c r="W126" i="5"/>
  <c r="AK126" i="5" s="1"/>
  <c r="W40" i="5"/>
  <c r="AK40" i="5" s="1"/>
  <c r="BY202" i="5"/>
  <c r="BY199" i="5"/>
  <c r="W186" i="5"/>
  <c r="AK186" i="5" s="1"/>
  <c r="BY47" i="5"/>
  <c r="BY81" i="5"/>
  <c r="E33" i="5"/>
  <c r="BY116" i="5"/>
  <c r="AK48" i="5"/>
  <c r="BR229" i="5"/>
  <c r="BR241" i="5" s="1"/>
  <c r="BU225" i="5"/>
  <c r="BU235" i="5" s="1"/>
  <c r="W201" i="5"/>
  <c r="AK201" i="5" s="1"/>
  <c r="W179" i="5"/>
  <c r="AK179" i="5" s="1"/>
  <c r="BY195" i="5"/>
  <c r="W182" i="5"/>
  <c r="AK182" i="5" s="1"/>
  <c r="BY191" i="5"/>
  <c r="W178" i="5"/>
  <c r="AK178" i="5" s="1"/>
  <c r="BY183" i="5"/>
  <c r="BY197" i="5"/>
  <c r="BY38" i="5"/>
  <c r="W97" i="5"/>
  <c r="AK97" i="5" s="1"/>
  <c r="W111" i="5"/>
  <c r="AK111" i="5" s="1"/>
  <c r="BY127" i="5"/>
  <c r="BR236" i="5"/>
  <c r="BR237" i="5" s="1"/>
  <c r="E217" i="5"/>
  <c r="F217" i="5" s="1"/>
  <c r="BU229" i="5"/>
  <c r="BU241" i="5" s="1"/>
  <c r="X217" i="5"/>
  <c r="W217" i="5" s="1"/>
  <c r="E235" i="5"/>
  <c r="F235" i="5" s="1"/>
  <c r="BU236" i="5"/>
  <c r="BU237" i="5" s="1"/>
  <c r="E241" i="5"/>
  <c r="F241" i="5" s="1"/>
  <c r="BL236" i="5"/>
  <c r="BL237" i="5" s="1"/>
  <c r="BL229" i="5"/>
  <c r="BL241" i="5" s="1"/>
  <c r="BR225" i="5"/>
  <c r="BR235" i="5" s="1"/>
  <c r="E229" i="5"/>
  <c r="F229" i="5" s="1"/>
  <c r="BY157" i="5"/>
  <c r="W124" i="5"/>
  <c r="AK124" i="5" s="1"/>
  <c r="BY48" i="5"/>
  <c r="W125" i="5"/>
  <c r="AK125" i="5" s="1"/>
  <c r="BO219" i="5"/>
  <c r="BO229" i="5" s="1"/>
  <c r="BO241" i="5" s="1"/>
  <c r="BO236" i="5"/>
  <c r="BO237" i="5" s="1"/>
  <c r="W177" i="5"/>
  <c r="AK177" i="5" s="1"/>
  <c r="BY49" i="5"/>
  <c r="W112" i="5"/>
  <c r="AK112" i="5" s="1"/>
  <c r="AK81" i="5"/>
  <c r="BY158" i="5"/>
  <c r="W123" i="5"/>
  <c r="AK123" i="5" s="1"/>
  <c r="BY204" i="5"/>
  <c r="L220" i="5" s="1"/>
  <c r="F220" i="5" s="1"/>
  <c r="BO242" i="5"/>
  <c r="BO243" i="5" s="1"/>
  <c r="BO225" i="5"/>
  <c r="BO235" i="5" s="1"/>
  <c r="X205" i="5"/>
  <c r="W205" i="5" s="1"/>
  <c r="X223" i="5"/>
  <c r="W223" i="5" s="1"/>
  <c r="AK223" i="5" s="1"/>
  <c r="Y229" i="5"/>
  <c r="X229" i="5" s="1"/>
  <c r="W229" i="5" s="1"/>
  <c r="X207" i="5"/>
  <c r="W207" i="5" s="1"/>
  <c r="Y235" i="5"/>
  <c r="X235" i="5" s="1"/>
  <c r="W235" i="5" s="1"/>
  <c r="X208" i="5"/>
  <c r="W208" i="5" s="1"/>
  <c r="X206" i="5"/>
  <c r="W206" i="5" s="1"/>
  <c r="Y241" i="5"/>
  <c r="X241" i="5" s="1"/>
  <c r="W241" i="5" s="1"/>
  <c r="X209" i="5"/>
  <c r="W209" i="5" s="1"/>
  <c r="E96" i="5"/>
  <c r="BL242" i="5"/>
  <c r="BL243" i="5" s="1"/>
  <c r="BL225" i="5"/>
  <c r="BL235" i="5" s="1"/>
  <c r="F33" i="5" l="1"/>
  <c r="E22" i="5"/>
  <c r="AK229" i="5"/>
  <c r="AK217" i="5"/>
  <c r="AK235" i="5"/>
  <c r="AK241" i="5"/>
  <c r="E95" i="5"/>
  <c r="F95" i="5" s="1"/>
  <c r="F96" i="5"/>
  <c r="F22" i="5" l="1"/>
  <c r="BY22" i="5" s="1"/>
  <c r="E21" i="5"/>
  <c r="E206" i="5" s="1"/>
  <c r="F206" i="5" s="1"/>
  <c r="AK206" i="5" s="1"/>
  <c r="E208" i="5" l="1"/>
  <c r="F208" i="5" s="1"/>
  <c r="AK208" i="5" s="1"/>
  <c r="E209" i="5"/>
  <c r="F209" i="5" s="1"/>
  <c r="AK209" i="5" s="1"/>
  <c r="E207" i="5"/>
  <c r="F207" i="5" s="1"/>
  <c r="AK207" i="5" s="1"/>
  <c r="E205" i="5"/>
  <c r="F205" i="5" s="1"/>
  <c r="AK205" i="5" s="1"/>
</calcChain>
</file>

<file path=xl/sharedStrings.xml><?xml version="1.0" encoding="utf-8"?>
<sst xmlns="http://schemas.openxmlformats.org/spreadsheetml/2006/main" count="690" uniqueCount="341">
  <si>
    <t>1 семестр</t>
  </si>
  <si>
    <t>2 семестр</t>
  </si>
  <si>
    <t>Всего</t>
  </si>
  <si>
    <t>2</t>
  </si>
  <si>
    <t>Выбор</t>
  </si>
  <si>
    <t>№
по плану</t>
  </si>
  <si>
    <t>Трудоемкость в час.</t>
  </si>
  <si>
    <t>Виды контроля
по семестрам</t>
  </si>
  <si>
    <t>Распределение часов по дисциплинам</t>
  </si>
  <si>
    <t>Распределение часов по курсам и семестрам</t>
  </si>
  <si>
    <t>Контактная работа</t>
  </si>
  <si>
    <t>СРО</t>
  </si>
  <si>
    <t>Всего контактная работа</t>
  </si>
  <si>
    <t>Занятия лекционного и
семинарского типов</t>
  </si>
  <si>
    <t>Всего часов самостоятельной работы обучающегося</t>
  </si>
  <si>
    <t>из них:</t>
  </si>
  <si>
    <t>3 семестр</t>
  </si>
  <si>
    <t>4 семестр</t>
  </si>
  <si>
    <t>5 семестр</t>
  </si>
  <si>
    <t>6 семестр</t>
  </si>
  <si>
    <t>7 семестр</t>
  </si>
  <si>
    <t>8 семестр</t>
  </si>
  <si>
    <t>9 семестр</t>
  </si>
  <si>
    <t>10 семестр</t>
  </si>
  <si>
    <t>11 семестр</t>
  </si>
  <si>
    <t>12 семестр</t>
  </si>
  <si>
    <t>Экзамен</t>
  </si>
  <si>
    <t>Зачет</t>
  </si>
  <si>
    <t>Курсовая работа / проект</t>
  </si>
  <si>
    <t>Всего занятий лекционного и семинарского типов</t>
  </si>
  <si>
    <t xml:space="preserve"> I  курс</t>
  </si>
  <si>
    <t xml:space="preserve"> II  курс</t>
  </si>
  <si>
    <t>III курс</t>
  </si>
  <si>
    <t xml:space="preserve">IV курс </t>
  </si>
  <si>
    <t xml:space="preserve">V курс </t>
  </si>
  <si>
    <t xml:space="preserve">VI курс </t>
  </si>
  <si>
    <t>Занятия лекционного типа</t>
  </si>
  <si>
    <t>Практические занятия</t>
  </si>
  <si>
    <t>1 сем</t>
  </si>
  <si>
    <t>2 сем</t>
  </si>
  <si>
    <t>3 сем</t>
  </si>
  <si>
    <t>4 сем</t>
  </si>
  <si>
    <t>5 сем</t>
  </si>
  <si>
    <t>6 сем</t>
  </si>
  <si>
    <t>7 сем</t>
  </si>
  <si>
    <t>8 сем</t>
  </si>
  <si>
    <t>9 сем</t>
  </si>
  <si>
    <t>10 сем</t>
  </si>
  <si>
    <t>11 сем</t>
  </si>
  <si>
    <t>12 сем</t>
  </si>
  <si>
    <t>Лаб</t>
  </si>
  <si>
    <t>Пр</t>
  </si>
  <si>
    <t>vibor</t>
  </si>
  <si>
    <t>1</t>
  </si>
  <si>
    <t>5</t>
  </si>
  <si>
    <t>6</t>
  </si>
  <si>
    <t>7</t>
  </si>
  <si>
    <t>8</t>
  </si>
  <si>
    <t>9</t>
  </si>
  <si>
    <t>10</t>
  </si>
  <si>
    <t>11</t>
  </si>
  <si>
    <t>12</t>
  </si>
  <si>
    <t>13</t>
  </si>
  <si>
    <t>14</t>
  </si>
  <si>
    <t>18</t>
  </si>
  <si>
    <t>19</t>
  </si>
  <si>
    <t>20</t>
  </si>
  <si>
    <t>21</t>
  </si>
  <si>
    <t>15</t>
  </si>
  <si>
    <t>16</t>
  </si>
  <si>
    <t>17</t>
  </si>
  <si>
    <t>в_а</t>
  </si>
  <si>
    <t>aud</t>
  </si>
  <si>
    <t>в_л</t>
  </si>
  <si>
    <t>в_п</t>
  </si>
  <si>
    <t>lr</t>
  </si>
  <si>
    <t>в_с</t>
  </si>
  <si>
    <t>1l</t>
  </si>
  <si>
    <t>1p</t>
  </si>
  <si>
    <t>lr1</t>
  </si>
  <si>
    <t>2l</t>
  </si>
  <si>
    <t>2p</t>
  </si>
  <si>
    <t>lr2</t>
  </si>
  <si>
    <t>3l</t>
  </si>
  <si>
    <t>3p</t>
  </si>
  <si>
    <t>lr3</t>
  </si>
  <si>
    <t>4l</t>
  </si>
  <si>
    <t>4p</t>
  </si>
  <si>
    <t>lr4</t>
  </si>
  <si>
    <t>5l</t>
  </si>
  <si>
    <t>5p</t>
  </si>
  <si>
    <t>lr5</t>
  </si>
  <si>
    <t>6l</t>
  </si>
  <si>
    <t>6p</t>
  </si>
  <si>
    <t>lr6</t>
  </si>
  <si>
    <t>7l</t>
  </si>
  <si>
    <t>7p</t>
  </si>
  <si>
    <t>lr7</t>
  </si>
  <si>
    <t>8l</t>
  </si>
  <si>
    <t>8p</t>
  </si>
  <si>
    <t>lr8</t>
  </si>
  <si>
    <t>9l</t>
  </si>
  <si>
    <t>9p</t>
  </si>
  <si>
    <t>lr9</t>
  </si>
  <si>
    <t>10l</t>
  </si>
  <si>
    <t>10p</t>
  </si>
  <si>
    <t>lr10</t>
  </si>
  <si>
    <t>11l</t>
  </si>
  <si>
    <t>11p</t>
  </si>
  <si>
    <t>lr11</t>
  </si>
  <si>
    <t>12l</t>
  </si>
  <si>
    <t>12p</t>
  </si>
  <si>
    <t>lr12</t>
  </si>
  <si>
    <t>каф_УП</t>
  </si>
  <si>
    <t>korr</t>
  </si>
  <si>
    <t>Б1</t>
  </si>
  <si>
    <t/>
  </si>
  <si>
    <t>Физическая культура</t>
  </si>
  <si>
    <t>Физическая культура (элективная дисциплина)</t>
  </si>
  <si>
    <t>ф</t>
  </si>
  <si>
    <t>Б3</t>
  </si>
  <si>
    <t xml:space="preserve">Блок 1. Модули (дисциплины) </t>
  </si>
  <si>
    <t>ФУНДАМЕНТАЛЬНАЯ ПОДГОТОВКА</t>
  </si>
  <si>
    <t>Общеуниверситетский модуль</t>
  </si>
  <si>
    <t>Универсальный модуль</t>
  </si>
  <si>
    <t>Университетский фундаментальный модуль</t>
  </si>
  <si>
    <t>·         Модуль «Философия+Мышление»</t>
  </si>
  <si>
    <t>·         Модуль «Цифровая культура»</t>
  </si>
  <si>
    <t>·         Модуль «Soft Skills»</t>
  </si>
  <si>
    <t>Модуль внутривузовской академической мобильности</t>
  </si>
  <si>
    <t>Фундаментальный модуль по ОГНП</t>
  </si>
  <si>
    <t>Элективный модуль по группе направлений</t>
  </si>
  <si>
    <t>ПРОФЕССИОНАЛЬНАЯ ПОДГОТОВКА</t>
  </si>
  <si>
    <t>Межпрофильный модуль факультета</t>
  </si>
  <si>
    <t>Факультетский модуль</t>
  </si>
  <si>
    <t>Профильный профессиональный модуль</t>
  </si>
  <si>
    <t>Блок 2. Практика</t>
  </si>
  <si>
    <t>Блок 3. ГИА</t>
  </si>
  <si>
    <t>Подготовка к защите и защита ВКР</t>
  </si>
  <si>
    <t>У</t>
  </si>
  <si>
    <t>П</t>
  </si>
  <si>
    <t>ПП</t>
  </si>
  <si>
    <t>Трудоемкость в з.ед.</t>
  </si>
  <si>
    <t>Распределение з.ед. по семестрам</t>
  </si>
  <si>
    <t xml:space="preserve">  Наименование модулей, дисциплин, практики и аттестации</t>
  </si>
  <si>
    <t>Лабораторные занятия</t>
  </si>
  <si>
    <t>Лек</t>
  </si>
  <si>
    <t>Б4</t>
  </si>
  <si>
    <t>Дифференцированный зачет</t>
  </si>
  <si>
    <t>Экзаменов</t>
  </si>
  <si>
    <t>Дифференцированных зачетов</t>
  </si>
  <si>
    <t>Зачетов</t>
  </si>
  <si>
    <t>Общепрофессиональный модуль</t>
  </si>
  <si>
    <t>Естественнонаучный модуль</t>
  </si>
  <si>
    <t>Производственная, преддипломная</t>
  </si>
  <si>
    <t xml:space="preserve">образовательной программы                                                                    </t>
  </si>
  <si>
    <t>"УТВЕРЖДАЮ" 
Ректор  Университета ИТМО 
д.т.н., проф.  ______________Васильев В.Н.
_____  ____________________   201_ г.</t>
  </si>
  <si>
    <t xml:space="preserve">Руководитель </t>
  </si>
  <si>
    <t>Инновационная экономика и технологическое предпринимательство</t>
  </si>
  <si>
    <t>% ауд. занятий от общей трудоемкости должен быть меньше или равен 50%</t>
  </si>
  <si>
    <t xml:space="preserve">Ключевые компетенции (социально-личностных и общекультурных) </t>
  </si>
  <si>
    <t>Надпрофессиональные компетенции (Soft Skills)</t>
  </si>
  <si>
    <t>Общепрофессиональные компетенции (Basic Professional Skills)</t>
  </si>
  <si>
    <t>Профессиональных компетенций (Professional Skills)</t>
  </si>
  <si>
    <t>КК-1</t>
  </si>
  <si>
    <t>КК-2</t>
  </si>
  <si>
    <t>КК-3</t>
  </si>
  <si>
    <t>КК-4</t>
  </si>
  <si>
    <t>КК-5</t>
  </si>
  <si>
    <t>КК-6</t>
  </si>
  <si>
    <t>SS-1</t>
  </si>
  <si>
    <t>SS-2</t>
  </si>
  <si>
    <t>SS-3</t>
  </si>
  <si>
    <t>SS-4</t>
  </si>
  <si>
    <t>SS-5</t>
  </si>
  <si>
    <t>ОПК-1</t>
  </si>
  <si>
    <t>ОПК-2</t>
  </si>
  <si>
    <t>ОПК-3</t>
  </si>
  <si>
    <t>ОПК-4</t>
  </si>
  <si>
    <t>ОПК-5</t>
  </si>
  <si>
    <t>+</t>
  </si>
  <si>
    <t>проверка не более 32 ауд.ч. в неделю</t>
  </si>
  <si>
    <t>Очная форма обучения, срок получения образования - 4 года, год начала подготовки - 2019</t>
  </si>
  <si>
    <t xml:space="preserve"> </t>
  </si>
  <si>
    <t>Математический  модуль</t>
  </si>
  <si>
    <t>ХХХХ</t>
  </si>
  <si>
    <t xml:space="preserve">Вариативно-профильный профессиональный модуль (модуль «мягкой специализации») </t>
  </si>
  <si>
    <t>Код из Банка дисциплин</t>
  </si>
  <si>
    <t>Б 2</t>
  </si>
  <si>
    <t>Философия</t>
  </si>
  <si>
    <t>Цифровая культура в профессиональной деятельности</t>
  </si>
  <si>
    <t>·         Модуль «Предпринимательская культура»</t>
  </si>
  <si>
    <t>История (история России, всемирная история)</t>
  </si>
  <si>
    <t>Блок 4. Факультативы</t>
  </si>
  <si>
    <t>Психология социальной адаптации и психосаморегуляция</t>
  </si>
  <si>
    <t>Промежуточные итоги 
(специализация 1)</t>
  </si>
  <si>
    <t>Промежуточные итоги 
(специализация 2)</t>
  </si>
  <si>
    <t>Промежуточные итоги 
(специализация 3)</t>
  </si>
  <si>
    <t>Промежуточные итоги 
(специализация 4)</t>
  </si>
  <si>
    <t>Промежуточные итоги 
(специализация 5)</t>
  </si>
  <si>
    <t>ПК-1</t>
  </si>
  <si>
    <t>Реализатор
(Структурное
 подразделение)</t>
  </si>
  <si>
    <t>№</t>
  </si>
  <si>
    <t>c</t>
  </si>
  <si>
    <t>э</t>
  </si>
  <si>
    <t>р</t>
  </si>
  <si>
    <t>с</t>
  </si>
  <si>
    <r>
      <t xml:space="preserve">Специализация 4: </t>
    </r>
    <r>
      <rPr>
        <sz val="12"/>
        <color indexed="10"/>
        <rFont val="Times New Roman"/>
        <family val="1"/>
        <charset val="204"/>
      </rPr>
      <t>ХХХХ</t>
    </r>
  </si>
  <si>
    <r>
      <t xml:space="preserve">Специализация 5: </t>
    </r>
    <r>
      <rPr>
        <sz val="12"/>
        <color indexed="10"/>
        <rFont val="Times New Roman"/>
        <family val="1"/>
        <charset val="204"/>
      </rPr>
      <t>ХХХХ</t>
    </r>
  </si>
  <si>
    <t>Объем ОП (Специализация 1)</t>
  </si>
  <si>
    <t>Объем ОП (Специализация 2)</t>
  </si>
  <si>
    <t>Объем ОП (Специализация 3)</t>
  </si>
  <si>
    <t>Объем ОП (Специализация 4)</t>
  </si>
  <si>
    <t>Объем ОП (Специализация 5)</t>
  </si>
  <si>
    <t>Формулировка компетенции</t>
  </si>
  <si>
    <t>Начальник УПиРОП</t>
  </si>
  <si>
    <t>Проектирование баз данных</t>
  </si>
  <si>
    <t>Математическая статистика</t>
  </si>
  <si>
    <t>Машинное обучение</t>
  </si>
  <si>
    <t>Анализ данных и информационный поиск</t>
  </si>
  <si>
    <t>Проектирование программного обеспечения</t>
  </si>
  <si>
    <t>Проектирование информационных систем</t>
  </si>
  <si>
    <t>Методы трансляции</t>
  </si>
  <si>
    <t>Обработка изображений</t>
  </si>
  <si>
    <t xml:space="preserve">Технологии информационного поиска </t>
  </si>
  <si>
    <t>Интернет вещей</t>
  </si>
  <si>
    <t>Основы сетевых технологий</t>
  </si>
  <si>
    <t>Теория вычислительной сложности</t>
  </si>
  <si>
    <t>Методы криптографии</t>
  </si>
  <si>
    <t>Обработка сигналов</t>
  </si>
  <si>
    <t>Компьютерное зрение</t>
  </si>
  <si>
    <t xml:space="preserve">Анализ социальных сетей </t>
  </si>
  <si>
    <t>Методы искусственного интеллекта</t>
  </si>
  <si>
    <t>Архитектура ЭВМ</t>
  </si>
  <si>
    <t>Технологии программирования</t>
  </si>
  <si>
    <t>Телекоммуникационные системы и технологии</t>
  </si>
  <si>
    <t>Информационная безопасность</t>
  </si>
  <si>
    <t xml:space="preserve">Специализация 3: Математическое моделирование </t>
  </si>
  <si>
    <t>Линейная алгебра</t>
  </si>
  <si>
    <t>Математический анализ</t>
  </si>
  <si>
    <t>Дискретная математика</t>
  </si>
  <si>
    <t>Математическое и имитационное моделирование в естественных науках</t>
  </si>
  <si>
    <t>Алгоритмы и структуры данных</t>
  </si>
  <si>
    <t>Программирование</t>
  </si>
  <si>
    <t>Операционные системы</t>
  </si>
  <si>
    <t>Основы тестирования программного обеспечения</t>
  </si>
  <si>
    <t>Компьютерная геометрия и графика</t>
  </si>
  <si>
    <t>Анализ и проектирование на UML</t>
  </si>
  <si>
    <t>Web-программирование</t>
  </si>
  <si>
    <t>Производственная, технологическая (проектно-технологическая)</t>
  </si>
  <si>
    <t>Базы данных</t>
  </si>
  <si>
    <t>Объектно-ориентированное программирование</t>
  </si>
  <si>
    <t>Специальные разделы физики</t>
  </si>
  <si>
    <t>Специализация 1: Информационные системы и технологии</t>
  </si>
  <si>
    <t>Инструментальные средства разработки ПО</t>
  </si>
  <si>
    <t>Администрирование в ОС Linux/Linux operating system administration</t>
  </si>
  <si>
    <t xml:space="preserve">Администрирование в ОС Windows Server/Windows Server operating system administration </t>
  </si>
  <si>
    <t>Архитектура информационных систем</t>
  </si>
  <si>
    <t>Электротехника и электроника</t>
  </si>
  <si>
    <t>Языковые процессоры</t>
  </si>
  <si>
    <t>Дополнительные главы физики</t>
  </si>
  <si>
    <t>Специализация 2: Корпоративные информационные системы</t>
  </si>
  <si>
    <t>Бухгалтерский и управленческий учет</t>
  </si>
  <si>
    <t>Управление требованиями</t>
  </si>
  <si>
    <t>Моделирование бизнес-процессов</t>
  </si>
  <si>
    <t>Корпоративные системы документооборота</t>
  </si>
  <si>
    <t>Управление предприятием</t>
  </si>
  <si>
    <t>Правовые основы интеллектуальной собственности</t>
  </si>
  <si>
    <t>Архитектура корпоративных информационных систем</t>
  </si>
  <si>
    <t>Интеллектуальные системы и технологии</t>
  </si>
  <si>
    <t>Основы процессов внедрения информационных систем</t>
  </si>
  <si>
    <t>Учебная, технологическая (проектно-технологическая)</t>
  </si>
  <si>
    <t>Дополнительные главы высшей математики</t>
  </si>
  <si>
    <t>Безопасность жизнедеятельности (смешанное обучение)</t>
  </si>
  <si>
    <t>Иностранный язык (смешанное обучение)</t>
  </si>
  <si>
    <t>Иностранный язык в профессиональной деятельности (смешанное обучение)</t>
  </si>
  <si>
    <t>Зубок Д.А.</t>
  </si>
  <si>
    <t>Парфенов В.Г.</t>
  </si>
  <si>
    <t>Киселева Ю.А.</t>
  </si>
  <si>
    <t xml:space="preserve">У Ч Е Б Н Ы Й   П Л А Н  
Направленность (профиль) образовательной программы "Программирование и интернет-технологии"
 по ОГНП 5: "Прикладная математика и программирование"
</t>
  </si>
  <si>
    <r>
      <t xml:space="preserve">Направление подготовки 1: 09.03.02 Информационные системы и технологии
</t>
    </r>
    <r>
      <rPr>
        <b/>
        <sz val="10"/>
        <rFont val="Times New Roman"/>
        <family val="1"/>
        <charset val="204"/>
      </rPr>
      <t/>
    </r>
  </si>
  <si>
    <t>ЦИИЯ</t>
  </si>
  <si>
    <t>ФТМИ</t>
  </si>
  <si>
    <t>Навигация по культуре Санкт-Петербурга</t>
  </si>
  <si>
    <t>Факультатив «Второй иностранный язык (шведский). Уровень A2»</t>
  </si>
  <si>
    <t>Факультатив «Второй иностранный язык (шведский). Уровень B1+»</t>
  </si>
  <si>
    <t>Факультатив «Второй иностранный язык (немецкий). Уровень A2»</t>
  </si>
  <si>
    <t>Факультатив «Второй иностранный язык (немецкий). Уровень B1+»</t>
  </si>
  <si>
    <t>ОГНП 1: Биотехнологии и низкотемпературные системы</t>
  </si>
  <si>
    <t>Дисциплина 1: Наука о жизни</t>
  </si>
  <si>
    <t>Дисциплина 2: Техника и физика низких температур</t>
  </si>
  <si>
    <t>ОГНП 2: Киберфизические системы и технологи</t>
  </si>
  <si>
    <t>Дисциплина 1: Теория автоматического управления</t>
  </si>
  <si>
    <t>Дисциплина 2: Основы проектирования киберфизических систем</t>
  </si>
  <si>
    <t>ОГНП 3: Компьютерные технологии</t>
  </si>
  <si>
    <t>Дисциплина 1: Методы и средства программного обеспечения</t>
  </si>
  <si>
    <t>Дисциплина 2: Основы кибербезопасности</t>
  </si>
  <si>
    <t>ОГНП 4: Предпринимательство и инноватика</t>
  </si>
  <si>
    <t>Дисциплина 1: Технологии приоритетного развития</t>
  </si>
  <si>
    <t>Дисциплина 2: Экономика приоритетных отраслей</t>
  </si>
  <si>
    <t>ОГНП 6: Трансляционные информационные технологии</t>
  </si>
  <si>
    <t>ОГНП 7: Фотоника</t>
  </si>
  <si>
    <t>о</t>
  </si>
  <si>
    <t>Введение в цифровую культуру и программирование (онлайн-курс)</t>
  </si>
  <si>
    <t>Декан факультета ИТИП</t>
  </si>
  <si>
    <t>Бухановский А.В.</t>
  </si>
  <si>
    <t>ЦСИО</t>
  </si>
  <si>
    <t>УФКиС</t>
  </si>
  <si>
    <t>F</t>
  </si>
  <si>
    <t>Пр Кул</t>
  </si>
  <si>
    <t>ВШ ЦК</t>
  </si>
  <si>
    <t>Директор мегафакультета ТИнТ</t>
  </si>
  <si>
    <t>Дисциплина 1: Физическая оптика (онлайн-курс)</t>
  </si>
  <si>
    <t>Дисциплина 2: Лазерные технологии (онлайн-курс)</t>
  </si>
  <si>
    <t>р/о</t>
  </si>
  <si>
    <t>ФТФ</t>
  </si>
  <si>
    <t>SS</t>
  </si>
  <si>
    <t>ФПБИ</t>
  </si>
  <si>
    <t>ФНТЭ</t>
  </si>
  <si>
    <t>ФСУиР</t>
  </si>
  <si>
    <t>ФПИиКТ</t>
  </si>
  <si>
    <t>ФБИТ</t>
  </si>
  <si>
    <t>МФ ТИнТ</t>
  </si>
  <si>
    <t>ФИТиП</t>
  </si>
  <si>
    <t>ФЛФО</t>
  </si>
  <si>
    <t>ФПО</t>
  </si>
  <si>
    <t>Современные вопросы информатики</t>
  </si>
  <si>
    <t>Прикладная математика</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</si>
  <si>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УНИВЕРСИТЕТ ИТМО"
(УНИВЕРСИТЕТ ИТМО)</t>
  </si>
  <si>
    <t>Дисциплина 1: Современные инструменты анализа данных</t>
  </si>
  <si>
    <t>Дисциплина 2: UNIX/Linux системы в инфокоммуникациях</t>
  </si>
  <si>
    <t>Бизнес-модели основных секторов инновационной экономики</t>
  </si>
  <si>
    <t>БЖД</t>
  </si>
  <si>
    <t>Коммуникации и командообразование</t>
  </si>
  <si>
    <t>Техники публичных выступлений и презентаций</t>
  </si>
  <si>
    <t>История (История становления Российской государственности)</t>
  </si>
  <si>
    <t>История (Проблемы истории Европы ХХ века)</t>
  </si>
  <si>
    <t>История (Наука и техника в истории цивилизации)</t>
  </si>
  <si>
    <t>История (История западноевропейской и русской культуры)</t>
  </si>
  <si>
    <t>История (Реформы и реформаторы в истории России)</t>
  </si>
  <si>
    <t>История (Россия в истории современных международных отношений)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</si>
</sst>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charset val="204"/>
      <scheme val="minor"/>
    </font>
    <font>
      <sz val="11"/>
      <color indexed="8"/>
      <name val="Calibri"/>
      <family val="2"/>
      <charset val="204"/>
    </font>
    <font>
      <sz val="10"/>
      <name val="Arial Cyr"/>
      <charset val="204"/>
    </font>
    <font>
      <sz val="14"/>
      <name val="Times New Roman"/>
      <family val="1"/>
      <charset val="204"/>
    </font>
    <font>
      <b/>
      <sz val="10"/>
      <name val="Times New Roman"/>
      <family val="1"/>
      <charset val="204"/>
    </font>
    <font>
      <b/>
      <sz val="12"/>
      <name val="Times New Roman"/>
      <family val="1"/>
      <charset val="204"/>
    </font>
    <font>
      <sz val="12"/>
      <color indexed="8"/>
      <name val="Calibri"/>
      <family val="2"/>
      <charset val="204"/>
    </font>
    <font>
      <b/>
      <sz val="12"/>
      <color indexed="8"/>
      <name val="Times New Roman"/>
      <family val="1"/>
      <charset val="204"/>
    </font>
    <font>
      <sz val="12"/>
      <color indexed="8"/>
      <name val="Times New Roman"/>
      <family val="1"/>
      <charset val="204"/>
    </font>
    <font>
      <sz val="12"/>
      <color indexed="10"/>
      <name val="Times New Roman"/>
      <family val="1"/>
      <charset val="204"/>
    </font>
    <font>
      <sz val="12"/>
      <name val="Times New Roman"/>
      <family val="1"/>
      <charset val="204"/>
    </font>
    <font>
      <sz val="10"/>
      <name val="Times New Roman"/>
      <family val="1"/>
      <charset val="204"/>
    </font>
    <font>
      <sz val="11"/>
      <color theme="1"/>
      <name val="Calibri"/>
      <family val="2"/>
      <charset val="204"/>
      <scheme val="minor"/>
    </font>
    <font>
      <sz val="12"/>
      <color theme="1"/>
      <name val="Times New Roman"/>
      <family val="1"/>
      <charset val="204"/>
    </font>
    <font>
      <b/>
      <sz val="12"/>
      <color theme="1"/>
      <name val="Times New Roman"/>
      <family val="1"/>
      <charset val="204"/>
    </font>
    <font>
      <sz val="12"/>
      <color theme="1"/>
      <name val="Calibri"/>
      <family val="2"/>
      <charset val="204"/>
    </font>
  </fonts>
  <fills count="19">
    <fill>
      <patternFill patternType="none"/>
    </fill>
    <fill>
      <patternFill patternType="gray125"/>
    </fill>
    <fill>
      <patternFill patternType="solid">
        <fgColor indexed="9"/>
        <bgColor indexed="64"/>
      </patternFill>
    </fill>
    <fill>
      <patternFill patternType="solid">
        <fgColor indexed="53"/>
        <bgColor indexed="64"/>
      </patternFill>
    </fill>
    <fill>
      <patternFill patternType="solid">
        <fgColor indexed="17"/>
        <bgColor indexed="64"/>
      </patternFill>
    </fill>
    <fill>
      <patternFill patternType="solid">
        <fgColor indexed="47"/>
        <bgColor indexed="64"/>
      </patternFill>
    </fill>
    <fill>
      <patternFill patternType="solid">
        <fgColor indexed="22"/>
        <bgColor indexed="64"/>
      </patternFill>
    </fill>
    <fill>
      <patternFill patternType="solid">
        <fgColor indexed="13"/>
        <bgColor indexed="64"/>
      </patternFill>
    </fill>
    <fill>
      <patternFill patternType="solid">
        <fgColor indexed="42"/>
        <bgColor indexed="64"/>
      </patternFill>
    </fill>
    <fill>
      <patternFill patternType="solid">
        <fgColor indexed="52"/>
        <bgColor indexed="64"/>
      </patternFill>
    </fill>
    <fill>
      <patternFill patternType="solid">
        <fgColor indexed="44"/>
        <bgColor indexed="64"/>
      </patternFill>
    </fill>
    <fill>
      <patternFill patternType="solid">
        <fgColor indexed="41"/>
        <bgColor indexed="64"/>
      </patternFill>
    </fill>
    <fill>
      <patternFill patternType="solid">
        <fgColor indexed="57"/>
        <bgColor indexed="64"/>
      </patternFill>
    </fill>
    <fill>
      <patternFill patternType="solid">
        <fgColor indexed="1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CC99"/>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s>
  <cellStyleXfs count="115">
    <xf numFmtId="0" fontId="0" fillId="0" borderId="0"/>
    <xf numFmtId="0" fontId="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2" fillId="0" borderId="0"/>
    <xf numFmtId="0" fontId="2" fillId="0" borderId="0"/>
    <xf numFmtId="0" fontId="12" fillId="0" borderId="0"/>
    <xf numFmtId="0" fontId="12" fillId="0" borderId="0"/>
    <xf numFmtId="0" fontId="12" fillId="0" borderId="0"/>
    <xf numFmtId="0" fontId="1" fillId="0" borderId="0"/>
    <xf numFmtId="0" fontId="12" fillId="0" borderId="0"/>
    <xf numFmtId="0" fontId="1" fillId="0" borderId="0"/>
    <xf numFmtId="0" fontId="2" fillId="0" borderId="0"/>
    <xf numFmtId="0" fontId="12" fillId="0" borderId="0"/>
    <xf numFmtId="0" fontId="12" fillId="0" borderId="0"/>
    <xf numFmtId="0" fontId="1"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964">
    <xf numFmtId="0" fontId="0" fillId="0" borderId="0" xfId="0"/>
    <xf numFmtId="0" fontId="5" fillId="2" borderId="0" xfId="1"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wrapText="1"/>
    </xf>
    <xf numFmtId="0" fontId="8" fillId="0" borderId="2"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0" fontId="8" fillId="0" borderId="3" xfId="0" applyFont="1" applyFill="1" applyBorder="1" applyAlignment="1" applyProtection="1">
      <alignment horizontal="center" vertical="center"/>
      <protection locked="0"/>
    </xf>
    <xf numFmtId="0" fontId="8" fillId="3" borderId="1" xfId="0" applyFont="1" applyFill="1" applyBorder="1" applyAlignment="1" applyProtection="1">
      <alignment horizontal="left" wrapText="1"/>
    </xf>
    <xf numFmtId="0" fontId="8" fillId="3" borderId="2" xfId="0" applyFont="1" applyFill="1" applyBorder="1" applyAlignment="1" applyProtection="1">
      <alignment horizontal="center" vertical="center"/>
    </xf>
    <xf numFmtId="0" fontId="8" fillId="3" borderId="1" xfId="0" applyFont="1" applyFill="1" applyBorder="1" applyAlignment="1" applyProtection="1">
      <alignment horizontal="center" vertical="center"/>
    </xf>
    <xf numFmtId="0" fontId="8" fillId="4" borderId="1" xfId="0" applyFont="1" applyFill="1" applyBorder="1" applyAlignment="1" applyProtection="1">
      <alignment horizontal="left" wrapText="1"/>
    </xf>
    <xf numFmtId="0" fontId="8" fillId="4" borderId="2" xfId="0" applyFont="1" applyFill="1" applyBorder="1" applyAlignment="1" applyProtection="1">
      <alignment horizontal="center" vertical="center"/>
    </xf>
    <xf numFmtId="0" fontId="8" fillId="4" borderId="1" xfId="0" applyFont="1" applyFill="1" applyBorder="1" applyAlignment="1" applyProtection="1">
      <alignment horizontal="center" vertical="center"/>
    </xf>
    <xf numFmtId="0" fontId="7" fillId="5" borderId="1" xfId="0" applyFont="1" applyFill="1" applyBorder="1" applyAlignment="1" applyProtection="1">
      <alignment horizontal="left" wrapText="1"/>
    </xf>
    <xf numFmtId="0" fontId="8" fillId="5" borderId="2" xfId="0" applyFont="1" applyFill="1" applyBorder="1" applyAlignment="1" applyProtection="1">
      <alignment horizontal="center" vertical="center"/>
    </xf>
    <xf numFmtId="0" fontId="8" fillId="5" borderId="1" xfId="0" applyFont="1" applyFill="1" applyBorder="1" applyAlignment="1" applyProtection="1">
      <alignment horizontal="center" vertical="center"/>
    </xf>
    <xf numFmtId="0" fontId="8" fillId="6" borderId="1" xfId="0" applyFont="1" applyFill="1" applyBorder="1" applyAlignment="1" applyProtection="1">
      <alignment horizontal="center" vertical="center"/>
    </xf>
    <xf numFmtId="0" fontId="8" fillId="7" borderId="1" xfId="0" applyFont="1" applyFill="1" applyBorder="1" applyAlignment="1" applyProtection="1">
      <alignment horizontal="left" wrapText="1"/>
    </xf>
    <xf numFmtId="0" fontId="8" fillId="5" borderId="1" xfId="0" applyFont="1" applyFill="1" applyBorder="1" applyAlignment="1" applyProtection="1">
      <alignment horizontal="left" wrapText="1"/>
    </xf>
    <xf numFmtId="0" fontId="9" fillId="5" borderId="1" xfId="0" applyFont="1" applyFill="1" applyBorder="1" applyAlignment="1" applyProtection="1">
      <alignment horizontal="left" wrapText="1"/>
    </xf>
    <xf numFmtId="0" fontId="7" fillId="8" borderId="1" xfId="0" applyFont="1" applyFill="1" applyBorder="1" applyAlignment="1" applyProtection="1">
      <alignment horizontal="left" wrapText="1"/>
    </xf>
    <xf numFmtId="0" fontId="8" fillId="8" borderId="2" xfId="0" applyFont="1" applyFill="1" applyBorder="1" applyAlignment="1" applyProtection="1">
      <alignment horizontal="center" vertical="center"/>
    </xf>
    <xf numFmtId="0" fontId="8" fillId="8" borderId="1" xfId="0" applyFont="1" applyFill="1" applyBorder="1" applyAlignment="1" applyProtection="1">
      <alignment horizontal="center" vertical="center"/>
    </xf>
    <xf numFmtId="0" fontId="8" fillId="8" borderId="1" xfId="0" applyFont="1" applyFill="1" applyBorder="1" applyAlignment="1" applyProtection="1">
      <alignment horizontal="left" wrapText="1"/>
    </xf>
    <xf numFmtId="0" fontId="7" fillId="3" borderId="1" xfId="0" applyFont="1" applyFill="1" applyBorder="1" applyAlignment="1" applyProtection="1">
      <alignment horizontal="left" wrapText="1"/>
    </xf>
    <xf numFmtId="0" fontId="8" fillId="9" borderId="2" xfId="0" applyFont="1" applyFill="1" applyBorder="1" applyAlignment="1" applyProtection="1">
      <alignment horizontal="center" vertical="center"/>
    </xf>
    <xf numFmtId="0" fontId="8" fillId="9" borderId="1" xfId="0" applyFont="1" applyFill="1" applyBorder="1" applyAlignment="1" applyProtection="1">
      <alignment horizontal="center" vertical="center"/>
    </xf>
    <xf numFmtId="0" fontId="8" fillId="10" borderId="1" xfId="0" applyFont="1" applyFill="1" applyBorder="1" applyAlignment="1" applyProtection="1">
      <alignment horizontal="center" vertical="center"/>
    </xf>
    <xf numFmtId="0" fontId="8" fillId="11" borderId="1" xfId="0" applyFont="1" applyFill="1" applyBorder="1" applyAlignment="1" applyProtection="1">
      <alignment horizontal="left" wrapText="1"/>
    </xf>
    <xf numFmtId="0" fontId="8" fillId="6" borderId="2" xfId="0" applyFont="1" applyFill="1" applyBorder="1" applyAlignment="1" applyProtection="1">
      <alignment horizontal="center" vertical="center"/>
    </xf>
    <xf numFmtId="0" fontId="8" fillId="6" borderId="2"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0" borderId="0" xfId="0" applyFont="1" applyFill="1" applyBorder="1" applyAlignment="1" applyProtection="1">
      <alignment horizontal="left" wrapText="1"/>
    </xf>
    <xf numFmtId="0" fontId="8" fillId="0" borderId="0" xfId="0" applyFont="1" applyFill="1" applyBorder="1" applyAlignment="1" applyProtection="1">
      <alignment horizontal="center" vertical="center"/>
      <protection locked="0"/>
    </xf>
    <xf numFmtId="0" fontId="8" fillId="0" borderId="0" xfId="0" applyFont="1" applyFill="1" applyBorder="1" applyAlignment="1">
      <alignment horizontal="left" wrapText="1"/>
    </xf>
    <xf numFmtId="0" fontId="8" fillId="0" borderId="0" xfId="0" applyFont="1" applyFill="1"/>
    <xf numFmtId="0" fontId="8" fillId="0" borderId="0" xfId="0" applyFont="1" applyFill="1" applyAlignment="1">
      <alignment horizontal="center"/>
    </xf>
    <xf numFmtId="0" fontId="8" fillId="0" borderId="0" xfId="0" applyFont="1" applyFill="1" applyAlignment="1">
      <alignment vertical="center" wrapText="1"/>
    </xf>
    <xf numFmtId="0" fontId="8" fillId="0" borderId="1" xfId="0" applyFont="1" applyFill="1" applyBorder="1" applyProtection="1">
      <protection locked="0"/>
    </xf>
    <xf numFmtId="0" fontId="8" fillId="0" borderId="0" xfId="0" applyFont="1" applyFill="1" applyProtection="1">
      <protection locked="0"/>
    </xf>
    <xf numFmtId="0" fontId="8" fillId="0" borderId="0" xfId="0" applyFont="1" applyFill="1" applyProtection="1"/>
    <xf numFmtId="0" fontId="8" fillId="3" borderId="1" xfId="0" applyFont="1" applyFill="1" applyBorder="1" applyProtection="1"/>
    <xf numFmtId="0" fontId="8" fillId="4" borderId="1" xfId="0" applyFont="1" applyFill="1" applyBorder="1" applyProtection="1"/>
    <xf numFmtId="0" fontId="8" fillId="6" borderId="1" xfId="0" applyFont="1" applyFill="1" applyBorder="1" applyProtection="1"/>
    <xf numFmtId="0" fontId="8" fillId="3" borderId="1" xfId="0" applyFont="1" applyFill="1" applyBorder="1" applyProtection="1">
      <protection locked="0"/>
    </xf>
    <xf numFmtId="0" fontId="8" fillId="0" borderId="0" xfId="0" applyFont="1" applyFill="1" applyBorder="1" applyProtection="1">
      <protection locked="0"/>
    </xf>
    <xf numFmtId="0" fontId="8" fillId="0" borderId="1" xfId="0" applyFont="1" applyFill="1" applyBorder="1"/>
    <xf numFmtId="0" fontId="9" fillId="0" borderId="1" xfId="0" applyFont="1" applyFill="1" applyBorder="1" applyAlignment="1" applyProtection="1">
      <alignment horizontal="left" wrapText="1"/>
    </xf>
    <xf numFmtId="0" fontId="9" fillId="11" borderId="1" xfId="0" applyFont="1" applyFill="1" applyBorder="1" applyAlignment="1" applyProtection="1">
      <alignment horizontal="left" wrapText="1"/>
    </xf>
    <xf numFmtId="0" fontId="7" fillId="4" borderId="1" xfId="0" applyFont="1" applyFill="1" applyBorder="1" applyAlignment="1" applyProtection="1">
      <alignment horizontal="left" vertical="center" wrapText="1"/>
    </xf>
    <xf numFmtId="0" fontId="7" fillId="4" borderId="1" xfId="0" applyFont="1" applyFill="1" applyBorder="1" applyAlignment="1" applyProtection="1">
      <alignment horizontal="left" wrapText="1"/>
    </xf>
    <xf numFmtId="0" fontId="8" fillId="10" borderId="1" xfId="0" applyFont="1" applyFill="1" applyBorder="1" applyAlignment="1" applyProtection="1">
      <alignment horizontal="left" vertical="center"/>
    </xf>
    <xf numFmtId="0" fontId="9" fillId="11" borderId="1" xfId="0" applyFont="1" applyFill="1" applyBorder="1" applyAlignment="1" applyProtection="1">
      <alignment wrapText="1"/>
    </xf>
    <xf numFmtId="0" fontId="8" fillId="10" borderId="1" xfId="0" applyFont="1" applyFill="1" applyBorder="1" applyAlignment="1" applyProtection="1">
      <alignment vertical="center"/>
    </xf>
    <xf numFmtId="0" fontId="7" fillId="12" borderId="1" xfId="0" applyFont="1" applyFill="1" applyBorder="1" applyAlignment="1" applyProtection="1">
      <alignment horizontal="left" wrapText="1"/>
    </xf>
    <xf numFmtId="0" fontId="8" fillId="12" borderId="2" xfId="0" applyFont="1" applyFill="1" applyBorder="1" applyAlignment="1" applyProtection="1">
      <alignment horizontal="center" vertical="center"/>
    </xf>
    <xf numFmtId="0" fontId="8" fillId="12" borderId="1" xfId="0" applyFont="1" applyFill="1" applyBorder="1" applyAlignment="1" applyProtection="1">
      <alignment horizontal="center" vertical="center"/>
    </xf>
    <xf numFmtId="0" fontId="8" fillId="12" borderId="1" xfId="0" applyFont="1" applyFill="1" applyBorder="1" applyProtection="1"/>
    <xf numFmtId="0" fontId="8" fillId="13" borderId="1" xfId="0" applyFont="1" applyFill="1" applyBorder="1" applyAlignment="1" applyProtection="1">
      <alignment horizontal="left" wrapText="1"/>
    </xf>
    <xf numFmtId="0" fontId="8" fillId="13" borderId="2" xfId="0" applyFont="1" applyFill="1" applyBorder="1" applyAlignment="1" applyProtection="1">
      <alignment horizontal="center" vertical="center"/>
    </xf>
    <xf numFmtId="0" fontId="8" fillId="13" borderId="1" xfId="0" applyFont="1" applyFill="1" applyBorder="1" applyAlignment="1" applyProtection="1">
      <alignment horizontal="center" vertical="center"/>
    </xf>
    <xf numFmtId="0" fontId="8" fillId="13" borderId="1" xfId="0" applyFont="1" applyFill="1" applyBorder="1" applyProtection="1"/>
    <xf numFmtId="0" fontId="8" fillId="0" borderId="1" xfId="0" applyFont="1" applyFill="1" applyBorder="1" applyProtection="1"/>
    <xf numFmtId="0" fontId="8" fillId="0" borderId="1"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8" fillId="0" borderId="1" xfId="0" applyFont="1" applyFill="1" applyBorder="1" applyAlignment="1">
      <alignment horizontal="center"/>
    </xf>
    <xf numFmtId="0" fontId="8" fillId="10" borderId="1" xfId="0" applyFont="1" applyFill="1" applyBorder="1"/>
    <xf numFmtId="0" fontId="8" fillId="10" borderId="1" xfId="0" applyFont="1" applyFill="1" applyBorder="1" applyAlignment="1" applyProtection="1">
      <alignment horizontal="left" wrapText="1"/>
    </xf>
    <xf numFmtId="0" fontId="8" fillId="10" borderId="1" xfId="0" applyFont="1" applyFill="1" applyBorder="1" applyAlignment="1">
      <alignment horizontal="center"/>
    </xf>
    <xf numFmtId="0" fontId="10" fillId="2" borderId="0" xfId="1" applyFont="1" applyFill="1" applyProtection="1"/>
    <xf numFmtId="0" fontId="10" fillId="2" borderId="0" xfId="1" applyFont="1" applyFill="1" applyAlignment="1" applyProtection="1">
      <alignment horizontal="center" vertical="center"/>
    </xf>
    <xf numFmtId="0" fontId="10" fillId="0" borderId="0" xfId="1" applyFont="1" applyProtection="1">
      <protection locked="0"/>
    </xf>
    <xf numFmtId="0" fontId="10" fillId="2" borderId="0" xfId="1" applyFont="1" applyFill="1" applyBorder="1" applyAlignment="1" applyProtection="1">
      <alignment horizontal="center" vertical="center"/>
    </xf>
    <xf numFmtId="0" fontId="10" fillId="2" borderId="0" xfId="1" applyFont="1" applyFill="1" applyBorder="1" applyProtection="1"/>
    <xf numFmtId="0" fontId="10" fillId="2" borderId="4" xfId="1" applyFont="1" applyFill="1" applyBorder="1" applyProtection="1"/>
    <xf numFmtId="0" fontId="10" fillId="0" borderId="0" xfId="1" applyFont="1" applyFill="1" applyBorder="1" applyProtection="1"/>
    <xf numFmtId="1" fontId="10" fillId="0" borderId="0" xfId="1" applyNumberFormat="1" applyFont="1" applyFill="1" applyBorder="1" applyAlignment="1" applyProtection="1">
      <alignment horizontal="center"/>
    </xf>
    <xf numFmtId="0" fontId="10" fillId="0" borderId="0" xfId="1" applyFont="1" applyFill="1" applyBorder="1" applyAlignment="1" applyProtection="1">
      <alignment horizontal="center"/>
    </xf>
    <xf numFmtId="0" fontId="10" fillId="6" borderId="5" xfId="1" applyFont="1" applyFill="1" applyBorder="1" applyAlignment="1" applyProtection="1">
      <alignment vertical="center"/>
    </xf>
    <xf numFmtId="0" fontId="10" fillId="0" borderId="6" xfId="0" applyFont="1" applyFill="1" applyBorder="1" applyAlignment="1" applyProtection="1">
      <alignment vertical="center"/>
    </xf>
    <xf numFmtId="0" fontId="10" fillId="2" borderId="6" xfId="0" applyFont="1" applyFill="1" applyBorder="1" applyAlignment="1" applyProtection="1">
      <alignment vertical="center"/>
    </xf>
    <xf numFmtId="0" fontId="10" fillId="2" borderId="6" xfId="0" applyFont="1" applyFill="1" applyBorder="1" applyAlignment="1" applyProtection="1">
      <alignment horizontal="center" vertical="center"/>
    </xf>
    <xf numFmtId="0" fontId="5" fillId="2" borderId="6" xfId="0" applyFont="1" applyFill="1" applyBorder="1" applyAlignment="1" applyProtection="1">
      <alignment horizontal="left"/>
    </xf>
    <xf numFmtId="0" fontId="5" fillId="6" borderId="6" xfId="0" applyFont="1" applyFill="1" applyBorder="1" applyAlignment="1" applyProtection="1">
      <alignment horizontal="center" vertical="center"/>
    </xf>
    <xf numFmtId="0" fontId="5" fillId="6" borderId="7" xfId="0" applyFont="1" applyFill="1" applyBorder="1" applyAlignment="1" applyProtection="1">
      <alignment horizontal="center" vertical="center"/>
    </xf>
    <xf numFmtId="0" fontId="10" fillId="0" borderId="8" xfId="0" applyFont="1" applyFill="1" applyBorder="1" applyAlignment="1" applyProtection="1">
      <alignment horizontal="center" vertical="center"/>
    </xf>
    <xf numFmtId="0" fontId="10" fillId="0" borderId="6" xfId="0" applyFont="1" applyFill="1" applyBorder="1" applyAlignment="1" applyProtection="1">
      <alignment horizontal="center" vertical="center"/>
    </xf>
    <xf numFmtId="0" fontId="10" fillId="0" borderId="9" xfId="0" applyFont="1" applyFill="1" applyBorder="1" applyAlignment="1" applyProtection="1">
      <alignment horizontal="center" vertical="center"/>
    </xf>
    <xf numFmtId="0" fontId="10" fillId="6" borderId="10" xfId="0" applyFont="1" applyFill="1" applyBorder="1" applyAlignment="1" applyProtection="1">
      <alignment horizontal="center" vertical="center"/>
    </xf>
    <xf numFmtId="0" fontId="10" fillId="6" borderId="6" xfId="0" applyFont="1" applyFill="1" applyBorder="1" applyAlignment="1" applyProtection="1">
      <alignment horizontal="center" vertical="center"/>
    </xf>
    <xf numFmtId="0" fontId="10" fillId="6" borderId="7" xfId="0" applyFont="1" applyFill="1" applyBorder="1" applyAlignment="1" applyProtection="1">
      <alignment horizontal="center" vertical="center"/>
    </xf>
    <xf numFmtId="0" fontId="10" fillId="6" borderId="8" xfId="0" applyFont="1" applyFill="1" applyBorder="1" applyAlignment="1" applyProtection="1">
      <alignment horizontal="center" vertical="center"/>
    </xf>
    <xf numFmtId="0" fontId="10" fillId="2" borderId="11"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3" xfId="0" applyFont="1" applyFill="1" applyBorder="1" applyAlignment="1" applyProtection="1">
      <alignment horizontal="center" vertical="center"/>
    </xf>
    <xf numFmtId="0" fontId="10" fillId="2" borderId="14" xfId="0" applyFont="1" applyFill="1" applyBorder="1" applyAlignment="1" applyProtection="1">
      <alignment horizontal="center" vertical="center"/>
    </xf>
    <xf numFmtId="0" fontId="10" fillId="6" borderId="14"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0" borderId="16" xfId="0" applyFont="1" applyBorder="1" applyProtection="1"/>
    <xf numFmtId="0" fontId="10" fillId="0" borderId="3" xfId="0" applyFont="1" applyBorder="1" applyAlignment="1" applyProtection="1">
      <alignment horizontal="center" vertical="center"/>
    </xf>
    <xf numFmtId="0" fontId="10" fillId="0" borderId="0" xfId="1" applyFont="1" applyProtection="1"/>
    <xf numFmtId="0" fontId="5" fillId="3" borderId="1" xfId="0" applyFont="1" applyFill="1" applyBorder="1" applyAlignment="1" applyProtection="1">
      <alignment horizontal="center" vertical="center"/>
    </xf>
    <xf numFmtId="0" fontId="5" fillId="3" borderId="1" xfId="0" applyFont="1" applyFill="1" applyBorder="1" applyAlignment="1" applyProtection="1">
      <alignment horizontal="left" vertical="center" wrapText="1"/>
    </xf>
    <xf numFmtId="1" fontId="5" fillId="3" borderId="1" xfId="0" applyNumberFormat="1"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6" borderId="18" xfId="0" quotePrefix="1" applyFont="1" applyFill="1" applyBorder="1" applyAlignment="1" applyProtection="1">
      <alignment horizontal="center" vertical="center"/>
    </xf>
    <xf numFmtId="0" fontId="5" fillId="6" borderId="1" xfId="0" quotePrefix="1" applyFont="1" applyFill="1" applyBorder="1" applyAlignment="1" applyProtection="1">
      <alignment horizontal="center" vertical="center"/>
    </xf>
    <xf numFmtId="0" fontId="5" fillId="6" borderId="19" xfId="0" quotePrefix="1" applyFont="1" applyFill="1" applyBorder="1" applyAlignment="1" applyProtection="1">
      <alignment horizontal="center" vertical="center"/>
    </xf>
    <xf numFmtId="1" fontId="10" fillId="6" borderId="18" xfId="0" applyNumberFormat="1" applyFont="1" applyFill="1" applyBorder="1" applyAlignment="1" applyProtection="1">
      <alignment horizontal="center" vertical="center" wrapText="1"/>
    </xf>
    <xf numFmtId="1" fontId="10" fillId="6" borderId="1" xfId="0" applyNumberFormat="1" applyFont="1" applyFill="1" applyBorder="1" applyAlignment="1" applyProtection="1">
      <alignment horizontal="center" vertical="center" wrapText="1"/>
    </xf>
    <xf numFmtId="1" fontId="10" fillId="6" borderId="19" xfId="0" applyNumberFormat="1" applyFont="1" applyFill="1" applyBorder="1" applyAlignment="1" applyProtection="1">
      <alignment horizontal="center" vertical="center" wrapText="1"/>
    </xf>
    <xf numFmtId="2" fontId="5" fillId="6" borderId="20" xfId="0" quotePrefix="1" applyNumberFormat="1" applyFont="1" applyFill="1" applyBorder="1" applyAlignment="1" applyProtection="1">
      <alignment horizontal="center" vertical="center"/>
    </xf>
    <xf numFmtId="1" fontId="10" fillId="6" borderId="18" xfId="0" applyNumberFormat="1" applyFont="1" applyFill="1" applyBorder="1" applyAlignment="1" applyProtection="1">
      <alignment horizontal="center" vertical="center"/>
    </xf>
    <xf numFmtId="1" fontId="10" fillId="6" borderId="1" xfId="0" applyNumberFormat="1" applyFont="1" applyFill="1" applyBorder="1" applyAlignment="1" applyProtection="1">
      <alignment horizontal="center" vertical="center"/>
    </xf>
    <xf numFmtId="1" fontId="10" fillId="6" borderId="19" xfId="0" applyNumberFormat="1" applyFont="1" applyFill="1" applyBorder="1" applyAlignment="1" applyProtection="1">
      <alignment horizontal="center" vertical="center"/>
    </xf>
    <xf numFmtId="0" fontId="5" fillId="6" borderId="20" xfId="0" quotePrefix="1" applyFont="1" applyFill="1" applyBorder="1" applyAlignment="1" applyProtection="1">
      <alignment horizontal="center" vertical="center"/>
    </xf>
    <xf numFmtId="2" fontId="5" fillId="6" borderId="17" xfId="0" quotePrefix="1" applyNumberFormat="1" applyFont="1" applyFill="1" applyBorder="1" applyAlignment="1" applyProtection="1">
      <alignment horizontal="center" vertical="center"/>
    </xf>
    <xf numFmtId="0" fontId="5" fillId="6" borderId="17" xfId="0" quotePrefix="1" applyFont="1" applyFill="1" applyBorder="1" applyAlignment="1" applyProtection="1">
      <alignment horizontal="center" vertical="center"/>
    </xf>
    <xf numFmtId="2" fontId="5" fillId="6" borderId="21" xfId="0" quotePrefix="1" applyNumberFormat="1" applyFont="1" applyFill="1" applyBorder="1" applyAlignment="1" applyProtection="1">
      <alignment horizontal="center" vertical="center"/>
    </xf>
    <xf numFmtId="1" fontId="10" fillId="6" borderId="3" xfId="0" applyNumberFormat="1" applyFont="1" applyFill="1" applyBorder="1" applyAlignment="1" applyProtection="1">
      <alignment horizontal="center" vertical="center"/>
    </xf>
    <xf numFmtId="0" fontId="5" fillId="6" borderId="22" xfId="0" quotePrefix="1" applyFont="1" applyFill="1" applyBorder="1" applyAlignment="1" applyProtection="1">
      <alignment horizontal="center" vertical="center"/>
    </xf>
    <xf numFmtId="164" fontId="10" fillId="0" borderId="1" xfId="0" applyNumberFormat="1" applyFont="1" applyBorder="1" applyAlignment="1" applyProtection="1">
      <alignment horizontal="center" vertical="center"/>
    </xf>
    <xf numFmtId="0" fontId="5" fillId="12" borderId="1" xfId="0" applyFont="1" applyFill="1" applyBorder="1" applyAlignment="1" applyProtection="1">
      <alignment horizontal="center" vertical="center"/>
    </xf>
    <xf numFmtId="0" fontId="5" fillId="12" borderId="1" xfId="0" applyFont="1" applyFill="1" applyBorder="1" applyAlignment="1" applyProtection="1">
      <alignment horizontal="left" vertical="center" wrapText="1"/>
    </xf>
    <xf numFmtId="1" fontId="5" fillId="12" borderId="1" xfId="0" applyNumberFormat="1" applyFont="1" applyFill="1" applyBorder="1" applyAlignment="1" applyProtection="1">
      <alignment horizontal="center" vertical="center"/>
    </xf>
    <xf numFmtId="0" fontId="5" fillId="12" borderId="17"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1" fontId="5" fillId="5" borderId="1" xfId="0" applyNumberFormat="1" applyFont="1" applyFill="1" applyBorder="1" applyAlignment="1" applyProtection="1">
      <alignment horizontal="center" vertical="center"/>
    </xf>
    <xf numFmtId="0" fontId="5" fillId="5" borderId="17"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12" borderId="1" xfId="0" applyFont="1" applyFill="1" applyBorder="1" applyAlignment="1" applyProtection="1">
      <alignment horizontal="center" vertical="center"/>
    </xf>
    <xf numFmtId="0" fontId="10" fillId="7" borderId="1" xfId="0" applyFont="1" applyFill="1" applyBorder="1" applyAlignment="1" applyProtection="1">
      <alignment horizontal="left" vertical="center" wrapText="1"/>
    </xf>
    <xf numFmtId="0" fontId="10" fillId="6" borderId="18"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10" fillId="6" borderId="19" xfId="0" applyFont="1" applyFill="1" applyBorder="1" applyAlignment="1" applyProtection="1">
      <alignment horizontal="center" vertical="center"/>
    </xf>
    <xf numFmtId="2" fontId="10" fillId="6" borderId="18" xfId="0" applyNumberFormat="1" applyFont="1" applyFill="1" applyBorder="1" applyAlignment="1" applyProtection="1">
      <alignment horizontal="center" vertical="center"/>
    </xf>
    <xf numFmtId="2" fontId="10" fillId="6" borderId="1" xfId="0" applyNumberFormat="1" applyFont="1" applyFill="1" applyBorder="1" applyAlignment="1" applyProtection="1">
      <alignment horizontal="center" vertical="center"/>
    </xf>
    <xf numFmtId="2" fontId="10" fillId="6" borderId="19" xfId="0" applyNumberFormat="1" applyFont="1" applyFill="1" applyBorder="1" applyAlignment="1" applyProtection="1">
      <alignment horizontal="center" vertical="center"/>
    </xf>
    <xf numFmtId="0" fontId="10" fillId="6" borderId="22" xfId="0" applyFont="1" applyFill="1" applyBorder="1" applyAlignment="1" applyProtection="1">
      <alignment horizontal="center" vertical="center"/>
    </xf>
    <xf numFmtId="0" fontId="10" fillId="0" borderId="1" xfId="0" applyFont="1" applyFill="1" applyBorder="1" applyAlignment="1" applyProtection="1">
      <alignment horizontal="center" vertical="center"/>
    </xf>
    <xf numFmtId="0" fontId="10" fillId="5" borderId="1" xfId="0" applyFont="1" applyFill="1" applyBorder="1" applyAlignment="1" applyProtection="1">
      <alignment horizontal="left" vertical="center" wrapText="1"/>
    </xf>
    <xf numFmtId="0" fontId="10" fillId="0" borderId="23" xfId="0" applyFont="1" applyFill="1" applyBorder="1" applyAlignment="1" applyProtection="1">
      <alignment horizontal="center" vertical="center"/>
    </xf>
    <xf numFmtId="0" fontId="10" fillId="0" borderId="24" xfId="0" applyFont="1" applyFill="1" applyBorder="1" applyAlignment="1" applyProtection="1">
      <alignment horizontal="center" vertical="center"/>
    </xf>
    <xf numFmtId="0" fontId="10" fillId="0" borderId="25" xfId="0" applyFont="1" applyFill="1" applyBorder="1" applyAlignment="1" applyProtection="1">
      <alignment horizontal="center" vertical="center"/>
    </xf>
    <xf numFmtId="0" fontId="5" fillId="0" borderId="27" xfId="0" applyFont="1" applyFill="1" applyBorder="1" applyAlignment="1" applyProtection="1">
      <alignment horizontal="center" vertical="center"/>
    </xf>
    <xf numFmtId="0" fontId="10" fillId="0" borderId="3" xfId="0" applyFont="1" applyFill="1" applyBorder="1" applyAlignment="1" applyProtection="1">
      <alignment horizontal="center" vertical="center"/>
    </xf>
    <xf numFmtId="1" fontId="5" fillId="0" borderId="1" xfId="0" applyNumberFormat="1"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10" fillId="0" borderId="18" xfId="0" applyFont="1" applyFill="1" applyBorder="1" applyAlignment="1" applyProtection="1">
      <alignment horizontal="center" vertical="center"/>
    </xf>
    <xf numFmtId="0" fontId="10" fillId="0" borderId="19" xfId="0" applyFont="1" applyFill="1" applyBorder="1" applyAlignment="1" applyProtection="1">
      <alignment horizontal="center" vertical="center"/>
    </xf>
    <xf numFmtId="1" fontId="10" fillId="0" borderId="18" xfId="0" applyNumberFormat="1" applyFont="1" applyFill="1" applyBorder="1" applyAlignment="1" applyProtection="1">
      <alignment horizontal="center" vertical="center" wrapText="1"/>
    </xf>
    <xf numFmtId="1" fontId="10" fillId="0" borderId="1" xfId="0" applyNumberFormat="1" applyFont="1" applyFill="1" applyBorder="1" applyAlignment="1" applyProtection="1">
      <alignment horizontal="center" vertical="center" wrapText="1"/>
    </xf>
    <xf numFmtId="1" fontId="10" fillId="0" borderId="19" xfId="0" applyNumberFormat="1" applyFont="1" applyFill="1" applyBorder="1" applyAlignment="1" applyProtection="1">
      <alignment horizontal="center" vertical="center" wrapText="1"/>
    </xf>
    <xf numFmtId="1" fontId="10" fillId="0" borderId="1" xfId="0" applyNumberFormat="1" applyFont="1" applyFill="1" applyBorder="1" applyAlignment="1" applyProtection="1">
      <alignment horizontal="center" vertical="center"/>
    </xf>
    <xf numFmtId="1" fontId="10" fillId="0" borderId="19" xfId="0" applyNumberFormat="1" applyFont="1" applyFill="1" applyBorder="1" applyAlignment="1" applyProtection="1">
      <alignment horizontal="center" vertical="center"/>
    </xf>
    <xf numFmtId="0" fontId="10" fillId="0" borderId="22" xfId="0" applyFont="1" applyFill="1" applyBorder="1" applyAlignment="1" applyProtection="1">
      <alignment horizontal="center" vertical="center"/>
    </xf>
    <xf numFmtId="0" fontId="10" fillId="0" borderId="17" xfId="0" applyFont="1" applyFill="1" applyBorder="1" applyAlignment="1" applyProtection="1">
      <alignment horizontal="center" vertical="center"/>
    </xf>
    <xf numFmtId="0" fontId="10" fillId="3" borderId="17" xfId="0" applyFont="1" applyFill="1" applyBorder="1" applyAlignment="1" applyProtection="1">
      <alignment horizontal="center" vertical="center"/>
    </xf>
    <xf numFmtId="0" fontId="10" fillId="12" borderId="24" xfId="0" applyFont="1" applyFill="1" applyBorder="1" applyAlignment="1" applyProtection="1">
      <alignment horizontal="center" vertical="center"/>
    </xf>
    <xf numFmtId="0" fontId="10" fillId="5" borderId="20" xfId="0" applyFont="1" applyFill="1" applyBorder="1" applyAlignment="1" applyProtection="1">
      <alignment horizontal="left" vertical="center" wrapText="1"/>
    </xf>
    <xf numFmtId="0" fontId="10" fillId="0" borderId="24" xfId="1" applyFont="1" applyBorder="1" applyProtection="1"/>
    <xf numFmtId="1" fontId="10" fillId="0" borderId="0" xfId="0" applyNumberFormat="1" applyFont="1" applyFill="1" applyBorder="1" applyAlignment="1" applyProtection="1">
      <alignment horizontal="center" vertical="center"/>
    </xf>
    <xf numFmtId="0" fontId="10" fillId="12" borderId="3" xfId="0" applyFont="1" applyFill="1" applyBorder="1" applyAlignment="1" applyProtection="1">
      <alignment horizontal="center" vertical="center"/>
    </xf>
    <xf numFmtId="1" fontId="5" fillId="0" borderId="3" xfId="0" applyNumberFormat="1" applyFont="1" applyFill="1" applyBorder="1" applyAlignment="1" applyProtection="1">
      <alignment horizontal="center" vertical="center"/>
    </xf>
    <xf numFmtId="1" fontId="10" fillId="0" borderId="3" xfId="0" applyNumberFormat="1" applyFont="1" applyFill="1" applyBorder="1" applyAlignment="1" applyProtection="1">
      <alignment horizontal="center" vertical="center" wrapText="1"/>
    </xf>
    <xf numFmtId="1" fontId="10" fillId="0" borderId="27" xfId="0" applyNumberFormat="1" applyFont="1" applyFill="1" applyBorder="1" applyAlignment="1" applyProtection="1">
      <alignment horizontal="center" vertical="center" wrapText="1"/>
    </xf>
    <xf numFmtId="2" fontId="5" fillId="6" borderId="28" xfId="0" quotePrefix="1" applyNumberFormat="1" applyFont="1" applyFill="1" applyBorder="1" applyAlignment="1" applyProtection="1">
      <alignment horizontal="center" vertical="center"/>
    </xf>
    <xf numFmtId="1" fontId="10" fillId="0" borderId="3" xfId="0" applyNumberFormat="1" applyFont="1" applyFill="1" applyBorder="1" applyAlignment="1" applyProtection="1">
      <alignment horizontal="center" vertical="center"/>
    </xf>
    <xf numFmtId="1" fontId="10" fillId="0" borderId="27" xfId="0" applyNumberFormat="1" applyFont="1" applyFill="1" applyBorder="1" applyAlignment="1" applyProtection="1">
      <alignment horizontal="center" vertical="center"/>
    </xf>
    <xf numFmtId="164" fontId="10" fillId="0" borderId="3" xfId="0" applyNumberFormat="1" applyFont="1" applyBorder="1" applyAlignment="1" applyProtection="1">
      <alignment horizontal="center" vertical="center"/>
    </xf>
    <xf numFmtId="1" fontId="5" fillId="5" borderId="3" xfId="0" applyNumberFormat="1" applyFont="1" applyFill="1" applyBorder="1" applyAlignment="1" applyProtection="1">
      <alignment horizontal="center" vertical="center"/>
    </xf>
    <xf numFmtId="0" fontId="5" fillId="5" borderId="29" xfId="0" applyFont="1" applyFill="1" applyBorder="1" applyAlignment="1" applyProtection="1">
      <alignment horizontal="center" vertical="center"/>
    </xf>
    <xf numFmtId="0" fontId="10" fillId="6" borderId="30" xfId="0" applyFont="1" applyFill="1" applyBorder="1" applyAlignment="1" applyProtection="1">
      <alignment horizontal="center" vertical="center"/>
    </xf>
    <xf numFmtId="0" fontId="10" fillId="6" borderId="3" xfId="0" applyFont="1" applyFill="1" applyBorder="1" applyAlignment="1" applyProtection="1">
      <alignment horizontal="center" vertical="center"/>
    </xf>
    <xf numFmtId="0" fontId="10" fillId="6" borderId="27" xfId="0" applyFont="1" applyFill="1" applyBorder="1" applyAlignment="1" applyProtection="1">
      <alignment horizontal="center" vertical="center"/>
    </xf>
    <xf numFmtId="1" fontId="10" fillId="6" borderId="30" xfId="0" applyNumberFormat="1" applyFont="1" applyFill="1" applyBorder="1" applyAlignment="1" applyProtection="1">
      <alignment horizontal="center" vertical="center" wrapText="1"/>
    </xf>
    <xf numFmtId="1" fontId="10" fillId="6" borderId="3" xfId="0" applyNumberFormat="1" applyFont="1" applyFill="1" applyBorder="1" applyAlignment="1" applyProtection="1">
      <alignment horizontal="center" vertical="center" wrapText="1"/>
    </xf>
    <xf numFmtId="1" fontId="10" fillId="6" borderId="27" xfId="0" applyNumberFormat="1" applyFont="1" applyFill="1" applyBorder="1" applyAlignment="1" applyProtection="1">
      <alignment horizontal="center" vertical="center" wrapText="1"/>
    </xf>
    <xf numFmtId="2" fontId="5" fillId="6" borderId="31" xfId="0" quotePrefix="1" applyNumberFormat="1" applyFont="1" applyFill="1" applyBorder="1" applyAlignment="1" applyProtection="1">
      <alignment horizontal="center" vertical="center"/>
    </xf>
    <xf numFmtId="1" fontId="10" fillId="6" borderId="30" xfId="0" applyNumberFormat="1" applyFont="1" applyFill="1" applyBorder="1" applyAlignment="1" applyProtection="1">
      <alignment horizontal="center" vertical="center"/>
    </xf>
    <xf numFmtId="1" fontId="10" fillId="6" borderId="27" xfId="0" applyNumberFormat="1" applyFont="1" applyFill="1" applyBorder="1" applyAlignment="1" applyProtection="1">
      <alignment horizontal="center" vertical="center"/>
    </xf>
    <xf numFmtId="0" fontId="5" fillId="6" borderId="31" xfId="0" quotePrefix="1" applyFont="1" applyFill="1" applyBorder="1" applyAlignment="1" applyProtection="1">
      <alignment horizontal="center" vertical="center"/>
    </xf>
    <xf numFmtId="2" fontId="10" fillId="6" borderId="30" xfId="0" applyNumberFormat="1" applyFont="1" applyFill="1" applyBorder="1" applyAlignment="1" applyProtection="1">
      <alignment horizontal="center" vertical="center"/>
    </xf>
    <xf numFmtId="2" fontId="5" fillId="6" borderId="29" xfId="0" quotePrefix="1" applyNumberFormat="1" applyFont="1" applyFill="1" applyBorder="1" applyAlignment="1" applyProtection="1">
      <alignment horizontal="center" vertical="center"/>
    </xf>
    <xf numFmtId="0" fontId="5" fillId="6" borderId="29" xfId="0" quotePrefix="1" applyFont="1" applyFill="1" applyBorder="1" applyAlignment="1" applyProtection="1">
      <alignment horizontal="center" vertical="center"/>
    </xf>
    <xf numFmtId="2" fontId="10" fillId="6" borderId="3" xfId="0" applyNumberFormat="1" applyFont="1" applyFill="1" applyBorder="1" applyAlignment="1" applyProtection="1">
      <alignment horizontal="center" vertical="center"/>
    </xf>
    <xf numFmtId="2" fontId="10" fillId="6" borderId="27" xfId="0" applyNumberFormat="1" applyFont="1" applyFill="1" applyBorder="1" applyAlignment="1" applyProtection="1">
      <alignment horizontal="center" vertical="center"/>
    </xf>
    <xf numFmtId="2" fontId="5" fillId="6" borderId="32" xfId="0" quotePrefix="1" applyNumberFormat="1" applyFont="1" applyFill="1" applyBorder="1" applyAlignment="1" applyProtection="1">
      <alignment horizontal="center" vertical="center"/>
    </xf>
    <xf numFmtId="0" fontId="10" fillId="5" borderId="1" xfId="0" applyFont="1" applyFill="1" applyBorder="1" applyAlignment="1" applyProtection="1">
      <alignment horizontal="left" vertical="center"/>
    </xf>
    <xf numFmtId="1" fontId="10" fillId="0" borderId="30" xfId="0" applyNumberFormat="1" applyFont="1" applyFill="1" applyBorder="1" applyAlignment="1" applyProtection="1">
      <alignment horizontal="center" vertical="center" wrapText="1"/>
    </xf>
    <xf numFmtId="0" fontId="10" fillId="0" borderId="18"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wrapText="1"/>
    </xf>
    <xf numFmtId="0" fontId="10" fillId="0" borderId="19" xfId="0" applyFont="1" applyFill="1" applyBorder="1" applyAlignment="1" applyProtection="1">
      <alignment horizontal="center" vertical="center" wrapText="1"/>
    </xf>
    <xf numFmtId="0" fontId="10" fillId="8" borderId="1" xfId="0" applyFont="1" applyFill="1" applyBorder="1" applyAlignment="1" applyProtection="1">
      <alignment horizontal="left" vertical="center" wrapText="1"/>
    </xf>
    <xf numFmtId="0" fontId="5" fillId="8" borderId="1" xfId="0" applyFont="1" applyFill="1" applyBorder="1" applyAlignment="1" applyProtection="1">
      <alignment horizontal="left" vertical="center" wrapText="1"/>
    </xf>
    <xf numFmtId="1" fontId="5" fillId="8" borderId="1" xfId="0" applyNumberFormat="1" applyFont="1" applyFill="1" applyBorder="1" applyAlignment="1" applyProtection="1">
      <alignment horizontal="center" vertical="center"/>
    </xf>
    <xf numFmtId="0" fontId="5" fillId="8" borderId="17" xfId="0" applyFont="1" applyFill="1" applyBorder="1" applyAlignment="1" applyProtection="1">
      <alignment horizontal="center" vertical="center"/>
    </xf>
    <xf numFmtId="1" fontId="5" fillId="13" borderId="1" xfId="0" applyNumberFormat="1" applyFont="1" applyFill="1" applyBorder="1" applyAlignment="1" applyProtection="1">
      <alignment horizontal="center" vertical="center"/>
    </xf>
    <xf numFmtId="0" fontId="5" fillId="13" borderId="17" xfId="0" applyFont="1" applyFill="1" applyBorder="1" applyAlignment="1" applyProtection="1">
      <alignment horizontal="center" vertical="center"/>
    </xf>
    <xf numFmtId="0" fontId="10" fillId="2" borderId="22" xfId="0" applyFont="1" applyFill="1" applyBorder="1" applyAlignment="1" applyProtection="1">
      <alignment horizontal="center" vertical="center"/>
    </xf>
    <xf numFmtId="0" fontId="10" fillId="2" borderId="0" xfId="1" applyFont="1" applyFill="1" applyProtection="1">
      <protection locked="0"/>
    </xf>
    <xf numFmtId="0" fontId="10" fillId="2" borderId="22" xfId="0" applyFont="1" applyFill="1" applyBorder="1" applyAlignment="1" applyProtection="1">
      <alignment horizontal="center" vertical="center"/>
      <protection locked="0"/>
    </xf>
    <xf numFmtId="2" fontId="5" fillId="6" borderId="35" xfId="0" quotePrefix="1" applyNumberFormat="1" applyFont="1" applyFill="1" applyBorder="1" applyAlignment="1" applyProtection="1">
      <alignment horizontal="center" vertical="center"/>
    </xf>
    <xf numFmtId="0" fontId="5" fillId="6" borderId="35" xfId="0" quotePrefix="1" applyFont="1" applyFill="1" applyBorder="1" applyAlignment="1" applyProtection="1">
      <alignment horizontal="center" vertical="center"/>
    </xf>
    <xf numFmtId="0" fontId="9" fillId="8" borderId="1" xfId="0" applyFont="1" applyFill="1" applyBorder="1" applyAlignment="1" applyProtection="1">
      <alignment horizontal="left" vertical="center" wrapText="1"/>
    </xf>
    <xf numFmtId="0" fontId="5" fillId="0" borderId="29" xfId="0" applyFont="1" applyFill="1" applyBorder="1" applyAlignment="1" applyProtection="1">
      <alignment horizontal="center" vertical="center"/>
    </xf>
    <xf numFmtId="0" fontId="10" fillId="2" borderId="33" xfId="0" applyFont="1" applyFill="1" applyBorder="1" applyAlignment="1" applyProtection="1">
      <alignment horizontal="center" vertical="center"/>
      <protection locked="0"/>
    </xf>
    <xf numFmtId="1" fontId="5" fillId="8" borderId="1" xfId="0" applyNumberFormat="1" applyFont="1" applyFill="1" applyBorder="1" applyAlignment="1" applyProtection="1">
      <alignment horizontal="center" vertical="center" wrapText="1"/>
    </xf>
    <xf numFmtId="1" fontId="5" fillId="7" borderId="1" xfId="0" applyNumberFormat="1" applyFont="1" applyFill="1" applyBorder="1" applyAlignment="1" applyProtection="1">
      <alignment horizontal="center" vertical="center"/>
    </xf>
    <xf numFmtId="0" fontId="5" fillId="7" borderId="17" xfId="0" applyFont="1" applyFill="1" applyBorder="1" applyAlignment="1" applyProtection="1">
      <alignment horizontal="center" vertical="center"/>
    </xf>
    <xf numFmtId="0" fontId="5" fillId="6" borderId="36" xfId="0" quotePrefix="1" applyFont="1" applyFill="1" applyBorder="1" applyAlignment="1" applyProtection="1">
      <alignment horizontal="center" vertical="center"/>
    </xf>
    <xf numFmtId="2" fontId="10" fillId="6" borderId="23" xfId="0" applyNumberFormat="1" applyFont="1" applyFill="1" applyBorder="1" applyAlignment="1" applyProtection="1">
      <alignment horizontal="center" vertical="center"/>
    </xf>
    <xf numFmtId="2" fontId="5" fillId="6" borderId="24" xfId="0" quotePrefix="1" applyNumberFormat="1" applyFont="1" applyFill="1" applyBorder="1" applyAlignment="1" applyProtection="1">
      <alignment horizontal="center" vertical="center"/>
    </xf>
    <xf numFmtId="0" fontId="5" fillId="6" borderId="24" xfId="0" quotePrefix="1" applyFont="1" applyFill="1" applyBorder="1" applyAlignment="1" applyProtection="1">
      <alignment horizontal="center" vertical="center"/>
    </xf>
    <xf numFmtId="2" fontId="10" fillId="6" borderId="24" xfId="0" applyNumberFormat="1" applyFont="1" applyFill="1" applyBorder="1" applyAlignment="1" applyProtection="1">
      <alignment horizontal="center" vertical="center"/>
    </xf>
    <xf numFmtId="2" fontId="10" fillId="6" borderId="34" xfId="0" applyNumberFormat="1" applyFont="1" applyFill="1" applyBorder="1" applyAlignment="1" applyProtection="1">
      <alignment horizontal="center" vertical="center"/>
    </xf>
    <xf numFmtId="2" fontId="5" fillId="6" borderId="23" xfId="0" quotePrefix="1" applyNumberFormat="1" applyFont="1" applyFill="1" applyBorder="1" applyAlignment="1" applyProtection="1">
      <alignment horizontal="center" vertical="center"/>
    </xf>
    <xf numFmtId="2" fontId="5" fillId="6" borderId="34" xfId="0" quotePrefix="1" applyNumberFormat="1" applyFont="1" applyFill="1" applyBorder="1" applyAlignment="1" applyProtection="1">
      <alignment horizontal="center" vertical="center"/>
    </xf>
    <xf numFmtId="1" fontId="10" fillId="6" borderId="24" xfId="0" applyNumberFormat="1" applyFont="1" applyFill="1" applyBorder="1" applyAlignment="1" applyProtection="1">
      <alignment horizontal="center" vertical="center"/>
    </xf>
    <xf numFmtId="0" fontId="5" fillId="6" borderId="37" xfId="0" quotePrefix="1" applyFont="1" applyFill="1" applyBorder="1" applyAlignment="1" applyProtection="1">
      <alignment horizontal="center" vertical="center"/>
    </xf>
    <xf numFmtId="2" fontId="10" fillId="6" borderId="8" xfId="0" applyNumberFormat="1" applyFont="1" applyFill="1" applyBorder="1" applyAlignment="1" applyProtection="1">
      <alignment horizontal="center" vertical="center"/>
    </xf>
    <xf numFmtId="2" fontId="5" fillId="6" borderId="6" xfId="0" quotePrefix="1" applyNumberFormat="1" applyFont="1" applyFill="1" applyBorder="1" applyAlignment="1" applyProtection="1">
      <alignment horizontal="center" vertical="center"/>
    </xf>
    <xf numFmtId="0" fontId="5" fillId="6" borderId="6" xfId="0" quotePrefix="1" applyFont="1" applyFill="1" applyBorder="1" applyAlignment="1" applyProtection="1">
      <alignment horizontal="center" vertical="center"/>
    </xf>
    <xf numFmtId="2" fontId="10" fillId="6" borderId="6" xfId="0" applyNumberFormat="1" applyFont="1" applyFill="1" applyBorder="1" applyAlignment="1" applyProtection="1">
      <alignment horizontal="center" vertical="center"/>
    </xf>
    <xf numFmtId="2" fontId="10" fillId="6" borderId="9" xfId="0" applyNumberFormat="1" applyFont="1" applyFill="1" applyBorder="1" applyAlignment="1" applyProtection="1">
      <alignment horizontal="center" vertical="center"/>
    </xf>
    <xf numFmtId="2" fontId="5" fillId="6" borderId="8" xfId="0" quotePrefix="1" applyNumberFormat="1" applyFont="1" applyFill="1" applyBorder="1" applyAlignment="1" applyProtection="1">
      <alignment horizontal="center" vertical="center"/>
    </xf>
    <xf numFmtId="2" fontId="5" fillId="6" borderId="9" xfId="0" quotePrefix="1" applyNumberFormat="1" applyFont="1" applyFill="1" applyBorder="1" applyAlignment="1" applyProtection="1">
      <alignment horizontal="center" vertical="center"/>
    </xf>
    <xf numFmtId="0" fontId="5" fillId="10" borderId="1" xfId="0" applyFont="1" applyFill="1" applyBorder="1" applyAlignment="1" applyProtection="1">
      <alignment horizontal="left" vertical="center" wrapText="1"/>
    </xf>
    <xf numFmtId="1" fontId="5" fillId="10" borderId="1" xfId="0" applyNumberFormat="1" applyFont="1" applyFill="1" applyBorder="1" applyAlignment="1" applyProtection="1">
      <alignment horizontal="center" vertical="center"/>
    </xf>
    <xf numFmtId="0" fontId="10" fillId="0" borderId="1" xfId="0"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0" fontId="10" fillId="12" borderId="1" xfId="0" applyFont="1" applyFill="1" applyBorder="1" applyAlignment="1" applyProtection="1">
      <alignment horizontal="center" vertical="center"/>
      <protection locked="0"/>
    </xf>
    <xf numFmtId="0" fontId="9" fillId="11" borderId="1" xfId="0" applyFont="1" applyFill="1" applyBorder="1" applyAlignment="1" applyProtection="1">
      <alignment horizontal="left" vertical="center" wrapText="1"/>
      <protection locked="0"/>
    </xf>
    <xf numFmtId="0" fontId="10" fillId="0" borderId="18" xfId="0" applyFont="1" applyFill="1" applyBorder="1" applyAlignment="1" applyProtection="1">
      <alignment horizontal="center" vertical="center"/>
      <protection locked="0"/>
    </xf>
    <xf numFmtId="0" fontId="10" fillId="0" borderId="19" xfId="0" applyFont="1" applyFill="1" applyBorder="1" applyAlignment="1" applyProtection="1">
      <alignment horizontal="center" vertical="center"/>
      <protection locked="0"/>
    </xf>
    <xf numFmtId="1" fontId="10" fillId="0" borderId="18" xfId="0" applyNumberFormat="1" applyFont="1" applyFill="1" applyBorder="1" applyAlignment="1" applyProtection="1">
      <alignment horizontal="center" vertical="center" wrapText="1"/>
      <protection locked="0"/>
    </xf>
    <xf numFmtId="1" fontId="10" fillId="0" borderId="1" xfId="0" applyNumberFormat="1" applyFont="1" applyFill="1" applyBorder="1" applyAlignment="1" applyProtection="1">
      <alignment horizontal="center" vertical="center" wrapText="1"/>
      <protection locked="0"/>
    </xf>
    <xf numFmtId="1" fontId="10" fillId="0" borderId="19" xfId="0" applyNumberFormat="1" applyFont="1" applyFill="1" applyBorder="1" applyAlignment="1" applyProtection="1">
      <alignment horizontal="center" vertical="center" wrapText="1"/>
      <protection locked="0"/>
    </xf>
    <xf numFmtId="1" fontId="10" fillId="6" borderId="1" xfId="0" applyNumberFormat="1" applyFont="1" applyFill="1" applyBorder="1" applyAlignment="1" applyProtection="1">
      <alignment horizontal="center" vertical="center"/>
      <protection locked="0"/>
    </xf>
    <xf numFmtId="1" fontId="10" fillId="0" borderId="1" xfId="0" applyNumberFormat="1" applyFont="1" applyFill="1" applyBorder="1" applyAlignment="1" applyProtection="1">
      <alignment horizontal="center" vertical="center"/>
      <protection locked="0"/>
    </xf>
    <xf numFmtId="1" fontId="10" fillId="0" borderId="19" xfId="0" applyNumberFormat="1" applyFont="1" applyFill="1" applyBorder="1" applyAlignment="1" applyProtection="1">
      <alignment horizontal="center" vertical="center"/>
      <protection locked="0"/>
    </xf>
    <xf numFmtId="0" fontId="10" fillId="11" borderId="1" xfId="0" applyFont="1" applyFill="1" applyBorder="1" applyAlignment="1" applyProtection="1">
      <alignment horizontal="left" vertical="center" wrapText="1"/>
      <protection locked="0"/>
    </xf>
    <xf numFmtId="0" fontId="5" fillId="12" borderId="5" xfId="0" applyFont="1" applyFill="1" applyBorder="1" applyAlignment="1" applyProtection="1">
      <alignment horizontal="left" vertical="center" wrapText="1"/>
      <protection locked="0"/>
    </xf>
    <xf numFmtId="1" fontId="5" fillId="12" borderId="5" xfId="0" applyNumberFormat="1" applyFont="1" applyFill="1" applyBorder="1" applyAlignment="1" applyProtection="1">
      <alignment horizontal="center" vertical="center"/>
    </xf>
    <xf numFmtId="0" fontId="5" fillId="12" borderId="38" xfId="0" applyFont="1" applyFill="1" applyBorder="1" applyAlignment="1" applyProtection="1">
      <alignment horizontal="center" vertical="center"/>
    </xf>
    <xf numFmtId="0" fontId="10" fillId="6" borderId="39" xfId="0" applyFont="1" applyFill="1" applyBorder="1" applyAlignment="1" applyProtection="1">
      <alignment horizontal="center" vertical="center"/>
    </xf>
    <xf numFmtId="0" fontId="10" fillId="6" borderId="5" xfId="0" applyFont="1" applyFill="1" applyBorder="1" applyAlignment="1" applyProtection="1">
      <alignment horizontal="center" vertical="center"/>
    </xf>
    <xf numFmtId="0" fontId="10" fillId="6" borderId="5" xfId="0" applyFont="1" applyFill="1" applyBorder="1" applyAlignment="1" applyProtection="1">
      <alignment horizontal="center" vertical="center"/>
      <protection locked="0"/>
    </xf>
    <xf numFmtId="0" fontId="10" fillId="6" borderId="40" xfId="0" applyFont="1" applyFill="1" applyBorder="1" applyAlignment="1" applyProtection="1">
      <alignment horizontal="center" vertical="center"/>
    </xf>
    <xf numFmtId="1" fontId="10" fillId="6" borderId="39" xfId="0" applyNumberFormat="1" applyFont="1" applyFill="1" applyBorder="1" applyAlignment="1" applyProtection="1">
      <alignment horizontal="center" vertical="center" wrapText="1"/>
    </xf>
    <xf numFmtId="1" fontId="10" fillId="6" borderId="5" xfId="0" applyNumberFormat="1" applyFont="1" applyFill="1" applyBorder="1" applyAlignment="1" applyProtection="1">
      <alignment horizontal="center" vertical="center" wrapText="1"/>
    </xf>
    <xf numFmtId="1" fontId="10" fillId="6" borderId="40" xfId="0" applyNumberFormat="1" applyFont="1" applyFill="1" applyBorder="1" applyAlignment="1" applyProtection="1">
      <alignment horizontal="center" vertical="center" wrapText="1"/>
    </xf>
    <xf numFmtId="2" fontId="5" fillId="6" borderId="41" xfId="0" quotePrefix="1" applyNumberFormat="1" applyFont="1" applyFill="1" applyBorder="1" applyAlignment="1" applyProtection="1">
      <alignment horizontal="center" vertical="center"/>
    </xf>
    <xf numFmtId="1" fontId="10" fillId="6" borderId="39" xfId="0" applyNumberFormat="1" applyFont="1" applyFill="1" applyBorder="1" applyAlignment="1" applyProtection="1">
      <alignment horizontal="center" vertical="center"/>
    </xf>
    <xf numFmtId="1" fontId="10" fillId="6" borderId="5" xfId="0" applyNumberFormat="1" applyFont="1" applyFill="1" applyBorder="1" applyAlignment="1" applyProtection="1">
      <alignment horizontal="center" vertical="center"/>
    </xf>
    <xf numFmtId="1" fontId="10" fillId="6" borderId="40" xfId="0" applyNumberFormat="1" applyFont="1" applyFill="1" applyBorder="1" applyAlignment="1" applyProtection="1">
      <alignment horizontal="center" vertical="center"/>
    </xf>
    <xf numFmtId="0" fontId="5" fillId="6" borderId="41" xfId="0" quotePrefix="1" applyFont="1" applyFill="1" applyBorder="1" applyAlignment="1" applyProtection="1">
      <alignment horizontal="center" vertical="center"/>
    </xf>
    <xf numFmtId="2" fontId="10" fillId="6" borderId="39" xfId="0" applyNumberFormat="1" applyFont="1" applyFill="1" applyBorder="1" applyAlignment="1" applyProtection="1">
      <alignment horizontal="center" vertical="center"/>
    </xf>
    <xf numFmtId="2" fontId="5" fillId="6" borderId="38" xfId="0" quotePrefix="1" applyNumberFormat="1" applyFont="1" applyFill="1" applyBorder="1" applyAlignment="1" applyProtection="1">
      <alignment horizontal="center" vertical="center"/>
    </xf>
    <xf numFmtId="0" fontId="5" fillId="6" borderId="38" xfId="0" quotePrefix="1" applyFont="1" applyFill="1" applyBorder="1" applyAlignment="1" applyProtection="1">
      <alignment horizontal="center" vertical="center"/>
    </xf>
    <xf numFmtId="2" fontId="10" fillId="6" borderId="5" xfId="0" applyNumberFormat="1" applyFont="1" applyFill="1" applyBorder="1" applyAlignment="1" applyProtection="1">
      <alignment horizontal="center" vertical="center"/>
    </xf>
    <xf numFmtId="2" fontId="10" fillId="6" borderId="40" xfId="0" applyNumberFormat="1" applyFont="1" applyFill="1" applyBorder="1" applyAlignment="1" applyProtection="1">
      <alignment horizontal="center" vertical="center"/>
    </xf>
    <xf numFmtId="2" fontId="5" fillId="6" borderId="42" xfId="0" quotePrefix="1" applyNumberFormat="1" applyFont="1" applyFill="1" applyBorder="1" applyAlignment="1" applyProtection="1">
      <alignment horizontal="center" vertical="center"/>
    </xf>
    <xf numFmtId="2" fontId="5" fillId="6" borderId="43" xfId="0" quotePrefix="1" applyNumberFormat="1" applyFont="1" applyFill="1" applyBorder="1" applyAlignment="1" applyProtection="1">
      <alignment horizontal="center" vertical="center"/>
    </xf>
    <xf numFmtId="0" fontId="10" fillId="6" borderId="44" xfId="0" applyFont="1" applyFill="1" applyBorder="1" applyAlignment="1" applyProtection="1">
      <alignment horizontal="center" vertical="center"/>
    </xf>
    <xf numFmtId="164" fontId="10" fillId="0" borderId="5" xfId="0" applyNumberFormat="1" applyFont="1" applyBorder="1" applyAlignment="1" applyProtection="1">
      <alignment horizontal="center" vertical="center"/>
    </xf>
    <xf numFmtId="0" fontId="10" fillId="10" borderId="3" xfId="0" applyFont="1" applyFill="1" applyBorder="1" applyAlignment="1" applyProtection="1">
      <alignment horizontal="left" vertical="center" wrapText="1"/>
      <protection locked="0"/>
    </xf>
    <xf numFmtId="1" fontId="5" fillId="6" borderId="3" xfId="0" applyNumberFormat="1" applyFont="1" applyFill="1" applyBorder="1" applyAlignment="1" applyProtection="1">
      <alignment horizontal="center" vertical="center"/>
    </xf>
    <xf numFmtId="0" fontId="5" fillId="6" borderId="29" xfId="0" applyFont="1" applyFill="1" applyBorder="1" applyAlignment="1" applyProtection="1">
      <alignment horizontal="center" vertical="center"/>
    </xf>
    <xf numFmtId="0" fontId="10" fillId="6" borderId="3" xfId="0" applyFont="1" applyFill="1" applyBorder="1" applyAlignment="1" applyProtection="1">
      <alignment horizontal="center" vertical="center"/>
      <protection locked="0"/>
    </xf>
    <xf numFmtId="0" fontId="10" fillId="6" borderId="27" xfId="0" applyFont="1" applyFill="1" applyBorder="1" applyAlignment="1" applyProtection="1">
      <alignment horizontal="center" vertical="center"/>
      <protection locked="0"/>
    </xf>
    <xf numFmtId="1" fontId="10" fillId="6" borderId="30" xfId="0" applyNumberFormat="1" applyFont="1" applyFill="1" applyBorder="1" applyAlignment="1" applyProtection="1">
      <alignment horizontal="center" vertical="center" wrapText="1"/>
      <protection locked="0"/>
    </xf>
    <xf numFmtId="1" fontId="10" fillId="6" borderId="3" xfId="0" applyNumberFormat="1" applyFont="1" applyFill="1" applyBorder="1" applyAlignment="1" applyProtection="1">
      <alignment horizontal="center" vertical="center" wrapText="1"/>
      <protection locked="0"/>
    </xf>
    <xf numFmtId="1" fontId="10" fillId="6" borderId="27" xfId="0" applyNumberFormat="1" applyFont="1" applyFill="1" applyBorder="1" applyAlignment="1" applyProtection="1">
      <alignment horizontal="center" vertical="center" wrapText="1"/>
      <protection locked="0"/>
    </xf>
    <xf numFmtId="164" fontId="10" fillId="6" borderId="3" xfId="0" applyNumberFormat="1" applyFont="1" applyFill="1" applyBorder="1" applyAlignment="1" applyProtection="1">
      <alignment horizontal="center" vertical="center"/>
    </xf>
    <xf numFmtId="0" fontId="10" fillId="0" borderId="39" xfId="0" applyFont="1" applyFill="1" applyBorder="1" applyAlignment="1" applyProtection="1">
      <alignment horizontal="center" vertical="center"/>
    </xf>
    <xf numFmtId="0" fontId="10" fillId="0" borderId="5" xfId="0" applyFont="1" applyFill="1" applyBorder="1" applyAlignment="1" applyProtection="1">
      <alignment horizontal="center" vertical="center"/>
    </xf>
    <xf numFmtId="1" fontId="10" fillId="6" borderId="5" xfId="0" applyNumberFormat="1" applyFont="1" applyFill="1" applyBorder="1" applyAlignment="1" applyProtection="1">
      <alignment horizontal="center" vertical="center"/>
      <protection locked="0"/>
    </xf>
    <xf numFmtId="1" fontId="10" fillId="0" borderId="5" xfId="0" applyNumberFormat="1" applyFont="1" applyFill="1" applyBorder="1" applyAlignment="1" applyProtection="1">
      <alignment horizontal="center" vertical="center"/>
      <protection locked="0"/>
    </xf>
    <xf numFmtId="1" fontId="10" fillId="0" borderId="40" xfId="0" applyNumberFormat="1" applyFont="1" applyFill="1" applyBorder="1" applyAlignment="1" applyProtection="1">
      <alignment horizontal="center" vertical="center"/>
      <protection locked="0"/>
    </xf>
    <xf numFmtId="0" fontId="10" fillId="0" borderId="3" xfId="0" applyFont="1" applyFill="1" applyBorder="1" applyAlignment="1" applyProtection="1">
      <alignment horizontal="center" vertical="center"/>
      <protection locked="0"/>
    </xf>
    <xf numFmtId="0" fontId="5" fillId="2" borderId="0" xfId="1" applyFont="1" applyFill="1" applyProtection="1">
      <protection locked="0"/>
    </xf>
    <xf numFmtId="0" fontId="5" fillId="5" borderId="24"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2" fontId="5" fillId="5" borderId="17" xfId="0" applyNumberFormat="1" applyFont="1" applyFill="1" applyBorder="1" applyAlignment="1" applyProtection="1">
      <alignment horizontal="center" vertical="center"/>
    </xf>
    <xf numFmtId="0" fontId="5" fillId="6" borderId="24" xfId="0" applyFont="1" applyFill="1" applyBorder="1" applyAlignment="1" applyProtection="1">
      <alignment horizontal="center" vertical="center"/>
    </xf>
    <xf numFmtId="0" fontId="5" fillId="6" borderId="1" xfId="0" applyFont="1" applyFill="1" applyBorder="1" applyAlignment="1" applyProtection="1">
      <alignment horizontal="left" vertical="center" wrapText="1"/>
    </xf>
    <xf numFmtId="1" fontId="5" fillId="6" borderId="1" xfId="0" applyNumberFormat="1" applyFont="1" applyFill="1" applyBorder="1" applyAlignment="1" applyProtection="1">
      <alignment horizontal="center" vertical="center"/>
    </xf>
    <xf numFmtId="0" fontId="5" fillId="6" borderId="19" xfId="0" applyFont="1" applyFill="1" applyBorder="1" applyAlignment="1" applyProtection="1">
      <alignment horizontal="center" vertical="center"/>
    </xf>
    <xf numFmtId="1" fontId="5" fillId="6" borderId="2" xfId="0" applyNumberFormat="1" applyFont="1" applyFill="1" applyBorder="1" applyAlignment="1" applyProtection="1">
      <alignment horizontal="center" vertical="center"/>
    </xf>
    <xf numFmtId="1" fontId="5" fillId="6" borderId="18" xfId="0" applyNumberFormat="1" applyFont="1" applyFill="1" applyBorder="1" applyAlignment="1" applyProtection="1">
      <alignment horizontal="center" vertical="center" wrapText="1"/>
    </xf>
    <xf numFmtId="1" fontId="5" fillId="6" borderId="1" xfId="0" applyNumberFormat="1" applyFont="1" applyFill="1" applyBorder="1" applyAlignment="1" applyProtection="1">
      <alignment horizontal="center" vertical="center" wrapText="1"/>
    </xf>
    <xf numFmtId="1" fontId="5" fillId="6" borderId="19" xfId="0" applyNumberFormat="1" applyFont="1" applyFill="1" applyBorder="1" applyAlignment="1" applyProtection="1">
      <alignment horizontal="center" vertical="center" wrapText="1"/>
    </xf>
    <xf numFmtId="1" fontId="5" fillId="6" borderId="18" xfId="0" applyNumberFormat="1" applyFont="1" applyFill="1" applyBorder="1" applyAlignment="1" applyProtection="1">
      <alignment horizontal="center" vertical="center"/>
    </xf>
    <xf numFmtId="2" fontId="5" fillId="6" borderId="19" xfId="0" quotePrefix="1" applyNumberFormat="1" applyFont="1" applyFill="1" applyBorder="1" applyAlignment="1" applyProtection="1">
      <alignment horizontal="center" vertical="center"/>
    </xf>
    <xf numFmtId="164" fontId="10" fillId="6" borderId="1" xfId="0" applyNumberFormat="1"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0" fontId="5" fillId="6" borderId="24" xfId="0" applyFont="1" applyFill="1" applyBorder="1" applyAlignment="1" applyProtection="1">
      <alignment horizontal="left" vertical="center" wrapText="1"/>
    </xf>
    <xf numFmtId="1" fontId="5" fillId="6" borderId="24" xfId="0" applyNumberFormat="1" applyFont="1" applyFill="1" applyBorder="1" applyAlignment="1" applyProtection="1">
      <alignment horizontal="center" vertical="center"/>
    </xf>
    <xf numFmtId="0" fontId="5" fillId="6" borderId="34" xfId="0" applyFont="1" applyFill="1" applyBorder="1" applyAlignment="1" applyProtection="1">
      <alignment horizontal="center" vertical="center"/>
    </xf>
    <xf numFmtId="1" fontId="5" fillId="6" borderId="25" xfId="0" applyNumberFormat="1" applyFont="1" applyFill="1" applyBorder="1" applyAlignment="1" applyProtection="1">
      <alignment horizontal="center" vertical="center"/>
    </xf>
    <xf numFmtId="1" fontId="5" fillId="6" borderId="23" xfId="0" applyNumberFormat="1" applyFont="1" applyFill="1" applyBorder="1" applyAlignment="1" applyProtection="1">
      <alignment horizontal="center" vertical="center" wrapText="1"/>
    </xf>
    <xf numFmtId="1" fontId="5" fillId="6" borderId="24" xfId="0" applyNumberFormat="1" applyFont="1" applyFill="1" applyBorder="1" applyAlignment="1" applyProtection="1">
      <alignment horizontal="center" vertical="center" wrapText="1"/>
    </xf>
    <xf numFmtId="1" fontId="5" fillId="6" borderId="34" xfId="0" applyNumberFormat="1" applyFont="1" applyFill="1" applyBorder="1" applyAlignment="1" applyProtection="1">
      <alignment horizontal="center" vertical="center" wrapText="1"/>
    </xf>
    <xf numFmtId="1" fontId="5" fillId="6" borderId="23" xfId="0" applyNumberFormat="1" applyFont="1" applyFill="1" applyBorder="1" applyAlignment="1" applyProtection="1">
      <alignment horizontal="center" vertical="center"/>
    </xf>
    <xf numFmtId="2" fontId="5" fillId="6" borderId="26" xfId="0" quotePrefix="1" applyNumberFormat="1" applyFont="1" applyFill="1" applyBorder="1" applyAlignment="1" applyProtection="1">
      <alignment horizontal="center" vertical="center"/>
    </xf>
    <xf numFmtId="2" fontId="5" fillId="6" borderId="36" xfId="0" quotePrefix="1" applyNumberFormat="1" applyFont="1" applyFill="1" applyBorder="1" applyAlignment="1" applyProtection="1">
      <alignment horizontal="center" vertical="center"/>
    </xf>
    <xf numFmtId="164" fontId="10" fillId="6" borderId="24" xfId="0" applyNumberFormat="1" applyFont="1" applyFill="1" applyBorder="1" applyAlignment="1" applyProtection="1">
      <alignment horizontal="center" vertical="center"/>
    </xf>
    <xf numFmtId="0" fontId="5" fillId="6" borderId="3" xfId="0" applyFont="1" applyFill="1" applyBorder="1" applyAlignment="1" applyProtection="1">
      <alignment horizontal="center" vertical="center"/>
    </xf>
    <xf numFmtId="0" fontId="5" fillId="6" borderId="3" xfId="0" applyFont="1" applyFill="1" applyBorder="1" applyAlignment="1" applyProtection="1">
      <alignment horizontal="center" vertical="center"/>
      <protection locked="0"/>
    </xf>
    <xf numFmtId="0" fontId="10" fillId="6" borderId="1"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xf>
    <xf numFmtId="0" fontId="5" fillId="3" borderId="24"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xf>
    <xf numFmtId="0" fontId="5" fillId="0" borderId="30"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10" fillId="11" borderId="1" xfId="0" applyFont="1" applyFill="1" applyBorder="1" applyAlignment="1" applyProtection="1">
      <alignment horizontal="center" vertical="center"/>
      <protection locked="0"/>
    </xf>
    <xf numFmtId="0" fontId="5" fillId="11" borderId="1" xfId="0" applyFont="1" applyFill="1" applyBorder="1" applyAlignment="1" applyProtection="1">
      <alignment horizontal="left" vertical="center" wrapText="1"/>
      <protection locked="0"/>
    </xf>
    <xf numFmtId="0" fontId="9" fillId="0" borderId="18" xfId="0" applyFont="1" applyFill="1" applyBorder="1" applyAlignment="1" applyProtection="1">
      <alignment horizontal="center" vertical="center"/>
    </xf>
    <xf numFmtId="0" fontId="9" fillId="0" borderId="1" xfId="0" applyFont="1" applyFill="1" applyBorder="1" applyAlignment="1" applyProtection="1">
      <alignment horizontal="center" vertical="center"/>
    </xf>
    <xf numFmtId="0" fontId="9" fillId="0" borderId="19" xfId="0" applyFont="1" applyFill="1" applyBorder="1" applyAlignment="1" applyProtection="1">
      <alignment horizontal="center" vertical="center"/>
    </xf>
    <xf numFmtId="1" fontId="9" fillId="0" borderId="18" xfId="0" applyNumberFormat="1" applyFont="1" applyFill="1" applyBorder="1" applyAlignment="1" applyProtection="1">
      <alignment horizontal="center" vertical="center" wrapText="1"/>
    </xf>
    <xf numFmtId="1" fontId="9" fillId="0" borderId="1" xfId="0" applyNumberFormat="1" applyFont="1" applyFill="1" applyBorder="1" applyAlignment="1" applyProtection="1">
      <alignment horizontal="center" vertical="center" wrapText="1"/>
    </xf>
    <xf numFmtId="0" fontId="10" fillId="11" borderId="3" xfId="0" applyFont="1" applyFill="1" applyBorder="1" applyAlignment="1" applyProtection="1">
      <alignment horizontal="center" vertical="center"/>
      <protection locked="0"/>
    </xf>
    <xf numFmtId="0" fontId="10" fillId="3" borderId="41" xfId="0" applyFont="1" applyFill="1" applyBorder="1" applyAlignment="1" applyProtection="1">
      <alignment horizontal="center" vertical="center"/>
    </xf>
    <xf numFmtId="0" fontId="10" fillId="3" borderId="5" xfId="0" applyFont="1" applyFill="1" applyBorder="1" applyAlignment="1" applyProtection="1">
      <alignment horizontal="center" vertical="center"/>
    </xf>
    <xf numFmtId="0" fontId="10" fillId="11" borderId="5" xfId="0" applyFont="1" applyFill="1" applyBorder="1" applyAlignment="1" applyProtection="1">
      <alignment horizontal="center" vertical="center"/>
      <protection locked="0"/>
    </xf>
    <xf numFmtId="0" fontId="5" fillId="11" borderId="5" xfId="0" applyFont="1" applyFill="1" applyBorder="1" applyAlignment="1" applyProtection="1">
      <alignment horizontal="left" vertical="center" wrapText="1"/>
    </xf>
    <xf numFmtId="1" fontId="10" fillId="0" borderId="5" xfId="0" applyNumberFormat="1" applyFont="1" applyFill="1" applyBorder="1" applyAlignment="1" applyProtection="1">
      <alignment horizontal="center" vertical="center"/>
    </xf>
    <xf numFmtId="0" fontId="10" fillId="0" borderId="38" xfId="0" applyFont="1" applyFill="1" applyBorder="1" applyAlignment="1" applyProtection="1">
      <alignment horizontal="center" vertical="center"/>
    </xf>
    <xf numFmtId="0" fontId="9" fillId="0" borderId="39" xfId="0" applyFont="1" applyFill="1" applyBorder="1" applyAlignment="1" applyProtection="1">
      <alignment horizontal="center" vertical="center"/>
    </xf>
    <xf numFmtId="0" fontId="9" fillId="0" borderId="5" xfId="0" applyFont="1" applyFill="1" applyBorder="1" applyAlignment="1" applyProtection="1">
      <alignment horizontal="center" vertical="center"/>
    </xf>
    <xf numFmtId="0" fontId="9" fillId="0" borderId="40" xfId="0" applyFont="1" applyFill="1" applyBorder="1" applyAlignment="1" applyProtection="1">
      <alignment horizontal="center" vertical="center"/>
    </xf>
    <xf numFmtId="1" fontId="9" fillId="0" borderId="39" xfId="0" applyNumberFormat="1" applyFont="1" applyFill="1" applyBorder="1" applyAlignment="1" applyProtection="1">
      <alignment horizontal="center" vertical="center" wrapText="1"/>
    </xf>
    <xf numFmtId="1" fontId="10" fillId="0" borderId="5" xfId="0" applyNumberFormat="1" applyFont="1" applyFill="1" applyBorder="1" applyAlignment="1" applyProtection="1">
      <alignment horizontal="center" vertical="center" wrapText="1"/>
    </xf>
    <xf numFmtId="1" fontId="10" fillId="0" borderId="40" xfId="0" applyNumberFormat="1" applyFont="1" applyFill="1" applyBorder="1" applyAlignment="1" applyProtection="1">
      <alignment horizontal="center" vertical="center" wrapText="1"/>
    </xf>
    <xf numFmtId="1" fontId="10" fillId="0" borderId="40" xfId="0" applyNumberFormat="1" applyFont="1" applyFill="1" applyBorder="1" applyAlignment="1" applyProtection="1">
      <alignment horizontal="center" vertical="center"/>
    </xf>
    <xf numFmtId="0" fontId="10" fillId="3" borderId="3" xfId="0" applyFont="1" applyFill="1" applyBorder="1" applyAlignment="1" applyProtection="1">
      <alignment horizontal="center" vertical="center"/>
    </xf>
    <xf numFmtId="0" fontId="5" fillId="3" borderId="3" xfId="0" applyFont="1" applyFill="1" applyBorder="1" applyAlignment="1" applyProtection="1">
      <alignment horizontal="center" vertical="center"/>
    </xf>
    <xf numFmtId="0" fontId="5" fillId="11" borderId="5" xfId="0" applyFont="1" applyFill="1" applyBorder="1" applyAlignment="1" applyProtection="1">
      <alignment horizontal="center" vertical="center"/>
    </xf>
    <xf numFmtId="0" fontId="10" fillId="0" borderId="40" xfId="0" applyFont="1" applyFill="1" applyBorder="1" applyAlignment="1" applyProtection="1">
      <alignment horizontal="center" vertical="center"/>
    </xf>
    <xf numFmtId="1" fontId="10" fillId="0" borderId="39" xfId="0" applyNumberFormat="1" applyFont="1" applyFill="1" applyBorder="1" applyAlignment="1" applyProtection="1">
      <alignment horizontal="center" vertical="center" wrapText="1"/>
    </xf>
    <xf numFmtId="0" fontId="5" fillId="0" borderId="31" xfId="0" applyFont="1" applyFill="1" applyBorder="1" applyAlignment="1" applyProtection="1">
      <alignment horizontal="left" vertical="center"/>
    </xf>
    <xf numFmtId="1" fontId="10" fillId="0" borderId="31" xfId="0" applyNumberFormat="1" applyFont="1" applyFill="1" applyBorder="1" applyAlignment="1" applyProtection="1">
      <alignment horizontal="center" vertical="center"/>
    </xf>
    <xf numFmtId="0" fontId="10" fillId="0" borderId="31" xfId="0" applyFont="1" applyFill="1" applyBorder="1" applyAlignment="1" applyProtection="1">
      <alignment horizontal="center" vertical="center"/>
    </xf>
    <xf numFmtId="1" fontId="10" fillId="0" borderId="31" xfId="0" applyNumberFormat="1" applyFont="1" applyFill="1" applyBorder="1" applyAlignment="1" applyProtection="1">
      <alignment horizontal="center" vertical="center" wrapText="1"/>
    </xf>
    <xf numFmtId="2" fontId="5" fillId="0" borderId="31" xfId="0" quotePrefix="1" applyNumberFormat="1" applyFont="1" applyFill="1" applyBorder="1" applyAlignment="1" applyProtection="1">
      <alignment horizontal="center" vertical="center"/>
    </xf>
    <xf numFmtId="2" fontId="10" fillId="0" borderId="31" xfId="0" applyNumberFormat="1" applyFont="1" applyFill="1" applyBorder="1" applyAlignment="1" applyProtection="1">
      <alignment horizontal="center" vertical="center"/>
    </xf>
    <xf numFmtId="0" fontId="5" fillId="0" borderId="31" xfId="0" quotePrefix="1" applyFont="1" applyFill="1" applyBorder="1" applyAlignment="1" applyProtection="1">
      <alignment horizontal="center" vertical="center"/>
    </xf>
    <xf numFmtId="164" fontId="10" fillId="0" borderId="31" xfId="0" applyNumberFormat="1" applyFont="1" applyFill="1" applyBorder="1" applyAlignment="1" applyProtection="1">
      <alignment horizontal="center" vertical="center"/>
    </xf>
    <xf numFmtId="0" fontId="5" fillId="6" borderId="3" xfId="0" applyFont="1" applyFill="1" applyBorder="1" applyAlignment="1" applyProtection="1">
      <alignment horizontal="left" vertical="center" wrapText="1"/>
    </xf>
    <xf numFmtId="1" fontId="5" fillId="6" borderId="10" xfId="0" applyNumberFormat="1" applyFont="1" applyFill="1" applyBorder="1" applyAlignment="1" applyProtection="1">
      <alignment horizontal="center" vertical="center"/>
    </xf>
    <xf numFmtId="1" fontId="5" fillId="6" borderId="30" xfId="0" applyNumberFormat="1" applyFont="1" applyFill="1" applyBorder="1" applyAlignment="1" applyProtection="1">
      <alignment horizontal="center" vertical="center" wrapText="1"/>
    </xf>
    <xf numFmtId="2" fontId="5" fillId="6" borderId="30" xfId="0" applyNumberFormat="1" applyFont="1" applyFill="1" applyBorder="1" applyAlignment="1" applyProtection="1">
      <alignment horizontal="center" vertical="center" wrapText="1"/>
    </xf>
    <xf numFmtId="2" fontId="5" fillId="6" borderId="3" xfId="0" applyNumberFormat="1" applyFont="1" applyFill="1" applyBorder="1" applyAlignment="1" applyProtection="1">
      <alignment horizontal="center" vertical="center" wrapText="1"/>
    </xf>
    <xf numFmtId="2" fontId="5" fillId="6" borderId="32"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5" fillId="0" borderId="1" xfId="0" applyFont="1" applyFill="1" applyBorder="1" applyAlignment="1" applyProtection="1">
      <alignment horizontal="center" vertical="center" wrapText="1"/>
    </xf>
    <xf numFmtId="1" fontId="10" fillId="0" borderId="17" xfId="0" applyNumberFormat="1" applyFont="1" applyFill="1" applyBorder="1" applyAlignment="1" applyProtection="1">
      <alignment horizontal="center" vertical="center"/>
    </xf>
    <xf numFmtId="1" fontId="5" fillId="0" borderId="22" xfId="0" applyNumberFormat="1" applyFont="1" applyFill="1" applyBorder="1" applyAlignment="1" applyProtection="1">
      <alignment horizontal="center" vertical="center"/>
    </xf>
    <xf numFmtId="2" fontId="5" fillId="0" borderId="20" xfId="0" quotePrefix="1" applyNumberFormat="1" applyFont="1" applyFill="1" applyBorder="1" applyAlignment="1" applyProtection="1">
      <alignment horizontal="center" vertical="center"/>
    </xf>
    <xf numFmtId="1" fontId="10" fillId="0" borderId="18" xfId="0" applyNumberFormat="1" applyFont="1" applyFill="1" applyBorder="1" applyAlignment="1" applyProtection="1">
      <alignment horizontal="center" vertical="center"/>
    </xf>
    <xf numFmtId="0" fontId="5" fillId="0" borderId="20" xfId="0" quotePrefix="1"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2" fontId="5" fillId="0" borderId="17" xfId="0" quotePrefix="1" applyNumberFormat="1" applyFont="1" applyFill="1" applyBorder="1" applyAlignment="1" applyProtection="1">
      <alignment horizontal="center" vertical="center"/>
    </xf>
    <xf numFmtId="0" fontId="5" fillId="0" borderId="17" xfId="0" quotePrefix="1"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2" fontId="5" fillId="0" borderId="21" xfId="0" quotePrefix="1" applyNumberFormat="1" applyFont="1" applyFill="1" applyBorder="1" applyAlignment="1" applyProtection="1">
      <alignment horizontal="center" vertical="center"/>
    </xf>
    <xf numFmtId="2" fontId="5" fillId="0" borderId="2" xfId="0" quotePrefix="1" applyNumberFormat="1" applyFont="1" applyFill="1" applyBorder="1" applyAlignment="1" applyProtection="1">
      <alignment horizontal="center" vertical="center"/>
    </xf>
    <xf numFmtId="1" fontId="5" fillId="2" borderId="1" xfId="1" applyNumberFormat="1" applyFont="1" applyFill="1" applyBorder="1" applyAlignment="1" applyProtection="1">
      <alignment horizontal="center"/>
    </xf>
    <xf numFmtId="0" fontId="5" fillId="0" borderId="22" xfId="0" applyFont="1" applyFill="1" applyBorder="1" applyAlignment="1" applyProtection="1">
      <alignment horizontal="center" vertical="center"/>
    </xf>
    <xf numFmtId="0" fontId="10" fillId="6" borderId="20" xfId="0" applyFont="1" applyFill="1" applyBorder="1" applyAlignment="1" applyProtection="1">
      <alignment horizontal="center" vertical="center"/>
    </xf>
    <xf numFmtId="164" fontId="5" fillId="0" borderId="1" xfId="0" applyNumberFormat="1" applyFont="1" applyFill="1" applyBorder="1" applyAlignment="1" applyProtection="1">
      <alignment horizontal="center" vertical="center"/>
    </xf>
    <xf numFmtId="164" fontId="10" fillId="0" borderId="1" xfId="0" applyNumberFormat="1" applyFont="1" applyFill="1" applyBorder="1" applyAlignment="1" applyProtection="1">
      <alignment horizontal="center" vertical="center"/>
    </xf>
    <xf numFmtId="164" fontId="10" fillId="0" borderId="19" xfId="0" applyNumberFormat="1" applyFont="1" applyFill="1" applyBorder="1" applyAlignment="1" applyProtection="1">
      <alignment horizontal="center" vertical="center"/>
    </xf>
    <xf numFmtId="9" fontId="5" fillId="0" borderId="18" xfId="109" applyFont="1" applyFill="1" applyBorder="1" applyAlignment="1" applyProtection="1">
      <alignment horizontal="center" vertical="center"/>
    </xf>
    <xf numFmtId="9" fontId="5" fillId="0" borderId="1" xfId="109" applyFont="1" applyFill="1" applyBorder="1" applyAlignment="1" applyProtection="1">
      <alignment horizontal="center" vertical="center"/>
    </xf>
    <xf numFmtId="9" fontId="5" fillId="0" borderId="19" xfId="109" applyFont="1" applyFill="1" applyBorder="1" applyAlignment="1" applyProtection="1">
      <alignment horizontal="center" vertical="center"/>
    </xf>
    <xf numFmtId="1" fontId="10" fillId="0" borderId="18" xfId="0" applyNumberFormat="1" applyFont="1" applyFill="1" applyBorder="1" applyAlignment="1" applyProtection="1">
      <alignment horizontal="left" vertical="center"/>
    </xf>
    <xf numFmtId="0" fontId="5" fillId="6" borderId="0" xfId="1" applyFont="1" applyFill="1" applyProtection="1">
      <protection locked="0"/>
    </xf>
    <xf numFmtId="0" fontId="5" fillId="0" borderId="1" xfId="0" applyFont="1" applyFill="1" applyBorder="1" applyAlignment="1" applyProtection="1">
      <alignment horizontal="left" vertical="center"/>
    </xf>
    <xf numFmtId="0" fontId="5" fillId="0" borderId="20" xfId="0" applyFont="1" applyFill="1" applyBorder="1" applyAlignment="1" applyProtection="1">
      <alignment horizontal="left" vertical="center"/>
    </xf>
    <xf numFmtId="0" fontId="5" fillId="0" borderId="20" xfId="0" applyFont="1" applyFill="1" applyBorder="1" applyAlignment="1" applyProtection="1">
      <alignment horizontal="center" vertical="center" wrapText="1"/>
    </xf>
    <xf numFmtId="1" fontId="10" fillId="0" borderId="20" xfId="0" applyNumberFormat="1" applyFont="1" applyFill="1" applyBorder="1" applyAlignment="1" applyProtection="1">
      <alignment horizontal="center" vertical="center"/>
    </xf>
    <xf numFmtId="1" fontId="5" fillId="0" borderId="20" xfId="0" applyNumberFormat="1" applyFont="1" applyFill="1" applyBorder="1" applyAlignment="1" applyProtection="1">
      <alignment horizontal="center" vertical="center"/>
    </xf>
    <xf numFmtId="1" fontId="10" fillId="0" borderId="20" xfId="0" applyNumberFormat="1"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xf>
    <xf numFmtId="164" fontId="10" fillId="0" borderId="20" xfId="0" applyNumberFormat="1" applyFont="1" applyFill="1" applyBorder="1" applyAlignment="1" applyProtection="1">
      <alignment horizontal="center" vertical="center"/>
    </xf>
    <xf numFmtId="1" fontId="5" fillId="6" borderId="30" xfId="0" applyNumberFormat="1" applyFont="1" applyFill="1" applyBorder="1" applyAlignment="1" applyProtection="1">
      <alignment horizontal="center" vertical="center"/>
    </xf>
    <xf numFmtId="1" fontId="5" fillId="6" borderId="3" xfId="0" applyNumberFormat="1" applyFont="1" applyFill="1" applyBorder="1" applyAlignment="1" applyProtection="1">
      <alignment horizontal="center" vertical="center" wrapText="1"/>
    </xf>
    <xf numFmtId="0" fontId="5" fillId="6" borderId="33" xfId="0" applyFont="1" applyFill="1" applyBorder="1" applyAlignment="1" applyProtection="1">
      <alignment horizontal="center" vertical="center"/>
    </xf>
    <xf numFmtId="0" fontId="5" fillId="6" borderId="20" xfId="0" applyFont="1" applyFill="1" applyBorder="1" applyAlignment="1" applyProtection="1">
      <alignment horizontal="center" vertical="center"/>
    </xf>
    <xf numFmtId="164" fontId="10" fillId="0" borderId="20" xfId="0" applyNumberFormat="1" applyFont="1" applyBorder="1" applyAlignment="1" applyProtection="1">
      <alignment horizontal="center" vertical="center"/>
    </xf>
    <xf numFmtId="0" fontId="5" fillId="6" borderId="17" xfId="0" applyFont="1" applyFill="1" applyBorder="1" applyAlignment="1" applyProtection="1">
      <alignment horizontal="center" vertical="center"/>
    </xf>
    <xf numFmtId="0" fontId="5" fillId="6" borderId="35" xfId="0" applyFont="1" applyFill="1" applyBorder="1" applyAlignment="1" applyProtection="1">
      <alignment horizontal="center" vertical="center"/>
    </xf>
    <xf numFmtId="0" fontId="10" fillId="0" borderId="0" xfId="1" applyFont="1" applyFill="1" applyAlignment="1" applyProtection="1">
      <alignment vertical="center"/>
      <protection locked="0"/>
    </xf>
    <xf numFmtId="0" fontId="10" fillId="0" borderId="0" xfId="1" applyFont="1" applyAlignment="1" applyProtection="1">
      <alignment vertical="center"/>
      <protection locked="0"/>
    </xf>
    <xf numFmtId="0" fontId="10" fillId="0" borderId="0" xfId="1" applyFont="1" applyAlignment="1" applyProtection="1">
      <alignment horizontal="center" vertical="center"/>
      <protection locked="0"/>
    </xf>
    <xf numFmtId="0" fontId="10" fillId="0" borderId="0" xfId="1" applyFont="1" applyFill="1" applyBorder="1" applyAlignment="1" applyProtection="1">
      <alignment vertical="center"/>
      <protection locked="0"/>
    </xf>
    <xf numFmtId="0" fontId="10" fillId="0" borderId="0" xfId="1" applyFont="1" applyFill="1" applyBorder="1" applyAlignment="1" applyProtection="1">
      <alignment horizontal="center" vertical="center"/>
      <protection locked="0"/>
    </xf>
    <xf numFmtId="0" fontId="5" fillId="0" borderId="0" xfId="0" applyFont="1" applyFill="1" applyBorder="1" applyAlignment="1" applyProtection="1">
      <alignment horizontal="left" vertical="center" wrapText="1"/>
    </xf>
    <xf numFmtId="1" fontId="5" fillId="0" borderId="0" xfId="0" applyNumberFormat="1" applyFont="1" applyFill="1" applyBorder="1" applyAlignment="1" applyProtection="1">
      <alignment horizontal="center" vertical="center" wrapText="1"/>
    </xf>
    <xf numFmtId="1" fontId="10" fillId="0" borderId="0" xfId="0" applyNumberFormat="1" applyFont="1" applyFill="1" applyBorder="1" applyAlignment="1" applyProtection="1">
      <alignment horizontal="center" vertical="center" wrapText="1"/>
    </xf>
    <xf numFmtId="2" fontId="5" fillId="0" borderId="0" xfId="0" quotePrefix="1" applyNumberFormat="1" applyFont="1" applyFill="1" applyBorder="1" applyAlignment="1" applyProtection="1">
      <alignment horizontal="center" vertical="center"/>
    </xf>
    <xf numFmtId="0" fontId="5" fillId="0" borderId="0" xfId="0" quotePrefix="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0" fontId="10" fillId="0" borderId="0" xfId="1" applyFont="1" applyFill="1" applyBorder="1" applyProtection="1">
      <protection locked="0"/>
    </xf>
    <xf numFmtId="0" fontId="10" fillId="10" borderId="1" xfId="0" applyFont="1" applyFill="1" applyBorder="1" applyAlignment="1" applyProtection="1">
      <alignment horizontal="center" vertical="center"/>
    </xf>
    <xf numFmtId="0" fontId="5" fillId="10" borderId="1" xfId="0" applyFont="1" applyFill="1" applyBorder="1" applyAlignment="1" applyProtection="1">
      <alignment horizontal="center" vertical="center"/>
      <protection locked="0"/>
    </xf>
    <xf numFmtId="0" fontId="10" fillId="10" borderId="1" xfId="0" applyFont="1" applyFill="1" applyBorder="1" applyProtection="1">
      <protection locked="0"/>
    </xf>
    <xf numFmtId="0" fontId="10" fillId="10" borderId="1" xfId="1" applyFont="1" applyFill="1" applyBorder="1" applyProtection="1">
      <protection locked="0"/>
    </xf>
    <xf numFmtId="0" fontId="10" fillId="10" borderId="1" xfId="1" applyFont="1" applyFill="1" applyBorder="1" applyAlignment="1" applyProtection="1">
      <alignment horizontal="center" vertical="center"/>
      <protection locked="0"/>
    </xf>
    <xf numFmtId="0" fontId="5" fillId="11" borderId="1" xfId="0" applyFont="1" applyFill="1" applyBorder="1" applyAlignment="1" applyProtection="1">
      <alignment horizontal="center" vertical="center"/>
    </xf>
    <xf numFmtId="2" fontId="5" fillId="11" borderId="1" xfId="0" quotePrefix="1" applyNumberFormat="1" applyFont="1" applyFill="1" applyBorder="1" applyAlignment="1" applyProtection="1">
      <alignment horizontal="center" vertical="center"/>
    </xf>
    <xf numFmtId="1" fontId="10" fillId="11" borderId="1" xfId="0" applyNumberFormat="1" applyFont="1" applyFill="1" applyBorder="1" applyAlignment="1" applyProtection="1">
      <alignment horizontal="center" vertical="center"/>
    </xf>
    <xf numFmtId="0" fontId="5" fillId="11" borderId="1" xfId="0" quotePrefix="1" applyFont="1" applyFill="1" applyBorder="1" applyAlignment="1" applyProtection="1">
      <alignment horizontal="center" vertical="center"/>
    </xf>
    <xf numFmtId="2" fontId="10" fillId="11" borderId="1" xfId="0" applyNumberFormat="1" applyFont="1" applyFill="1" applyBorder="1" applyAlignment="1" applyProtection="1">
      <alignment horizontal="center" vertical="center"/>
    </xf>
    <xf numFmtId="0" fontId="10" fillId="0" borderId="24" xfId="0" applyFont="1" applyFill="1" applyBorder="1" applyAlignment="1" applyProtection="1">
      <alignment horizontal="center" vertical="center"/>
      <protection locked="0"/>
    </xf>
    <xf numFmtId="0" fontId="10" fillId="0" borderId="0" xfId="0" applyFont="1" applyAlignment="1" applyProtection="1">
      <alignment horizontal="left"/>
      <protection locked="0"/>
    </xf>
    <xf numFmtId="0" fontId="10" fillId="0" borderId="0" xfId="0" applyFont="1" applyFill="1" applyProtection="1">
      <protection locked="0"/>
    </xf>
    <xf numFmtId="0" fontId="10" fillId="0" borderId="0" xfId="1" applyFont="1" applyFill="1" applyProtection="1">
      <protection locked="0"/>
    </xf>
    <xf numFmtId="0" fontId="10" fillId="0" borderId="0" xfId="0" applyFont="1" applyFill="1" applyAlignment="1" applyProtection="1">
      <alignment horizontal="left"/>
      <protection locked="0"/>
    </xf>
    <xf numFmtId="1" fontId="10" fillId="0" borderId="0" xfId="0" applyNumberFormat="1" applyFont="1" applyAlignment="1" applyProtection="1">
      <alignment horizontal="center" vertical="center"/>
      <protection locked="0"/>
    </xf>
    <xf numFmtId="1" fontId="10" fillId="0" borderId="0" xfId="0" applyNumberFormat="1" applyFont="1" applyProtection="1">
      <protection locked="0"/>
    </xf>
    <xf numFmtId="49" fontId="10" fillId="0" borderId="0" xfId="0" applyNumberFormat="1" applyFont="1" applyAlignment="1" applyProtection="1">
      <alignment horizontal="left" vertical="top" wrapText="1"/>
      <protection locked="0"/>
    </xf>
    <xf numFmtId="49" fontId="10" fillId="0" borderId="0" xfId="0" applyNumberFormat="1" applyFont="1" applyAlignment="1" applyProtection="1">
      <alignment horizontal="center" vertical="center" wrapText="1"/>
      <protection locked="0"/>
    </xf>
    <xf numFmtId="49" fontId="10" fillId="0" borderId="0" xfId="0" applyNumberFormat="1" applyFont="1" applyFill="1" applyAlignment="1" applyProtection="1">
      <alignment horizontal="left" vertical="top" wrapText="1"/>
      <protection locked="0"/>
    </xf>
    <xf numFmtId="0" fontId="5" fillId="0" borderId="0" xfId="1" applyFont="1" applyAlignment="1" applyProtection="1">
      <alignment horizontal="left"/>
      <protection locked="0"/>
    </xf>
    <xf numFmtId="0" fontId="10" fillId="6" borderId="20" xfId="0" quotePrefix="1" applyFont="1" applyFill="1" applyBorder="1" applyAlignment="1" applyProtection="1">
      <alignment horizontal="center" vertical="center"/>
    </xf>
    <xf numFmtId="2" fontId="10" fillId="6" borderId="17" xfId="0" quotePrefix="1" applyNumberFormat="1" applyFont="1" applyFill="1" applyBorder="1" applyAlignment="1" applyProtection="1">
      <alignment horizontal="center" vertical="center"/>
    </xf>
    <xf numFmtId="0" fontId="10" fillId="6" borderId="17" xfId="0" quotePrefix="1" applyFont="1" applyFill="1" applyBorder="1" applyAlignment="1" applyProtection="1">
      <alignment horizontal="center" vertical="center"/>
    </xf>
    <xf numFmtId="0" fontId="10" fillId="13" borderId="1" xfId="0" applyFont="1" applyFill="1" applyBorder="1" applyAlignment="1" applyProtection="1">
      <alignment horizontal="left" vertical="center" wrapText="1"/>
    </xf>
    <xf numFmtId="0" fontId="10" fillId="5" borderId="1" xfId="0" applyFont="1" applyFill="1" applyBorder="1" applyAlignment="1" applyProtection="1">
      <alignment horizontal="center" vertical="center"/>
      <protection locked="0"/>
    </xf>
    <xf numFmtId="0" fontId="10" fillId="5" borderId="1" xfId="0" applyFont="1" applyFill="1" applyBorder="1" applyAlignment="1" applyProtection="1">
      <alignment horizontal="left" vertical="center" wrapText="1"/>
      <protection locked="0"/>
    </xf>
    <xf numFmtId="0" fontId="8" fillId="6" borderId="1" xfId="0" applyFont="1" applyFill="1" applyBorder="1" applyProtection="1">
      <protection locked="0"/>
    </xf>
    <xf numFmtId="0" fontId="9" fillId="8" borderId="1" xfId="0" applyFont="1" applyFill="1" applyBorder="1" applyAlignment="1" applyProtection="1">
      <alignment horizontal="left" wrapText="1"/>
    </xf>
    <xf numFmtId="0" fontId="8" fillId="0" borderId="2" xfId="0" applyFont="1" applyFill="1" applyBorder="1" applyAlignment="1">
      <alignment horizontal="center" vertical="center" textRotation="90" wrapText="1"/>
    </xf>
    <xf numFmtId="0" fontId="8" fillId="6" borderId="1" xfId="0" applyFont="1" applyFill="1" applyBorder="1"/>
    <xf numFmtId="1" fontId="10" fillId="14" borderId="18" xfId="0" applyNumberFormat="1" applyFont="1" applyFill="1" applyBorder="1" applyAlignment="1" applyProtection="1">
      <alignment horizontal="center" vertical="center"/>
    </xf>
    <xf numFmtId="1" fontId="10" fillId="14" borderId="1" xfId="0" applyNumberFormat="1" applyFont="1" applyFill="1" applyBorder="1" applyAlignment="1" applyProtection="1">
      <alignment horizontal="center" vertical="center"/>
    </xf>
    <xf numFmtId="0" fontId="5" fillId="15" borderId="1" xfId="0" applyFont="1" applyFill="1" applyBorder="1" applyAlignment="1" applyProtection="1">
      <alignment horizontal="left" vertical="center" wrapText="1"/>
    </xf>
    <xf numFmtId="0" fontId="5" fillId="15" borderId="17" xfId="0" applyFont="1" applyFill="1" applyBorder="1" applyAlignment="1" applyProtection="1">
      <alignment horizontal="center" vertical="center"/>
    </xf>
    <xf numFmtId="0" fontId="10" fillId="15" borderId="1" xfId="0" applyFont="1" applyFill="1" applyBorder="1" applyAlignment="1" applyProtection="1">
      <alignment horizontal="left" vertical="center" wrapText="1"/>
    </xf>
    <xf numFmtId="0" fontId="10" fillId="15" borderId="1" xfId="0" applyFont="1" applyFill="1" applyBorder="1" applyAlignment="1" applyProtection="1">
      <alignment horizontal="left" vertical="center" wrapText="1"/>
      <protection locked="0"/>
    </xf>
    <xf numFmtId="1" fontId="10" fillId="14" borderId="18" xfId="0" applyNumberFormat="1" applyFont="1" applyFill="1" applyBorder="1" applyAlignment="1" applyProtection="1">
      <alignment horizontal="center" vertical="center"/>
      <protection locked="0"/>
    </xf>
    <xf numFmtId="1" fontId="10" fillId="14" borderId="1" xfId="0" applyNumberFormat="1" applyFont="1" applyFill="1" applyBorder="1" applyAlignment="1" applyProtection="1">
      <alignment horizontal="center" vertical="center"/>
      <protection locked="0"/>
    </xf>
    <xf numFmtId="1" fontId="10" fillId="14" borderId="5" xfId="0" applyNumberFormat="1" applyFont="1" applyFill="1" applyBorder="1" applyAlignment="1" applyProtection="1">
      <alignment horizontal="center" vertical="center"/>
      <protection locked="0"/>
    </xf>
    <xf numFmtId="1" fontId="10" fillId="14" borderId="39" xfId="0" applyNumberFormat="1" applyFont="1" applyFill="1" applyBorder="1" applyAlignment="1" applyProtection="1">
      <alignment horizontal="center" vertical="center"/>
    </xf>
    <xf numFmtId="1" fontId="10" fillId="14" borderId="5" xfId="0" applyNumberFormat="1" applyFont="1" applyFill="1" applyBorder="1" applyAlignment="1" applyProtection="1">
      <alignment horizontal="center" vertical="center"/>
    </xf>
    <xf numFmtId="0" fontId="10" fillId="8" borderId="1" xfId="0" applyFont="1" applyFill="1" applyBorder="1" applyAlignment="1" applyProtection="1">
      <alignment horizontal="left" wrapText="1"/>
    </xf>
    <xf numFmtId="0" fontId="8" fillId="0" borderId="1" xfId="0" applyFont="1" applyFill="1" applyBorder="1" applyAlignment="1">
      <alignment horizontal="center" vertical="center"/>
    </xf>
    <xf numFmtId="0" fontId="10" fillId="14" borderId="24" xfId="0" applyFont="1" applyFill="1" applyBorder="1" applyAlignment="1" applyProtection="1">
      <alignment horizontal="center" vertical="center"/>
    </xf>
    <xf numFmtId="1" fontId="10" fillId="16" borderId="1" xfId="0" applyNumberFormat="1"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8" fillId="3" borderId="17" xfId="0" applyFont="1" applyFill="1" applyBorder="1" applyAlignment="1" applyProtection="1">
      <alignment horizontal="center" vertical="center"/>
    </xf>
    <xf numFmtId="0" fontId="8" fillId="4" borderId="17" xfId="0" applyFont="1" applyFill="1" applyBorder="1" applyAlignment="1" applyProtection="1">
      <alignment horizontal="center" vertical="center"/>
    </xf>
    <xf numFmtId="0" fontId="8" fillId="5" borderId="17" xfId="0" applyFont="1" applyFill="1" applyBorder="1" applyAlignment="1" applyProtection="1">
      <alignment horizontal="center" vertical="center"/>
    </xf>
    <xf numFmtId="0" fontId="8" fillId="7" borderId="1" xfId="0" applyFont="1" applyFill="1" applyBorder="1" applyAlignment="1" applyProtection="1">
      <alignment horizontal="center" vertical="center" wrapText="1"/>
    </xf>
    <xf numFmtId="0" fontId="8" fillId="8" borderId="17" xfId="0" applyFont="1" applyFill="1" applyBorder="1" applyAlignment="1" applyProtection="1">
      <alignment horizontal="center" vertical="center"/>
    </xf>
    <xf numFmtId="0" fontId="8" fillId="13" borderId="17" xfId="0" applyFont="1" applyFill="1" applyBorder="1" applyAlignment="1" applyProtection="1">
      <alignment horizontal="center" vertical="center"/>
    </xf>
    <xf numFmtId="0" fontId="8" fillId="12" borderId="17" xfId="0" applyFont="1" applyFill="1" applyBorder="1" applyAlignment="1" applyProtection="1">
      <alignment horizontal="center" vertical="center"/>
    </xf>
    <xf numFmtId="0" fontId="8" fillId="0" borderId="17" xfId="0" applyFont="1" applyFill="1" applyBorder="1" applyAlignment="1">
      <alignment horizontal="center" vertical="center"/>
    </xf>
    <xf numFmtId="0" fontId="8" fillId="5" borderId="17" xfId="0" applyFont="1" applyFill="1" applyBorder="1" applyAlignment="1">
      <alignment horizontal="center" vertical="center"/>
    </xf>
    <xf numFmtId="0" fontId="8" fillId="3" borderId="17" xfId="0" applyFont="1" applyFill="1" applyBorder="1" applyAlignment="1">
      <alignment horizontal="center" vertical="center"/>
    </xf>
    <xf numFmtId="0" fontId="8" fillId="0" borderId="0" xfId="0" applyFont="1" applyFill="1" applyBorder="1" applyAlignment="1">
      <alignment horizontal="center" vertical="center"/>
    </xf>
    <xf numFmtId="0" fontId="8" fillId="10"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0" borderId="0" xfId="0" applyFont="1" applyFill="1" applyAlignment="1">
      <alignment horizontal="center" vertical="center"/>
    </xf>
    <xf numFmtId="0" fontId="8" fillId="8" borderId="1"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wrapText="1"/>
    </xf>
    <xf numFmtId="0" fontId="10" fillId="15" borderId="1" xfId="0" applyFont="1" applyFill="1" applyBorder="1" applyAlignment="1" applyProtection="1">
      <alignment horizontal="center" wrapText="1"/>
    </xf>
    <xf numFmtId="0" fontId="8" fillId="11" borderId="1" xfId="0" applyFont="1" applyFill="1" applyBorder="1" applyAlignment="1" applyProtection="1">
      <alignment horizontal="center" vertical="center" wrapText="1"/>
    </xf>
    <xf numFmtId="0" fontId="10" fillId="14" borderId="24" xfId="0" applyFont="1" applyFill="1" applyBorder="1" applyAlignment="1" applyProtection="1">
      <alignment horizontal="center" vertical="center"/>
    </xf>
    <xf numFmtId="0" fontId="10" fillId="0" borderId="1" xfId="0" applyFont="1" applyFill="1" applyBorder="1" applyAlignment="1" applyProtection="1">
      <alignment vertical="center"/>
    </xf>
    <xf numFmtId="2" fontId="5" fillId="6" borderId="1" xfId="0" quotePrefix="1" applyNumberFormat="1" applyFont="1" applyFill="1" applyBorder="1" applyAlignment="1" applyProtection="1">
      <alignment vertical="center"/>
    </xf>
    <xf numFmtId="0" fontId="10" fillId="0" borderId="2" xfId="0" applyFont="1" applyFill="1" applyBorder="1" applyAlignment="1" applyProtection="1">
      <alignment vertical="center"/>
    </xf>
    <xf numFmtId="2" fontId="5" fillId="6" borderId="17" xfId="0" quotePrefix="1" applyNumberFormat="1" applyFont="1" applyFill="1" applyBorder="1" applyAlignment="1" applyProtection="1">
      <alignment vertical="center"/>
    </xf>
    <xf numFmtId="1" fontId="5" fillId="0" borderId="24" xfId="0" applyNumberFormat="1" applyFont="1" applyFill="1" applyBorder="1" applyAlignment="1" applyProtection="1">
      <alignment horizontal="center" vertical="center"/>
    </xf>
    <xf numFmtId="0" fontId="5" fillId="0" borderId="34" xfId="0" applyFont="1" applyFill="1" applyBorder="1" applyAlignment="1" applyProtection="1">
      <alignment horizontal="center" vertical="center"/>
    </xf>
    <xf numFmtId="0" fontId="10" fillId="0" borderId="34" xfId="0" applyFont="1" applyFill="1" applyBorder="1" applyAlignment="1" applyProtection="1">
      <alignment horizontal="center" vertical="center"/>
    </xf>
    <xf numFmtId="1" fontId="10" fillId="0" borderId="24" xfId="0" applyNumberFormat="1" applyFont="1" applyFill="1" applyBorder="1" applyAlignment="1" applyProtection="1">
      <alignment horizontal="center" vertical="center" wrapText="1"/>
    </xf>
    <xf numFmtId="1" fontId="10" fillId="0" borderId="34" xfId="0" applyNumberFormat="1" applyFont="1" applyFill="1" applyBorder="1" applyAlignment="1" applyProtection="1">
      <alignment horizontal="center" vertical="center" wrapText="1"/>
    </xf>
    <xf numFmtId="1" fontId="10" fillId="14" borderId="24" xfId="0" applyNumberFormat="1" applyFont="1" applyFill="1" applyBorder="1" applyAlignment="1" applyProtection="1">
      <alignment horizontal="center" vertical="center"/>
    </xf>
    <xf numFmtId="1" fontId="10" fillId="14" borderId="6" xfId="0" applyNumberFormat="1" applyFont="1" applyFill="1" applyBorder="1" applyAlignment="1" applyProtection="1">
      <alignment horizontal="center" vertical="center"/>
    </xf>
    <xf numFmtId="0" fontId="10" fillId="14" borderId="24" xfId="0" applyFont="1" applyFill="1" applyBorder="1" applyAlignment="1" applyProtection="1">
      <alignment horizontal="center" vertical="center"/>
    </xf>
    <xf numFmtId="0" fontId="5" fillId="17" borderId="0" xfId="1" applyFont="1" applyFill="1" applyBorder="1" applyAlignment="1" applyProtection="1">
      <alignment vertical="justify" wrapText="1"/>
      <protection locked="0"/>
    </xf>
    <xf numFmtId="0" fontId="10" fillId="0" borderId="24" xfId="0" applyFont="1" applyFill="1" applyBorder="1" applyAlignment="1" applyProtection="1">
      <alignment vertical="center"/>
    </xf>
    <xf numFmtId="0" fontId="10" fillId="0" borderId="34" xfId="0" applyFont="1" applyFill="1" applyBorder="1" applyAlignment="1" applyProtection="1">
      <alignment vertical="center"/>
    </xf>
    <xf numFmtId="0" fontId="10" fillId="0" borderId="9" xfId="0" applyFont="1" applyFill="1" applyBorder="1" applyAlignment="1" applyProtection="1">
      <alignment vertical="center"/>
    </xf>
    <xf numFmtId="0" fontId="6" fillId="0" borderId="3" xfId="0" applyFont="1" applyBorder="1" applyAlignment="1">
      <alignment vertical="center"/>
    </xf>
    <xf numFmtId="0" fontId="6" fillId="0" borderId="27" xfId="0" applyFont="1" applyBorder="1" applyAlignment="1">
      <alignment vertical="center"/>
    </xf>
    <xf numFmtId="0" fontId="5" fillId="6" borderId="28" xfId="0" quotePrefix="1" applyFont="1" applyFill="1" applyBorder="1" applyAlignment="1" applyProtection="1">
      <alignment horizontal="center" vertical="center"/>
    </xf>
    <xf numFmtId="2" fontId="5" fillId="6" borderId="3" xfId="0" quotePrefix="1" applyNumberFormat="1" applyFont="1" applyFill="1" applyBorder="1" applyAlignment="1" applyProtection="1">
      <alignment horizontal="center" vertical="center"/>
    </xf>
    <xf numFmtId="0" fontId="5" fillId="6" borderId="3" xfId="0" quotePrefix="1" applyFont="1" applyFill="1" applyBorder="1" applyAlignment="1" applyProtection="1">
      <alignment horizontal="center" vertical="center"/>
    </xf>
    <xf numFmtId="0" fontId="6" fillId="0" borderId="0" xfId="0" applyFont="1" applyAlignment="1"/>
    <xf numFmtId="1" fontId="10" fillId="14" borderId="1" xfId="0" applyNumberFormat="1" applyFont="1" applyFill="1" applyBorder="1" applyAlignment="1" applyProtection="1">
      <alignment horizontal="center" vertical="center"/>
    </xf>
    <xf numFmtId="1" fontId="4" fillId="0" borderId="1" xfId="0" applyNumberFormat="1"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11" fillId="0" borderId="18"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1" fontId="11" fillId="0" borderId="18" xfId="0" applyNumberFormat="1" applyFont="1" applyFill="1" applyBorder="1" applyAlignment="1" applyProtection="1">
      <alignment horizontal="center" vertical="center" wrapText="1"/>
    </xf>
    <xf numFmtId="1" fontId="11" fillId="0" borderId="1" xfId="0" applyNumberFormat="1" applyFont="1" applyFill="1" applyBorder="1" applyAlignment="1" applyProtection="1">
      <alignment horizontal="center" vertical="center" wrapText="1"/>
    </xf>
    <xf numFmtId="1" fontId="11" fillId="0" borderId="19" xfId="0" applyNumberFormat="1" applyFont="1" applyFill="1" applyBorder="1" applyAlignment="1" applyProtection="1">
      <alignment horizontal="center" vertical="center" wrapText="1"/>
    </xf>
    <xf numFmtId="0" fontId="4" fillId="14" borderId="20" xfId="0" quotePrefix="1" applyFont="1" applyFill="1" applyBorder="1" applyAlignment="1" applyProtection="1">
      <alignment horizontal="center" vertical="center"/>
    </xf>
    <xf numFmtId="2" fontId="11" fillId="14" borderId="18" xfId="0" applyNumberFormat="1" applyFont="1" applyFill="1" applyBorder="1" applyAlignment="1" applyProtection="1">
      <alignment horizontal="center" vertical="center"/>
    </xf>
    <xf numFmtId="2" fontId="4" fillId="14" borderId="17" xfId="0" quotePrefix="1" applyNumberFormat="1" applyFont="1" applyFill="1" applyBorder="1" applyAlignment="1" applyProtection="1">
      <alignment horizontal="center" vertical="center"/>
    </xf>
    <xf numFmtId="0" fontId="4" fillId="14" borderId="17" xfId="0" quotePrefix="1" applyFont="1" applyFill="1" applyBorder="1" applyAlignment="1" applyProtection="1">
      <alignment horizontal="center" vertical="center"/>
    </xf>
    <xf numFmtId="2" fontId="11" fillId="14" borderId="1" xfId="0" applyNumberFormat="1" applyFont="1" applyFill="1" applyBorder="1" applyAlignment="1" applyProtection="1">
      <alignment horizontal="center" vertical="center"/>
    </xf>
    <xf numFmtId="2" fontId="11" fillId="14" borderId="19" xfId="0" applyNumberFormat="1" applyFont="1" applyFill="1" applyBorder="1" applyAlignment="1" applyProtection="1">
      <alignment horizontal="center" vertical="center"/>
    </xf>
    <xf numFmtId="1" fontId="11" fillId="0" borderId="1" xfId="0" applyNumberFormat="1" applyFont="1" applyFill="1" applyBorder="1" applyAlignment="1" applyProtection="1">
      <alignment horizontal="center" vertical="center"/>
    </xf>
    <xf numFmtId="0" fontId="10" fillId="11" borderId="1" xfId="0" applyFont="1" applyFill="1" applyBorder="1" applyAlignment="1" applyProtection="1">
      <alignment horizontal="left" vertical="center" wrapText="1"/>
    </xf>
    <xf numFmtId="0" fontId="10" fillId="8" borderId="17" xfId="0" applyFont="1" applyFill="1" applyBorder="1" applyAlignment="1" applyProtection="1">
      <alignment horizontal="left" vertical="center" wrapText="1"/>
    </xf>
    <xf numFmtId="0" fontId="10" fillId="17" borderId="6" xfId="0" applyFont="1" applyFill="1" applyBorder="1" applyAlignment="1" applyProtection="1">
      <alignment horizontal="center" vertical="center"/>
    </xf>
    <xf numFmtId="0" fontId="10" fillId="17" borderId="1" xfId="0" applyFont="1" applyFill="1" applyBorder="1" applyAlignment="1" applyProtection="1">
      <alignment horizontal="center" vertical="center"/>
    </xf>
    <xf numFmtId="0" fontId="11" fillId="17" borderId="1" xfId="0" applyFont="1" applyFill="1" applyBorder="1" applyAlignment="1" applyProtection="1">
      <alignment horizontal="center" vertical="center"/>
    </xf>
    <xf numFmtId="0" fontId="10" fillId="17" borderId="1" xfId="0" applyFont="1" applyFill="1" applyBorder="1" applyAlignment="1" applyProtection="1">
      <alignment horizontal="center" vertical="center" wrapText="1"/>
    </xf>
    <xf numFmtId="0" fontId="10" fillId="17" borderId="24" xfId="0" applyFont="1" applyFill="1" applyBorder="1" applyAlignment="1" applyProtection="1">
      <alignment horizontal="center" vertical="center"/>
    </xf>
    <xf numFmtId="0" fontId="10" fillId="17" borderId="1"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1" fontId="5" fillId="17" borderId="2" xfId="0" applyNumberFormat="1" applyFont="1" applyFill="1" applyBorder="1" applyAlignment="1" applyProtection="1">
      <alignment horizontal="center" vertical="center"/>
    </xf>
    <xf numFmtId="1" fontId="5" fillId="17" borderId="25" xfId="0" applyNumberFormat="1" applyFont="1" applyFill="1" applyBorder="1" applyAlignment="1" applyProtection="1">
      <alignment horizontal="center" vertical="center"/>
    </xf>
    <xf numFmtId="0" fontId="5" fillId="17" borderId="3" xfId="0" applyFont="1" applyFill="1" applyBorder="1" applyAlignment="1" applyProtection="1">
      <alignment horizontal="center" vertical="center"/>
    </xf>
    <xf numFmtId="0" fontId="10" fillId="17" borderId="5" xfId="0" applyFont="1" applyFill="1" applyBorder="1" applyAlignment="1" applyProtection="1">
      <alignment horizontal="center" vertical="center"/>
    </xf>
    <xf numFmtId="0" fontId="10" fillId="17" borderId="31" xfId="0" applyFont="1" applyFill="1" applyBorder="1" applyAlignment="1" applyProtection="1">
      <alignment horizontal="center" vertical="center"/>
    </xf>
    <xf numFmtId="1" fontId="5" fillId="17" borderId="10" xfId="0" applyNumberFormat="1" applyFont="1" applyFill="1" applyBorder="1" applyAlignment="1" applyProtection="1">
      <alignment horizontal="center" vertical="center"/>
    </xf>
    <xf numFmtId="0" fontId="5" fillId="17" borderId="1" xfId="0" applyFont="1" applyFill="1" applyBorder="1" applyAlignment="1" applyProtection="1">
      <alignment horizontal="center" vertical="center"/>
    </xf>
    <xf numFmtId="1" fontId="5" fillId="17" borderId="20" xfId="0" applyNumberFormat="1" applyFont="1" applyFill="1" applyBorder="1" applyAlignment="1" applyProtection="1">
      <alignment horizontal="center" vertical="center"/>
    </xf>
    <xf numFmtId="1" fontId="5" fillId="17" borderId="1" xfId="0" applyNumberFormat="1" applyFont="1" applyFill="1" applyBorder="1" applyAlignment="1" applyProtection="1">
      <alignment horizontal="center" vertical="center"/>
    </xf>
    <xf numFmtId="1" fontId="5" fillId="17" borderId="0" xfId="0" applyNumberFormat="1" applyFont="1" applyFill="1" applyBorder="1" applyAlignment="1" applyProtection="1">
      <alignment horizontal="center" vertical="center" wrapText="1"/>
    </xf>
    <xf numFmtId="0" fontId="10" fillId="17" borderId="0" xfId="0" applyFont="1" applyFill="1" applyProtection="1">
      <protection locked="0"/>
    </xf>
    <xf numFmtId="4" fontId="10" fillId="17" borderId="0" xfId="0" applyNumberFormat="1" applyFont="1" applyFill="1" applyProtection="1">
      <protection locked="0"/>
    </xf>
    <xf numFmtId="1" fontId="10" fillId="17" borderId="0" xfId="0" applyNumberFormat="1" applyFont="1" applyFill="1" applyProtection="1">
      <protection locked="0"/>
    </xf>
    <xf numFmtId="1" fontId="10" fillId="17" borderId="0" xfId="0" applyNumberFormat="1" applyFont="1" applyFill="1" applyAlignment="1" applyProtection="1">
      <alignment horizontal="center" vertical="center"/>
      <protection locked="0"/>
    </xf>
    <xf numFmtId="0" fontId="10" fillId="17" borderId="0" xfId="1" applyFont="1" applyFill="1" applyProtection="1">
      <protection locked="0"/>
    </xf>
    <xf numFmtId="1" fontId="5" fillId="16" borderId="18" xfId="0" applyNumberFormat="1" applyFont="1" applyFill="1" applyBorder="1" applyAlignment="1" applyProtection="1">
      <alignment horizontal="center" vertical="center"/>
    </xf>
    <xf numFmtId="0" fontId="5" fillId="16" borderId="20" xfId="0" quotePrefix="1" applyFont="1" applyFill="1" applyBorder="1" applyAlignment="1" applyProtection="1">
      <alignment horizontal="center" vertical="center"/>
    </xf>
    <xf numFmtId="2" fontId="5" fillId="16" borderId="17" xfId="0" quotePrefix="1" applyNumberFormat="1" applyFont="1" applyFill="1" applyBorder="1" applyAlignment="1" applyProtection="1">
      <alignment horizontal="center" vertical="center"/>
    </xf>
    <xf numFmtId="2" fontId="5" fillId="16" borderId="19" xfId="0" quotePrefix="1" applyNumberFormat="1" applyFont="1" applyFill="1" applyBorder="1" applyAlignment="1" applyProtection="1">
      <alignment horizontal="center" vertical="center"/>
    </xf>
    <xf numFmtId="1" fontId="5" fillId="16" borderId="2" xfId="0" applyNumberFormat="1" applyFont="1" applyFill="1" applyBorder="1" applyAlignment="1" applyProtection="1">
      <alignment horizontal="center" vertical="center"/>
    </xf>
    <xf numFmtId="1" fontId="5" fillId="16" borderId="23" xfId="0" applyNumberFormat="1" applyFont="1" applyFill="1" applyBorder="1" applyAlignment="1" applyProtection="1">
      <alignment horizontal="center" vertical="center"/>
    </xf>
    <xf numFmtId="0" fontId="5" fillId="16" borderId="35" xfId="0" quotePrefix="1" applyFont="1" applyFill="1" applyBorder="1" applyAlignment="1" applyProtection="1">
      <alignment horizontal="center" vertical="center"/>
    </xf>
    <xf numFmtId="2" fontId="5" fillId="16" borderId="26" xfId="0" quotePrefix="1" applyNumberFormat="1" applyFont="1" applyFill="1" applyBorder="1" applyAlignment="1" applyProtection="1">
      <alignment horizontal="center" vertical="center"/>
    </xf>
    <xf numFmtId="2" fontId="5" fillId="16" borderId="34" xfId="0" quotePrefix="1" applyNumberFormat="1" applyFont="1" applyFill="1" applyBorder="1" applyAlignment="1" applyProtection="1">
      <alignment horizontal="center" vertical="center"/>
    </xf>
    <xf numFmtId="1" fontId="5" fillId="16" borderId="25" xfId="0" applyNumberFormat="1" applyFont="1" applyFill="1" applyBorder="1" applyAlignment="1" applyProtection="1">
      <alignment horizontal="center" vertical="center"/>
    </xf>
    <xf numFmtId="1" fontId="5" fillId="0" borderId="1" xfId="1" applyNumberFormat="1" applyFont="1" applyFill="1" applyBorder="1" applyAlignment="1" applyProtection="1">
      <alignment horizontal="center"/>
    </xf>
    <xf numFmtId="0" fontId="10" fillId="12" borderId="24" xfId="0" applyFont="1" applyFill="1" applyBorder="1" applyAlignment="1" applyProtection="1">
      <alignment horizontal="center" vertical="center"/>
      <protection locked="0"/>
    </xf>
    <xf numFmtId="1" fontId="10" fillId="0" borderId="23" xfId="0" applyNumberFormat="1" applyFont="1" applyFill="1" applyBorder="1" applyAlignment="1" applyProtection="1">
      <alignment horizontal="center" vertical="center" wrapText="1"/>
      <protection locked="0"/>
    </xf>
    <xf numFmtId="1" fontId="10" fillId="0" borderId="24" xfId="0" applyNumberFormat="1" applyFont="1" applyFill="1" applyBorder="1" applyAlignment="1" applyProtection="1">
      <alignment horizontal="center" vertical="center" wrapText="1"/>
      <protection locked="0"/>
    </xf>
    <xf numFmtId="1" fontId="10" fillId="6" borderId="34" xfId="0" applyNumberFormat="1" applyFont="1" applyFill="1" applyBorder="1" applyAlignment="1" applyProtection="1">
      <alignment horizontal="center" vertical="center"/>
    </xf>
    <xf numFmtId="0" fontId="10" fillId="17" borderId="24" xfId="0" applyFont="1" applyFill="1" applyBorder="1" applyAlignment="1" applyProtection="1">
      <alignment horizontal="center" vertical="center"/>
    </xf>
    <xf numFmtId="1" fontId="10" fillId="14" borderId="1" xfId="0" applyNumberFormat="1" applyFont="1" applyFill="1" applyBorder="1" applyAlignment="1" applyProtection="1">
      <alignment horizontal="center" vertical="center"/>
    </xf>
    <xf numFmtId="1" fontId="10" fillId="16" borderId="23" xfId="0" applyNumberFormat="1" applyFont="1" applyFill="1" applyBorder="1" applyAlignment="1" applyProtection="1">
      <alignment horizontal="center" vertical="center"/>
    </xf>
    <xf numFmtId="1" fontId="10" fillId="16" borderId="24" xfId="0" applyNumberFormat="1" applyFont="1" applyFill="1" applyBorder="1" applyAlignment="1" applyProtection="1">
      <alignment horizontal="center" vertical="center"/>
    </xf>
    <xf numFmtId="0" fontId="10" fillId="17" borderId="24" xfId="0" applyFont="1" applyFill="1" applyBorder="1" applyAlignment="1" applyProtection="1">
      <alignment horizontal="center" vertical="center"/>
      <protection locked="0"/>
    </xf>
    <xf numFmtId="1" fontId="10" fillId="0" borderId="34" xfId="0" applyNumberFormat="1" applyFont="1" applyFill="1" applyBorder="1" applyAlignment="1" applyProtection="1">
      <alignment horizontal="center" vertical="center" wrapText="1"/>
      <protection locked="0"/>
    </xf>
    <xf numFmtId="1" fontId="10" fillId="0" borderId="24" xfId="0" applyNumberFormat="1" applyFont="1" applyFill="1" applyBorder="1" applyAlignment="1" applyProtection="1">
      <alignment horizontal="center" vertical="center"/>
      <protection locked="0"/>
    </xf>
    <xf numFmtId="1" fontId="10" fillId="14" borderId="23" xfId="0" applyNumberFormat="1" applyFont="1" applyFill="1" applyBorder="1" applyAlignment="1" applyProtection="1">
      <alignment horizontal="center" vertical="center"/>
    </xf>
    <xf numFmtId="0" fontId="10" fillId="11" borderId="24" xfId="0" applyFont="1" applyFill="1" applyBorder="1" applyAlignment="1" applyProtection="1">
      <alignment horizontal="left" vertical="center" wrapText="1"/>
      <protection locked="0"/>
    </xf>
    <xf numFmtId="0" fontId="10" fillId="0" borderId="34" xfId="0" applyFont="1" applyFill="1" applyBorder="1" applyAlignment="1" applyProtection="1">
      <alignment horizontal="center" vertical="center"/>
      <protection locked="0"/>
    </xf>
    <xf numFmtId="0" fontId="5" fillId="6" borderId="26" xfId="0" quotePrefix="1" applyFont="1" applyFill="1" applyBorder="1" applyAlignment="1" applyProtection="1">
      <alignment horizontal="center" vertical="center"/>
    </xf>
    <xf numFmtId="1" fontId="5" fillId="0" borderId="1" xfId="0" applyNumberFormat="1" applyFont="1" applyFill="1" applyBorder="1" applyAlignment="1" applyProtection="1">
      <alignment vertical="center"/>
    </xf>
    <xf numFmtId="0" fontId="5" fillId="0" borderId="1" xfId="0" applyFont="1" applyFill="1" applyBorder="1" applyAlignment="1" applyProtection="1">
      <alignment vertical="center"/>
    </xf>
    <xf numFmtId="0" fontId="10" fillId="17" borderId="1" xfId="0" applyFont="1" applyFill="1" applyBorder="1" applyAlignment="1" applyProtection="1">
      <alignment vertical="center"/>
    </xf>
    <xf numFmtId="0" fontId="10" fillId="0" borderId="1" xfId="0" applyFont="1" applyFill="1" applyBorder="1" applyAlignment="1" applyProtection="1">
      <alignment vertical="center"/>
      <protection locked="0"/>
    </xf>
    <xf numFmtId="1" fontId="10" fillId="0" borderId="1" xfId="0" applyNumberFormat="1" applyFont="1" applyFill="1" applyBorder="1" applyAlignment="1" applyProtection="1">
      <alignment vertical="center" wrapText="1"/>
      <protection locked="0"/>
    </xf>
    <xf numFmtId="1" fontId="10" fillId="16" borderId="1" xfId="0" applyNumberFormat="1" applyFont="1" applyFill="1" applyBorder="1" applyAlignment="1" applyProtection="1">
      <alignment vertical="center"/>
    </xf>
    <xf numFmtId="1" fontId="10" fillId="6" borderId="1" xfId="0" applyNumberFormat="1" applyFont="1" applyFill="1" applyBorder="1" applyAlignment="1" applyProtection="1">
      <alignment vertical="center"/>
    </xf>
    <xf numFmtId="2" fontId="5" fillId="6" borderId="1" xfId="0" quotePrefix="1" applyNumberFormat="1" applyFont="1" applyFill="1" applyBorder="1" applyAlignment="1" applyProtection="1">
      <alignment horizontal="center" vertical="center"/>
    </xf>
    <xf numFmtId="1" fontId="10" fillId="14" borderId="1" xfId="0" applyNumberFormat="1" applyFont="1" applyFill="1" applyBorder="1" applyAlignment="1" applyProtection="1">
      <alignment vertical="center"/>
      <protection locked="0"/>
    </xf>
    <xf numFmtId="1" fontId="10" fillId="0" borderId="1" xfId="0" applyNumberFormat="1" applyFont="1" applyFill="1" applyBorder="1" applyAlignment="1" applyProtection="1">
      <alignment vertical="center"/>
      <protection locked="0"/>
    </xf>
    <xf numFmtId="0" fontId="5" fillId="0" borderId="26" xfId="0" applyFont="1" applyFill="1" applyBorder="1" applyAlignment="1" applyProtection="1">
      <alignment horizontal="center" vertical="center"/>
    </xf>
    <xf numFmtId="0" fontId="10" fillId="0" borderId="17" xfId="0" applyFont="1" applyFill="1" applyBorder="1" applyAlignment="1" applyProtection="1">
      <alignment horizontal="center" vertical="center"/>
      <protection locked="0"/>
    </xf>
    <xf numFmtId="1" fontId="10" fillId="14" borderId="23" xfId="0" applyNumberFormat="1" applyFont="1" applyFill="1" applyBorder="1" applyAlignment="1" applyProtection="1">
      <alignment horizontal="center" vertical="center"/>
      <protection locked="0"/>
    </xf>
    <xf numFmtId="0" fontId="10" fillId="10" borderId="1" xfId="0" applyFont="1" applyFill="1" applyBorder="1" applyAlignment="1" applyProtection="1">
      <alignment horizontal="left" vertical="center" wrapText="1"/>
      <protection locked="0"/>
    </xf>
    <xf numFmtId="0" fontId="10" fillId="6" borderId="19" xfId="0" applyFont="1" applyFill="1" applyBorder="1" applyAlignment="1" applyProtection="1">
      <alignment horizontal="center" vertical="center"/>
      <protection locked="0"/>
    </xf>
    <xf numFmtId="1" fontId="10" fillId="6" borderId="18" xfId="0" applyNumberFormat="1" applyFont="1" applyFill="1" applyBorder="1" applyAlignment="1" applyProtection="1">
      <alignment horizontal="center" vertical="center" wrapText="1"/>
      <protection locked="0"/>
    </xf>
    <xf numFmtId="1" fontId="10" fillId="6" borderId="1" xfId="0" applyNumberFormat="1" applyFont="1" applyFill="1" applyBorder="1" applyAlignment="1" applyProtection="1">
      <alignment horizontal="center" vertical="center" wrapText="1"/>
      <protection locked="0"/>
    </xf>
    <xf numFmtId="1" fontId="10" fillId="6" borderId="19" xfId="0" applyNumberFormat="1" applyFont="1" applyFill="1" applyBorder="1" applyAlignment="1" applyProtection="1">
      <alignment horizontal="center" vertical="center" wrapText="1"/>
      <protection locked="0"/>
    </xf>
    <xf numFmtId="1" fontId="10" fillId="16" borderId="18" xfId="0" applyNumberFormat="1" applyFont="1" applyFill="1" applyBorder="1" applyAlignment="1" applyProtection="1">
      <alignment horizontal="center" vertical="center"/>
    </xf>
    <xf numFmtId="1" fontId="10" fillId="14" borderId="24" xfId="0" applyNumberFormat="1" applyFont="1" applyFill="1" applyBorder="1" applyAlignment="1" applyProtection="1">
      <alignment horizontal="center" vertical="center"/>
    </xf>
    <xf numFmtId="0" fontId="10" fillId="0" borderId="24" xfId="1" applyFont="1" applyBorder="1" applyAlignment="1" applyProtection="1">
      <alignment horizontal="center"/>
    </xf>
    <xf numFmtId="0" fontId="13" fillId="0" borderId="1" xfId="0" applyFont="1" applyFill="1" applyBorder="1" applyAlignment="1" applyProtection="1">
      <alignment horizontal="center" vertical="center"/>
    </xf>
    <xf numFmtId="0" fontId="13" fillId="17" borderId="1" xfId="0" applyFont="1" applyFill="1" applyBorder="1" applyAlignment="1" applyProtection="1">
      <alignment horizontal="center" vertical="center"/>
    </xf>
    <xf numFmtId="0" fontId="13" fillId="0" borderId="5" xfId="0" applyFont="1" applyFill="1" applyBorder="1" applyAlignment="1" applyProtection="1">
      <alignment horizontal="center" vertical="center"/>
    </xf>
    <xf numFmtId="0" fontId="13" fillId="17" borderId="5" xfId="0" applyFont="1" applyFill="1" applyBorder="1" applyAlignment="1" applyProtection="1">
      <alignment horizontal="center" vertical="center"/>
    </xf>
    <xf numFmtId="1" fontId="13" fillId="0" borderId="1" xfId="0" applyNumberFormat="1" applyFont="1" applyFill="1" applyBorder="1" applyAlignment="1" applyProtection="1">
      <alignment horizontal="center" vertical="center" wrapText="1"/>
    </xf>
    <xf numFmtId="1" fontId="13" fillId="0" borderId="5" xfId="0" applyNumberFormat="1" applyFont="1" applyFill="1" applyBorder="1" applyAlignment="1" applyProtection="1">
      <alignment horizontal="center" vertical="center" wrapText="1"/>
    </xf>
    <xf numFmtId="0" fontId="14" fillId="17" borderId="0" xfId="1" applyFont="1" applyFill="1" applyBorder="1" applyAlignment="1" applyProtection="1">
      <alignment horizontal="center" vertical="center" wrapText="1"/>
      <protection locked="0"/>
    </xf>
    <xf numFmtId="0" fontId="14" fillId="2" borderId="0" xfId="1" applyFont="1" applyFill="1" applyBorder="1" applyAlignment="1" applyProtection="1">
      <alignment horizontal="center" vertical="center" wrapText="1"/>
      <protection locked="0"/>
    </xf>
    <xf numFmtId="0" fontId="14" fillId="2" borderId="1" xfId="1" applyFont="1" applyFill="1" applyBorder="1" applyAlignment="1" applyProtection="1">
      <alignment horizontal="center" vertical="center" wrapText="1"/>
      <protection locked="0"/>
    </xf>
    <xf numFmtId="0" fontId="13" fillId="2" borderId="0" xfId="1" applyFont="1" applyFill="1" applyBorder="1" applyProtection="1"/>
    <xf numFmtId="0" fontId="13" fillId="2" borderId="0" xfId="1" applyFont="1" applyFill="1" applyBorder="1" applyAlignment="1" applyProtection="1">
      <alignment horizontal="center" vertical="center"/>
    </xf>
    <xf numFmtId="0" fontId="13" fillId="0" borderId="0" xfId="1" applyFont="1" applyProtection="1">
      <protection locked="0"/>
    </xf>
    <xf numFmtId="0" fontId="14" fillId="17" borderId="0" xfId="1" applyFont="1" applyFill="1" applyBorder="1" applyAlignment="1" applyProtection="1">
      <alignment vertical="justify" wrapText="1"/>
      <protection locked="0"/>
    </xf>
    <xf numFmtId="0" fontId="15" fillId="17" borderId="0" xfId="0" applyFont="1" applyFill="1" applyBorder="1" applyAlignment="1"/>
    <xf numFmtId="0" fontId="5" fillId="11" borderId="1" xfId="0" applyFont="1" applyFill="1" applyBorder="1" applyAlignment="1" applyProtection="1">
      <alignment horizontal="center" vertical="center"/>
    </xf>
    <xf numFmtId="0" fontId="10" fillId="5" borderId="1" xfId="0" applyFont="1" applyFill="1" applyBorder="1" applyAlignment="1" applyProtection="1">
      <alignment horizontal="center" vertical="center"/>
      <protection locked="0"/>
    </xf>
    <xf numFmtId="1" fontId="5" fillId="5" borderId="1" xfId="0" applyNumberFormat="1"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xf>
    <xf numFmtId="1" fontId="10" fillId="0" borderId="1" xfId="0" applyNumberFormat="1" applyFont="1" applyFill="1" applyBorder="1" applyAlignment="1" applyProtection="1">
      <alignment horizontal="center" vertical="center" wrapText="1"/>
    </xf>
    <xf numFmtId="2" fontId="5" fillId="11" borderId="1" xfId="0" quotePrefix="1" applyNumberFormat="1" applyFont="1" applyFill="1" applyBorder="1" applyAlignment="1" applyProtection="1">
      <alignment horizontal="center" vertical="center"/>
    </xf>
    <xf numFmtId="1" fontId="10" fillId="11" borderId="1" xfId="0" applyNumberFormat="1" applyFont="1" applyFill="1" applyBorder="1" applyAlignment="1" applyProtection="1">
      <alignment horizontal="center" vertical="center"/>
    </xf>
    <xf numFmtId="0" fontId="5" fillId="11" borderId="1" xfId="0" quotePrefix="1" applyFont="1" applyFill="1" applyBorder="1" applyAlignment="1" applyProtection="1">
      <alignment horizontal="center" vertical="center"/>
    </xf>
    <xf numFmtId="2" fontId="10" fillId="11" borderId="1" xfId="0" applyNumberFormat="1" applyFont="1" applyFill="1" applyBorder="1" applyAlignment="1" applyProtection="1">
      <alignment horizontal="center" vertical="center"/>
    </xf>
    <xf numFmtId="1" fontId="10" fillId="0" borderId="1" xfId="0" applyNumberFormat="1" applyFont="1" applyFill="1" applyBorder="1" applyAlignment="1" applyProtection="1">
      <alignment horizontal="center" vertical="center"/>
    </xf>
    <xf numFmtId="1" fontId="10" fillId="6" borderId="1" xfId="0" applyNumberFormat="1" applyFont="1" applyFill="1" applyBorder="1" applyAlignment="1" applyProtection="1">
      <alignment horizontal="center" vertical="center"/>
    </xf>
    <xf numFmtId="164" fontId="10" fillId="0" borderId="1" xfId="0" applyNumberFormat="1" applyFont="1" applyBorder="1" applyAlignment="1" applyProtection="1">
      <alignment horizontal="center" vertical="center"/>
    </xf>
    <xf numFmtId="0" fontId="10" fillId="0" borderId="35" xfId="0" applyFont="1" applyFill="1" applyBorder="1" applyAlignment="1" applyProtection="1">
      <alignment horizontal="center" vertical="center"/>
    </xf>
    <xf numFmtId="0" fontId="10" fillId="18" borderId="1" xfId="0" applyFont="1" applyFill="1" applyBorder="1" applyAlignment="1" applyProtection="1">
      <alignment horizontal="left" vertical="center" wrapText="1"/>
      <protection locked="0"/>
    </xf>
    <xf numFmtId="1" fontId="10" fillId="6" borderId="27" xfId="0" applyNumberFormat="1" applyFont="1" applyFill="1" applyBorder="1" applyAlignment="1" applyProtection="1">
      <alignment horizontal="center" vertical="center"/>
    </xf>
    <xf numFmtId="0" fontId="10" fillId="0" borderId="24" xfId="0" applyFont="1" applyFill="1" applyBorder="1" applyAlignment="1" applyProtection="1">
      <alignment horizontal="center" vertical="center"/>
    </xf>
    <xf numFmtId="1" fontId="10" fillId="14" borderId="1" xfId="0" applyNumberFormat="1" applyFont="1" applyFill="1" applyBorder="1" applyAlignment="1" applyProtection="1">
      <alignment horizontal="center" vertical="center"/>
    </xf>
    <xf numFmtId="0" fontId="10" fillId="6" borderId="34" xfId="0" applyFont="1" applyFill="1" applyBorder="1" applyAlignment="1" applyProtection="1">
      <alignment horizontal="center" vertical="center"/>
    </xf>
    <xf numFmtId="164" fontId="10" fillId="0" borderId="24" xfId="0" applyNumberFormat="1" applyFont="1" applyBorder="1" applyAlignment="1" applyProtection="1">
      <alignment horizontal="center" vertical="center"/>
    </xf>
    <xf numFmtId="1" fontId="10" fillId="0" borderId="27" xfId="0" applyNumberFormat="1" applyFont="1" applyFill="1" applyBorder="1" applyAlignment="1" applyProtection="1">
      <alignment horizontal="center" vertical="center"/>
    </xf>
    <xf numFmtId="0" fontId="10" fillId="0" borderId="0" xfId="0" applyFont="1" applyAlignment="1" applyProtection="1">
      <protection locked="0"/>
    </xf>
    <xf numFmtId="1" fontId="10" fillId="14" borderId="24" xfId="0" applyNumberFormat="1" applyFont="1" applyFill="1" applyBorder="1" applyAlignment="1" applyProtection="1">
      <alignment horizontal="center" vertical="center"/>
      <protection locked="0"/>
    </xf>
    <xf numFmtId="1" fontId="10" fillId="6" borderId="2" xfId="0" applyNumberFormat="1" applyFont="1" applyFill="1" applyBorder="1" applyAlignment="1" applyProtection="1">
      <alignment horizontal="center" vertical="center"/>
    </xf>
    <xf numFmtId="1" fontId="10" fillId="14" borderId="2" xfId="0" applyNumberFormat="1" applyFont="1" applyFill="1" applyBorder="1" applyAlignment="1" applyProtection="1">
      <alignment horizontal="center" vertical="center"/>
    </xf>
    <xf numFmtId="1" fontId="10" fillId="6" borderId="32" xfId="0" applyNumberFormat="1" applyFont="1" applyFill="1" applyBorder="1" applyAlignment="1" applyProtection="1">
      <alignment horizontal="center" vertical="center"/>
    </xf>
    <xf numFmtId="0" fontId="10" fillId="14" borderId="25" xfId="0" applyFont="1" applyFill="1" applyBorder="1" applyAlignment="1" applyProtection="1">
      <alignment horizontal="center" vertical="center"/>
    </xf>
    <xf numFmtId="1" fontId="10" fillId="14" borderId="2" xfId="0" applyNumberFormat="1" applyFont="1" applyFill="1" applyBorder="1" applyAlignment="1" applyProtection="1">
      <alignment horizontal="center" vertical="center"/>
      <protection locked="0"/>
    </xf>
    <xf numFmtId="1" fontId="10" fillId="6" borderId="43" xfId="0" applyNumberFormat="1" applyFont="1" applyFill="1" applyBorder="1" applyAlignment="1" applyProtection="1">
      <alignment horizontal="center" vertical="center"/>
    </xf>
    <xf numFmtId="2" fontId="5" fillId="6" borderId="16" xfId="0" quotePrefix="1" applyNumberFormat="1" applyFont="1" applyFill="1" applyBorder="1" applyAlignment="1" applyProtection="1">
      <alignment horizontal="center" vertical="center"/>
    </xf>
    <xf numFmtId="2" fontId="5" fillId="6" borderId="15" xfId="0" quotePrefix="1" applyNumberFormat="1" applyFont="1" applyFill="1" applyBorder="1" applyAlignment="1" applyProtection="1">
      <alignment horizontal="center" vertical="center"/>
    </xf>
    <xf numFmtId="2" fontId="5" fillId="6" borderId="18" xfId="0" quotePrefix="1" applyNumberFormat="1" applyFont="1" applyFill="1" applyBorder="1" applyAlignment="1" applyProtection="1">
      <alignment horizontal="center" vertical="center"/>
    </xf>
    <xf numFmtId="2" fontId="5" fillId="6" borderId="30" xfId="0" quotePrefix="1" applyNumberFormat="1" applyFont="1" applyFill="1" applyBorder="1" applyAlignment="1" applyProtection="1">
      <alignment horizontal="center" vertical="center"/>
    </xf>
    <xf numFmtId="2" fontId="5" fillId="6" borderId="27" xfId="0" quotePrefix="1" applyNumberFormat="1" applyFont="1" applyFill="1" applyBorder="1" applyAlignment="1" applyProtection="1">
      <alignment horizontal="center" vertical="center"/>
    </xf>
    <xf numFmtId="2" fontId="5" fillId="6" borderId="18" xfId="0" quotePrefix="1" applyNumberFormat="1" applyFont="1" applyFill="1" applyBorder="1" applyAlignment="1" applyProtection="1">
      <alignment vertical="center"/>
    </xf>
    <xf numFmtId="2" fontId="5" fillId="6" borderId="19" xfId="0" quotePrefix="1" applyNumberFormat="1" applyFont="1" applyFill="1" applyBorder="1" applyAlignment="1" applyProtection="1">
      <alignment vertical="center"/>
    </xf>
    <xf numFmtId="0" fontId="10" fillId="6" borderId="23" xfId="0" applyFont="1" applyFill="1" applyBorder="1" applyAlignment="1" applyProtection="1">
      <alignment horizontal="center" vertical="center"/>
    </xf>
    <xf numFmtId="2" fontId="5" fillId="6" borderId="39" xfId="0" quotePrefix="1" applyNumberFormat="1" applyFont="1" applyFill="1" applyBorder="1" applyAlignment="1" applyProtection="1">
      <alignment horizontal="center" vertical="center"/>
    </xf>
    <xf numFmtId="2" fontId="5" fillId="6" borderId="40" xfId="0" quotePrefix="1" applyNumberFormat="1" applyFont="1" applyFill="1" applyBorder="1" applyAlignment="1" applyProtection="1">
      <alignment horizontal="center" vertical="center"/>
    </xf>
    <xf numFmtId="1" fontId="10" fillId="14" borderId="24" xfId="0" applyNumberFormat="1" applyFont="1" applyFill="1" applyBorder="1" applyAlignment="1" applyProtection="1">
      <alignment vertical="center"/>
      <protection locked="0"/>
    </xf>
    <xf numFmtId="1" fontId="10" fillId="14" borderId="6" xfId="0" applyNumberFormat="1" applyFont="1" applyFill="1" applyBorder="1" applyAlignment="1" applyProtection="1">
      <alignment vertical="center"/>
      <protection locked="0"/>
    </xf>
    <xf numFmtId="1" fontId="10" fillId="14" borderId="3" xfId="0" applyNumberFormat="1" applyFont="1" applyFill="1" applyBorder="1" applyAlignment="1" applyProtection="1">
      <alignment vertical="center"/>
      <protection locked="0"/>
    </xf>
    <xf numFmtId="1" fontId="10" fillId="14" borderId="1" xfId="0" applyNumberFormat="1" applyFont="1" applyFill="1" applyBorder="1" applyAlignment="1" applyProtection="1">
      <alignment vertical="center"/>
    </xf>
    <xf numFmtId="1" fontId="10" fillId="0" borderId="1" xfId="0" applyNumberFormat="1" applyFont="1" applyFill="1" applyBorder="1" applyAlignment="1" applyProtection="1">
      <alignment vertical="center"/>
    </xf>
    <xf numFmtId="1" fontId="10" fillId="14" borderId="16" xfId="0" applyNumberFormat="1" applyFont="1" applyFill="1" applyBorder="1" applyAlignment="1" applyProtection="1">
      <alignment horizontal="center" vertical="center"/>
    </xf>
    <xf numFmtId="1" fontId="10" fillId="14" borderId="14" xfId="0" applyNumberFormat="1" applyFont="1" applyFill="1" applyBorder="1" applyAlignment="1" applyProtection="1">
      <alignment horizontal="center" vertical="center"/>
    </xf>
    <xf numFmtId="1" fontId="10" fillId="0" borderId="14" xfId="0" applyNumberFormat="1" applyFont="1" applyFill="1" applyBorder="1" applyAlignment="1" applyProtection="1">
      <alignment horizontal="center" vertical="center"/>
    </xf>
    <xf numFmtId="0" fontId="10" fillId="2" borderId="20" xfId="0" applyFont="1" applyFill="1" applyBorder="1" applyAlignment="1" applyProtection="1">
      <alignment horizontal="center" vertical="center"/>
      <protection locked="0"/>
    </xf>
    <xf numFmtId="0" fontId="10" fillId="2" borderId="35" xfId="0" applyFont="1" applyFill="1" applyBorder="1" applyAlignment="1" applyProtection="1">
      <alignment horizontal="center" vertical="center"/>
      <protection locked="0"/>
    </xf>
    <xf numFmtId="164" fontId="10" fillId="0" borderId="15" xfId="0" applyNumberFormat="1" applyFont="1" applyBorder="1" applyAlignment="1" applyProtection="1">
      <alignment horizontal="center" vertical="center"/>
    </xf>
    <xf numFmtId="164" fontId="10" fillId="0" borderId="40" xfId="0" applyNumberFormat="1" applyFont="1" applyBorder="1" applyAlignment="1" applyProtection="1">
      <alignment horizontal="center" vertical="center"/>
    </xf>
    <xf numFmtId="2" fontId="5" fillId="6" borderId="56" xfId="0" quotePrefix="1" applyNumberFormat="1" applyFont="1" applyFill="1" applyBorder="1" applyAlignment="1" applyProtection="1">
      <alignment horizontal="center" vertical="center"/>
    </xf>
    <xf numFmtId="2" fontId="5" fillId="6" borderId="33" xfId="0" quotePrefix="1" applyNumberFormat="1" applyFont="1" applyFill="1" applyBorder="1" applyAlignment="1" applyProtection="1">
      <alignment horizontal="center" vertical="center"/>
    </xf>
    <xf numFmtId="2" fontId="5" fillId="6" borderId="22" xfId="0" quotePrefix="1" applyNumberFormat="1" applyFont="1" applyFill="1" applyBorder="1" applyAlignment="1" applyProtection="1">
      <alignment horizontal="center" vertical="center"/>
    </xf>
    <xf numFmtId="2" fontId="5" fillId="6" borderId="45" xfId="0" quotePrefix="1" applyNumberFormat="1" applyFont="1" applyFill="1" applyBorder="1" applyAlignment="1" applyProtection="1">
      <alignment horizontal="center" vertical="center"/>
    </xf>
    <xf numFmtId="2" fontId="5" fillId="16" borderId="22" xfId="0" quotePrefix="1" applyNumberFormat="1" applyFont="1" applyFill="1" applyBorder="1" applyAlignment="1" applyProtection="1">
      <alignment horizontal="center" vertical="center"/>
    </xf>
    <xf numFmtId="2" fontId="5" fillId="16" borderId="45" xfId="0" quotePrefix="1" applyNumberFormat="1" applyFont="1" applyFill="1" applyBorder="1" applyAlignment="1" applyProtection="1">
      <alignment horizontal="center" vertical="center"/>
    </xf>
    <xf numFmtId="0" fontId="10" fillId="6" borderId="31" xfId="0" applyFont="1" applyFill="1" applyBorder="1" applyAlignment="1" applyProtection="1">
      <alignment horizontal="center" vertical="center"/>
      <protection locked="0"/>
    </xf>
    <xf numFmtId="1" fontId="10" fillId="6" borderId="16" xfId="0" applyNumberFormat="1" applyFont="1" applyFill="1" applyBorder="1" applyAlignment="1" applyProtection="1">
      <alignment horizontal="center" vertical="center"/>
    </xf>
    <xf numFmtId="1" fontId="10" fillId="6" borderId="14" xfId="0" applyNumberFormat="1" applyFont="1" applyFill="1" applyBorder="1" applyAlignment="1" applyProtection="1">
      <alignment horizontal="center" vertical="center"/>
    </xf>
    <xf numFmtId="1" fontId="10" fillId="6" borderId="15" xfId="0" applyNumberFormat="1" applyFont="1" applyFill="1" applyBorder="1" applyAlignment="1" applyProtection="1">
      <alignment horizontal="center" vertical="center"/>
    </xf>
    <xf numFmtId="1" fontId="10" fillId="14" borderId="18" xfId="0" applyNumberFormat="1" applyFont="1" applyFill="1" applyBorder="1" applyAlignment="1" applyProtection="1">
      <alignment vertical="center"/>
      <protection locked="0"/>
    </xf>
    <xf numFmtId="1" fontId="5" fillId="6" borderId="57" xfId="0" applyNumberFormat="1" applyFont="1" applyFill="1" applyBorder="1" applyAlignment="1" applyProtection="1">
      <alignment horizontal="center" vertical="center"/>
    </xf>
    <xf numFmtId="1" fontId="5" fillId="6" borderId="54" xfId="0" applyNumberFormat="1" applyFont="1" applyFill="1" applyBorder="1" applyAlignment="1" applyProtection="1">
      <alignment horizontal="center" vertical="center"/>
    </xf>
    <xf numFmtId="1" fontId="10" fillId="0" borderId="46" xfId="0" applyNumberFormat="1" applyFont="1" applyFill="1" applyBorder="1" applyAlignment="1" applyProtection="1">
      <alignment horizontal="center" vertical="center"/>
    </xf>
    <xf numFmtId="1" fontId="10" fillId="0" borderId="38" xfId="0" applyNumberFormat="1"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10" fillId="0" borderId="1" xfId="1" applyFont="1" applyBorder="1" applyProtection="1"/>
    <xf numFmtId="0" fontId="10" fillId="0" borderId="18" xfId="1" applyFont="1" applyBorder="1" applyAlignment="1" applyProtection="1">
      <alignment horizontal="center" vertical="center"/>
    </xf>
    <xf numFmtId="1" fontId="5" fillId="6" borderId="22" xfId="0" applyNumberFormat="1" applyFont="1" applyFill="1" applyBorder="1" applyAlignment="1" applyProtection="1">
      <alignment horizontal="center" vertical="center"/>
    </xf>
    <xf numFmtId="1" fontId="5" fillId="6" borderId="45" xfId="0" applyNumberFormat="1" applyFont="1" applyFill="1" applyBorder="1" applyAlignment="1" applyProtection="1">
      <alignment horizontal="center" vertical="center"/>
    </xf>
    <xf numFmtId="1" fontId="5" fillId="16" borderId="1" xfId="0" applyNumberFormat="1" applyFont="1" applyFill="1" applyBorder="1" applyAlignment="1" applyProtection="1">
      <alignment horizontal="center" vertical="center"/>
    </xf>
    <xf numFmtId="49" fontId="5" fillId="0" borderId="0" xfId="0" applyNumberFormat="1" applyFont="1" applyFill="1" applyAlignment="1" applyProtection="1">
      <alignment vertical="center" wrapText="1"/>
    </xf>
    <xf numFmtId="0" fontId="10" fillId="12" borderId="1" xfId="0" applyFont="1" applyFill="1" applyBorder="1" applyAlignment="1" applyProtection="1">
      <alignment horizontal="center" vertical="center"/>
    </xf>
    <xf numFmtId="0" fontId="10" fillId="0" borderId="0" xfId="0" applyFont="1" applyFill="1" applyBorder="1" applyAlignment="1" applyProtection="1">
      <alignment horizontal="center" vertical="center"/>
    </xf>
    <xf numFmtId="0" fontId="1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left" vertical="center" wrapText="1"/>
      <protection locked="0"/>
    </xf>
    <xf numFmtId="1" fontId="5" fillId="0" borderId="0" xfId="0" applyNumberFormat="1" applyFont="1" applyFill="1" applyBorder="1" applyAlignment="1" applyProtection="1">
      <alignment horizontal="center" vertical="center"/>
    </xf>
    <xf numFmtId="2" fontId="10" fillId="0" borderId="0" xfId="0" applyNumberFormat="1" applyFont="1" applyFill="1" applyBorder="1" applyAlignment="1" applyProtection="1">
      <alignment horizontal="center" vertical="center"/>
    </xf>
    <xf numFmtId="0" fontId="10" fillId="10" borderId="17" xfId="1" applyFont="1" applyFill="1" applyBorder="1" applyProtection="1">
      <protection locked="0"/>
    </xf>
    <xf numFmtId="0" fontId="10" fillId="10" borderId="18" xfId="1" applyFont="1" applyFill="1" applyBorder="1" applyProtection="1">
      <protection locked="0"/>
    </xf>
    <xf numFmtId="0" fontId="10" fillId="10" borderId="2" xfId="1" applyFont="1" applyFill="1" applyBorder="1" applyProtection="1">
      <protection locked="0"/>
    </xf>
    <xf numFmtId="0" fontId="10" fillId="10" borderId="19" xfId="1" applyFont="1" applyFill="1" applyBorder="1" applyProtection="1">
      <protection locked="0"/>
    </xf>
    <xf numFmtId="1" fontId="10" fillId="11" borderId="2" xfId="0" applyNumberFormat="1" applyFont="1" applyFill="1" applyBorder="1" applyAlignment="1" applyProtection="1">
      <alignment horizontal="center" vertical="center"/>
    </xf>
    <xf numFmtId="0" fontId="10" fillId="10" borderId="21" xfId="1" applyFont="1" applyFill="1" applyBorder="1" applyProtection="1">
      <protection locked="0"/>
    </xf>
    <xf numFmtId="2" fontId="5" fillId="11" borderId="21" xfId="0" quotePrefix="1" applyNumberFormat="1" applyFont="1" applyFill="1" applyBorder="1" applyAlignment="1" applyProtection="1">
      <alignment horizontal="center" vertical="center"/>
    </xf>
    <xf numFmtId="2" fontId="10" fillId="11" borderId="17" xfId="0" applyNumberFormat="1" applyFont="1" applyFill="1" applyBorder="1" applyAlignment="1" applyProtection="1">
      <alignment horizontal="center" vertical="center"/>
    </xf>
    <xf numFmtId="2" fontId="5" fillId="11" borderId="18" xfId="0" quotePrefix="1" applyNumberFormat="1" applyFont="1" applyFill="1" applyBorder="1" applyAlignment="1" applyProtection="1">
      <alignment horizontal="center" vertical="center"/>
    </xf>
    <xf numFmtId="2" fontId="5" fillId="11" borderId="17" xfId="0" quotePrefix="1" applyNumberFormat="1" applyFont="1" applyFill="1" applyBorder="1" applyAlignment="1" applyProtection="1">
      <alignment horizontal="center" vertical="center"/>
    </xf>
    <xf numFmtId="1" fontId="10" fillId="11" borderId="18" xfId="0" applyNumberFormat="1" applyFont="1" applyFill="1" applyBorder="1" applyAlignment="1" applyProtection="1">
      <alignment horizontal="center" vertical="center"/>
    </xf>
    <xf numFmtId="0" fontId="10" fillId="2" borderId="18" xfId="0" applyFont="1" applyFill="1" applyBorder="1" applyAlignment="1" applyProtection="1">
      <alignment horizontal="center" vertical="center"/>
    </xf>
    <xf numFmtId="0" fontId="10" fillId="5" borderId="1" xfId="0" applyFont="1" applyFill="1" applyBorder="1" applyAlignment="1">
      <alignment horizontal="left" vertical="center" wrapText="1"/>
    </xf>
    <xf numFmtId="0" fontId="10" fillId="0" borderId="24" xfId="0" applyFont="1" applyFill="1" applyBorder="1" applyAlignment="1" applyProtection="1">
      <alignment horizontal="center" vertical="center"/>
    </xf>
    <xf numFmtId="0" fontId="6" fillId="0" borderId="6" xfId="0" applyFont="1" applyBorder="1" applyAlignment="1">
      <alignment horizontal="center" vertical="center"/>
    </xf>
    <xf numFmtId="0" fontId="10" fillId="0" borderId="34" xfId="0" applyFont="1" applyFill="1" applyBorder="1" applyAlignment="1" applyProtection="1">
      <alignment horizontal="center" vertical="center"/>
    </xf>
    <xf numFmtId="0" fontId="6" fillId="0" borderId="9" xfId="0" applyFont="1" applyBorder="1" applyAlignment="1">
      <alignment horizontal="center" vertical="center"/>
    </xf>
    <xf numFmtId="1" fontId="10" fillId="14" borderId="24" xfId="0" applyNumberFormat="1" applyFont="1" applyFill="1" applyBorder="1" applyAlignment="1" applyProtection="1">
      <alignment horizontal="center" vertical="center"/>
      <protection locked="0"/>
    </xf>
    <xf numFmtId="1" fontId="10" fillId="14" borderId="3" xfId="0" applyNumberFormat="1" applyFont="1" applyFill="1" applyBorder="1" applyAlignment="1" applyProtection="1">
      <alignment horizontal="center" vertical="center"/>
      <protection locked="0"/>
    </xf>
    <xf numFmtId="0" fontId="10" fillId="0" borderId="3" xfId="0" applyFont="1" applyFill="1" applyBorder="1" applyAlignment="1" applyProtection="1">
      <alignment horizontal="center" vertical="center"/>
    </xf>
    <xf numFmtId="0" fontId="14" fillId="17" borderId="0" xfId="1" applyFont="1" applyFill="1" applyBorder="1" applyAlignment="1" applyProtection="1">
      <alignment horizontal="left" vertical="justify"/>
      <protection locked="0"/>
    </xf>
    <xf numFmtId="1" fontId="5" fillId="0" borderId="24" xfId="0" applyNumberFormat="1" applyFont="1" applyFill="1" applyBorder="1" applyAlignment="1" applyProtection="1">
      <alignment horizontal="center" vertical="center"/>
    </xf>
    <xf numFmtId="1" fontId="5" fillId="0" borderId="3" xfId="0" applyNumberFormat="1" applyFont="1" applyFill="1" applyBorder="1" applyAlignment="1" applyProtection="1">
      <alignment horizontal="center" vertical="center"/>
    </xf>
    <xf numFmtId="0" fontId="5" fillId="0" borderId="34" xfId="0" applyFont="1" applyFill="1" applyBorder="1" applyAlignment="1" applyProtection="1">
      <alignment horizontal="center" vertical="center"/>
    </xf>
    <xf numFmtId="0" fontId="5" fillId="0" borderId="27" xfId="0" applyFont="1" applyFill="1" applyBorder="1" applyAlignment="1" applyProtection="1">
      <alignment horizontal="center" vertical="center"/>
    </xf>
    <xf numFmtId="0" fontId="10" fillId="0" borderId="23" xfId="0" applyFont="1" applyFill="1" applyBorder="1" applyAlignment="1" applyProtection="1">
      <alignment horizontal="center" vertical="center"/>
    </xf>
    <xf numFmtId="0" fontId="10" fillId="0" borderId="30" xfId="0" applyFont="1" applyFill="1" applyBorder="1" applyAlignment="1" applyProtection="1">
      <alignment horizontal="center" vertical="center"/>
    </xf>
    <xf numFmtId="0" fontId="10" fillId="17" borderId="24"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0" fontId="10" fillId="17" borderId="24" xfId="0" applyFont="1" applyFill="1" applyBorder="1" applyAlignment="1" applyProtection="1">
      <alignment horizontal="center" vertical="center"/>
    </xf>
    <xf numFmtId="0" fontId="10" fillId="17" borderId="3" xfId="0" applyFont="1" applyFill="1" applyBorder="1" applyAlignment="1" applyProtection="1">
      <alignment horizontal="center" vertical="center"/>
    </xf>
    <xf numFmtId="0" fontId="10" fillId="0" borderId="24" xfId="0" applyFont="1" applyFill="1" applyBorder="1" applyAlignment="1" applyProtection="1">
      <alignment horizontal="center" vertical="center"/>
      <protection locked="0"/>
    </xf>
    <xf numFmtId="0" fontId="10" fillId="0" borderId="3" xfId="0" applyFont="1" applyFill="1" applyBorder="1" applyAlignment="1" applyProtection="1">
      <alignment horizontal="center" vertical="center"/>
      <protection locked="0"/>
    </xf>
    <xf numFmtId="1" fontId="10" fillId="0" borderId="23" xfId="0" applyNumberFormat="1" applyFont="1" applyFill="1" applyBorder="1" applyAlignment="1" applyProtection="1">
      <alignment horizontal="center" vertical="center" wrapText="1"/>
      <protection locked="0"/>
    </xf>
    <xf numFmtId="1" fontId="10" fillId="0" borderId="30" xfId="0" applyNumberFormat="1" applyFont="1" applyFill="1" applyBorder="1" applyAlignment="1" applyProtection="1">
      <alignment horizontal="center" vertical="center" wrapText="1"/>
      <protection locked="0"/>
    </xf>
    <xf numFmtId="1" fontId="10" fillId="0" borderId="34" xfId="0" applyNumberFormat="1" applyFont="1" applyFill="1" applyBorder="1" applyAlignment="1" applyProtection="1">
      <alignment horizontal="center" vertical="center" wrapText="1"/>
      <protection locked="0"/>
    </xf>
    <xf numFmtId="1" fontId="10" fillId="0" borderId="27" xfId="0" applyNumberFormat="1" applyFont="1" applyFill="1" applyBorder="1" applyAlignment="1" applyProtection="1">
      <alignment horizontal="center" vertical="center" wrapText="1"/>
      <protection locked="0"/>
    </xf>
    <xf numFmtId="2" fontId="5" fillId="6" borderId="36" xfId="0" quotePrefix="1" applyNumberFormat="1" applyFont="1" applyFill="1" applyBorder="1" applyAlignment="1" applyProtection="1">
      <alignment horizontal="center" vertical="center"/>
    </xf>
    <xf numFmtId="2" fontId="5" fillId="6" borderId="28" xfId="0" quotePrefix="1" applyNumberFormat="1" applyFont="1" applyFill="1" applyBorder="1" applyAlignment="1" applyProtection="1">
      <alignment horizontal="center" vertical="center"/>
    </xf>
    <xf numFmtId="1" fontId="10" fillId="16" borderId="23" xfId="0" applyNumberFormat="1" applyFont="1" applyFill="1" applyBorder="1" applyAlignment="1" applyProtection="1">
      <alignment horizontal="center" vertical="center"/>
    </xf>
    <xf numFmtId="1" fontId="10" fillId="16" borderId="30" xfId="0" applyNumberFormat="1" applyFont="1" applyFill="1" applyBorder="1" applyAlignment="1" applyProtection="1">
      <alignment horizontal="center" vertical="center"/>
    </xf>
    <xf numFmtId="1" fontId="10" fillId="16" borderId="24" xfId="0" applyNumberFormat="1" applyFont="1" applyFill="1" applyBorder="1" applyAlignment="1" applyProtection="1">
      <alignment horizontal="center" vertical="center"/>
    </xf>
    <xf numFmtId="1" fontId="10" fillId="16" borderId="3" xfId="0" applyNumberFormat="1" applyFont="1" applyFill="1" applyBorder="1" applyAlignment="1" applyProtection="1">
      <alignment horizontal="center" vertical="center"/>
    </xf>
    <xf numFmtId="1" fontId="10" fillId="6" borderId="34" xfId="0" applyNumberFormat="1" applyFont="1" applyFill="1" applyBorder="1" applyAlignment="1" applyProtection="1">
      <alignment horizontal="center" vertical="center"/>
    </xf>
    <xf numFmtId="1" fontId="10" fillId="6" borderId="27" xfId="0" applyNumberFormat="1" applyFont="1" applyFill="1" applyBorder="1" applyAlignment="1" applyProtection="1">
      <alignment horizontal="center" vertical="center"/>
    </xf>
    <xf numFmtId="2" fontId="5" fillId="6" borderId="45" xfId="0" quotePrefix="1" applyNumberFormat="1" applyFont="1" applyFill="1" applyBorder="1" applyAlignment="1" applyProtection="1">
      <alignment horizontal="center" vertical="center"/>
    </xf>
    <xf numFmtId="2" fontId="5" fillId="6" borderId="33" xfId="0" quotePrefix="1" applyNumberFormat="1" applyFont="1" applyFill="1" applyBorder="1" applyAlignment="1" applyProtection="1">
      <alignment horizontal="center" vertical="center"/>
    </xf>
    <xf numFmtId="1" fontId="10" fillId="14" borderId="23" xfId="0" applyNumberFormat="1" applyFont="1" applyFill="1" applyBorder="1" applyAlignment="1" applyProtection="1">
      <alignment horizontal="center" vertical="center"/>
      <protection locked="0"/>
    </xf>
    <xf numFmtId="1" fontId="10" fillId="14" borderId="30" xfId="0" applyNumberFormat="1" applyFont="1" applyFill="1" applyBorder="1" applyAlignment="1" applyProtection="1">
      <alignment horizontal="center" vertical="center"/>
      <protection locked="0"/>
    </xf>
    <xf numFmtId="1" fontId="10" fillId="6" borderId="9" xfId="0" applyNumberFormat="1" applyFont="1" applyFill="1" applyBorder="1" applyAlignment="1" applyProtection="1">
      <alignment horizontal="center" vertical="center"/>
    </xf>
    <xf numFmtId="2" fontId="5" fillId="6" borderId="37" xfId="0" quotePrefix="1" applyNumberFormat="1" applyFont="1" applyFill="1" applyBorder="1" applyAlignment="1" applyProtection="1">
      <alignment horizontal="center" vertical="center"/>
    </xf>
    <xf numFmtId="1" fontId="10" fillId="0" borderId="34" xfId="0" applyNumberFormat="1" applyFont="1" applyFill="1" applyBorder="1" applyAlignment="1" applyProtection="1">
      <alignment horizontal="center" vertical="center" wrapText="1"/>
    </xf>
    <xf numFmtId="1" fontId="10" fillId="0" borderId="9" xfId="0" applyNumberFormat="1" applyFont="1" applyFill="1" applyBorder="1" applyAlignment="1" applyProtection="1">
      <alignment horizontal="center" vertical="center" wrapText="1"/>
    </xf>
    <xf numFmtId="1" fontId="10" fillId="0" borderId="27" xfId="0" applyNumberFormat="1" applyFont="1" applyFill="1" applyBorder="1" applyAlignment="1" applyProtection="1">
      <alignment horizontal="center" vertical="center" wrapText="1"/>
    </xf>
    <xf numFmtId="2" fontId="5" fillId="16" borderId="37" xfId="0" quotePrefix="1" applyNumberFormat="1" applyFont="1" applyFill="1" applyBorder="1" applyAlignment="1" applyProtection="1">
      <alignment horizontal="center" vertical="center"/>
    </xf>
    <xf numFmtId="2" fontId="5" fillId="16" borderId="28" xfId="0" quotePrefix="1" applyNumberFormat="1" applyFont="1" applyFill="1" applyBorder="1" applyAlignment="1" applyProtection="1">
      <alignment horizontal="center" vertical="center"/>
    </xf>
    <xf numFmtId="1" fontId="10" fillId="14" borderId="24" xfId="0" applyNumberFormat="1" applyFont="1" applyFill="1" applyBorder="1" applyAlignment="1" applyProtection="1">
      <alignment horizontal="center" vertical="center"/>
    </xf>
    <xf numFmtId="1" fontId="10" fillId="14" borderId="6" xfId="0" applyNumberFormat="1" applyFont="1" applyFill="1" applyBorder="1" applyAlignment="1" applyProtection="1">
      <alignment horizontal="center" vertical="center"/>
    </xf>
    <xf numFmtId="1" fontId="10" fillId="14" borderId="3" xfId="0" applyNumberFormat="1" applyFont="1" applyFill="1" applyBorder="1" applyAlignment="1" applyProtection="1">
      <alignment horizontal="center" vertical="center"/>
    </xf>
    <xf numFmtId="1" fontId="10" fillId="14" borderId="25" xfId="0" applyNumberFormat="1" applyFont="1" applyFill="1" applyBorder="1" applyAlignment="1" applyProtection="1">
      <alignment horizontal="center" vertical="center"/>
    </xf>
    <xf numFmtId="1" fontId="10" fillId="14" borderId="10" xfId="0" applyNumberFormat="1" applyFont="1" applyFill="1" applyBorder="1" applyAlignment="1" applyProtection="1">
      <alignment horizontal="center" vertical="center"/>
    </xf>
    <xf numFmtId="1" fontId="10" fillId="14" borderId="32" xfId="0" applyNumberFormat="1" applyFont="1" applyFill="1" applyBorder="1" applyAlignment="1" applyProtection="1">
      <alignment horizontal="center" vertical="center"/>
    </xf>
    <xf numFmtId="0" fontId="10" fillId="2" borderId="25" xfId="0" applyFont="1" applyFill="1" applyBorder="1" applyAlignment="1" applyProtection="1">
      <alignment horizontal="center" vertical="center"/>
      <protection locked="0"/>
    </xf>
    <xf numFmtId="0" fontId="10" fillId="2" borderId="32" xfId="0" applyFont="1" applyFill="1" applyBorder="1" applyAlignment="1" applyProtection="1">
      <alignment horizontal="center" vertical="center"/>
      <protection locked="0"/>
    </xf>
    <xf numFmtId="1" fontId="10" fillId="0" borderId="24" xfId="0" applyNumberFormat="1" applyFont="1" applyFill="1" applyBorder="1" applyAlignment="1" applyProtection="1">
      <alignment horizontal="center" vertical="center"/>
    </xf>
    <xf numFmtId="1" fontId="10" fillId="0" borderId="6" xfId="0" applyNumberFormat="1" applyFont="1" applyFill="1" applyBorder="1" applyAlignment="1" applyProtection="1">
      <alignment horizontal="center" vertical="center"/>
    </xf>
    <xf numFmtId="1" fontId="10" fillId="0" borderId="3" xfId="0" applyNumberFormat="1" applyFont="1" applyFill="1" applyBorder="1" applyAlignment="1" applyProtection="1">
      <alignment horizontal="center" vertical="center"/>
    </xf>
    <xf numFmtId="0" fontId="10" fillId="0" borderId="6" xfId="0" applyFont="1" applyFill="1" applyBorder="1" applyAlignment="1" applyProtection="1">
      <alignment horizontal="center" vertical="center"/>
    </xf>
    <xf numFmtId="1" fontId="10" fillId="14" borderId="1" xfId="0" applyNumberFormat="1" applyFont="1" applyFill="1" applyBorder="1" applyAlignment="1" applyProtection="1">
      <alignment horizontal="center" vertical="center"/>
    </xf>
    <xf numFmtId="0" fontId="10" fillId="17" borderId="6" xfId="0" applyFont="1" applyFill="1" applyBorder="1" applyAlignment="1" applyProtection="1">
      <alignment horizontal="center" vertical="center"/>
    </xf>
    <xf numFmtId="1" fontId="10" fillId="0" borderId="23" xfId="0" applyNumberFormat="1" applyFont="1" applyFill="1" applyBorder="1" applyAlignment="1" applyProtection="1">
      <alignment horizontal="center" vertical="center" wrapText="1"/>
    </xf>
    <xf numFmtId="1" fontId="10" fillId="0" borderId="8" xfId="0" applyNumberFormat="1" applyFont="1" applyFill="1" applyBorder="1" applyAlignment="1" applyProtection="1">
      <alignment horizontal="center" vertical="center" wrapText="1"/>
    </xf>
    <xf numFmtId="1" fontId="10" fillId="0" borderId="30" xfId="0" applyNumberFormat="1" applyFont="1" applyFill="1" applyBorder="1" applyAlignment="1" applyProtection="1">
      <alignment horizontal="center" vertical="center" wrapText="1"/>
    </xf>
    <xf numFmtId="1" fontId="10" fillId="0" borderId="24" xfId="0" applyNumberFormat="1" applyFont="1" applyFill="1" applyBorder="1" applyAlignment="1" applyProtection="1">
      <alignment horizontal="center" vertical="center" wrapText="1"/>
    </xf>
    <xf numFmtId="1" fontId="10" fillId="0" borderId="6" xfId="0" applyNumberFormat="1" applyFont="1" applyFill="1" applyBorder="1" applyAlignment="1" applyProtection="1">
      <alignment horizontal="center" vertical="center" wrapText="1"/>
    </xf>
    <xf numFmtId="1" fontId="10" fillId="0" borderId="3" xfId="0" applyNumberFormat="1" applyFont="1" applyFill="1" applyBorder="1" applyAlignment="1" applyProtection="1">
      <alignment horizontal="center" vertical="center" wrapText="1"/>
    </xf>
    <xf numFmtId="1" fontId="10" fillId="16" borderId="8" xfId="0" applyNumberFormat="1" applyFont="1" applyFill="1" applyBorder="1" applyAlignment="1" applyProtection="1">
      <alignment horizontal="center" vertical="center"/>
    </xf>
    <xf numFmtId="1" fontId="10" fillId="16" borderId="6" xfId="0" applyNumberFormat="1" applyFont="1" applyFill="1" applyBorder="1" applyAlignment="1" applyProtection="1">
      <alignment horizontal="center" vertical="center"/>
    </xf>
    <xf numFmtId="0" fontId="10" fillId="12" borderId="6" xfId="0" applyFont="1" applyFill="1" applyBorder="1" applyAlignment="1" applyProtection="1">
      <alignment horizontal="center" vertical="center"/>
    </xf>
    <xf numFmtId="0" fontId="10" fillId="12" borderId="3" xfId="0" applyFont="1" applyFill="1" applyBorder="1" applyAlignment="1" applyProtection="1">
      <alignment horizontal="center" vertical="center"/>
    </xf>
    <xf numFmtId="0" fontId="10" fillId="12" borderId="1" xfId="0" applyFont="1" applyFill="1" applyBorder="1" applyAlignment="1" applyProtection="1">
      <alignment horizontal="center" vertical="center"/>
    </xf>
    <xf numFmtId="1" fontId="5" fillId="0" borderId="6" xfId="0" applyNumberFormat="1"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10" fillId="0" borderId="8" xfId="0" applyFont="1" applyFill="1" applyBorder="1" applyAlignment="1" applyProtection="1">
      <alignment horizontal="center" vertical="center"/>
    </xf>
    <xf numFmtId="2" fontId="5" fillId="16" borderId="36" xfId="0" quotePrefix="1" applyNumberFormat="1" applyFont="1" applyFill="1" applyBorder="1" applyAlignment="1" applyProtection="1">
      <alignment horizontal="center" vertical="center"/>
    </xf>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1" fontId="10" fillId="14" borderId="2" xfId="0" applyNumberFormat="1" applyFont="1" applyFill="1" applyBorder="1" applyAlignment="1" applyProtection="1">
      <alignment horizontal="center" vertical="center"/>
    </xf>
    <xf numFmtId="0" fontId="6" fillId="0" borderId="9" xfId="0" applyFont="1" applyBorder="1" applyAlignment="1">
      <alignment horizontal="center" vertical="center" wrapText="1"/>
    </xf>
    <xf numFmtId="0" fontId="6" fillId="14" borderId="10" xfId="0" applyFont="1" applyFill="1" applyBorder="1" applyAlignment="1">
      <alignment horizontal="center" vertical="center"/>
    </xf>
    <xf numFmtId="0" fontId="6" fillId="14" borderId="6" xfId="0" applyFont="1" applyFill="1" applyBorder="1" applyAlignment="1">
      <alignment horizontal="center" vertical="center"/>
    </xf>
    <xf numFmtId="0" fontId="6" fillId="0" borderId="8" xfId="0" applyFont="1" applyBorder="1" applyAlignment="1">
      <alignment horizontal="center" vertical="center"/>
    </xf>
    <xf numFmtId="0" fontId="6" fillId="17" borderId="6" xfId="0" applyFont="1" applyFill="1" applyBorder="1" applyAlignment="1">
      <alignment horizontal="center" vertical="center"/>
    </xf>
    <xf numFmtId="0" fontId="10" fillId="2" borderId="47" xfId="1" applyFont="1" applyFill="1" applyBorder="1" applyAlignment="1" applyProtection="1">
      <alignment horizontal="center" vertical="center"/>
    </xf>
    <xf numFmtId="0" fontId="10" fillId="2" borderId="2" xfId="1" applyFont="1" applyFill="1" applyBorder="1" applyAlignment="1" applyProtection="1">
      <alignment horizontal="center" vertical="center"/>
    </xf>
    <xf numFmtId="0" fontId="10" fillId="2" borderId="43" xfId="1" applyFont="1" applyFill="1" applyBorder="1" applyAlignment="1" applyProtection="1">
      <alignment horizontal="center" vertical="center"/>
    </xf>
    <xf numFmtId="0" fontId="10" fillId="2" borderId="32" xfId="1" applyFont="1" applyFill="1" applyBorder="1" applyAlignment="1" applyProtection="1">
      <alignment horizontal="center" vertical="center"/>
    </xf>
    <xf numFmtId="0" fontId="10" fillId="2" borderId="3" xfId="1" applyFont="1" applyFill="1" applyBorder="1" applyAlignment="1" applyProtection="1">
      <alignment horizontal="center" vertical="center"/>
    </xf>
    <xf numFmtId="0" fontId="10" fillId="2" borderId="1" xfId="1" applyFont="1" applyFill="1" applyBorder="1" applyAlignment="1" applyProtection="1">
      <alignment horizontal="center" vertical="center"/>
    </xf>
    <xf numFmtId="0" fontId="10" fillId="2" borderId="5" xfId="1" applyFont="1" applyFill="1" applyBorder="1" applyAlignment="1" applyProtection="1">
      <alignment horizontal="center" vertical="center"/>
    </xf>
    <xf numFmtId="0" fontId="10" fillId="14" borderId="24" xfId="0" applyFont="1" applyFill="1" applyBorder="1" applyAlignment="1" applyProtection="1">
      <alignment horizontal="center" vertical="center"/>
    </xf>
    <xf numFmtId="0" fontId="10" fillId="14" borderId="6" xfId="0" applyFont="1" applyFill="1" applyBorder="1" applyAlignment="1" applyProtection="1">
      <alignment horizontal="center" vertical="center"/>
    </xf>
    <xf numFmtId="0" fontId="10" fillId="14" borderId="3" xfId="0" applyFont="1" applyFill="1" applyBorder="1" applyAlignment="1" applyProtection="1">
      <alignment horizontal="center" vertical="center"/>
    </xf>
    <xf numFmtId="0" fontId="10" fillId="2" borderId="46" xfId="1" applyFont="1" applyFill="1" applyBorder="1" applyAlignment="1" applyProtection="1">
      <alignment horizontal="center" vertical="center"/>
    </xf>
    <xf numFmtId="0" fontId="10" fillId="2" borderId="17" xfId="1" applyFont="1" applyFill="1" applyBorder="1" applyAlignment="1" applyProtection="1">
      <alignment horizontal="center" vertical="center"/>
    </xf>
    <xf numFmtId="0" fontId="10" fillId="2" borderId="38" xfId="1" applyFont="1" applyFill="1" applyBorder="1" applyAlignment="1" applyProtection="1">
      <alignment horizontal="center" vertical="center"/>
    </xf>
    <xf numFmtId="0" fontId="10" fillId="14" borderId="30" xfId="1" applyFont="1" applyFill="1" applyBorder="1" applyAlignment="1" applyProtection="1">
      <alignment horizontal="center" vertical="center"/>
    </xf>
    <xf numFmtId="0" fontId="10" fillId="14" borderId="18" xfId="1" applyFont="1" applyFill="1" applyBorder="1" applyAlignment="1" applyProtection="1">
      <alignment horizontal="center" vertical="center"/>
    </xf>
    <xf numFmtId="0" fontId="10" fillId="14" borderId="39" xfId="1" applyFont="1" applyFill="1" applyBorder="1" applyAlignment="1" applyProtection="1">
      <alignment horizontal="center" vertical="center"/>
    </xf>
    <xf numFmtId="0" fontId="10" fillId="14" borderId="3" xfId="1" applyFont="1" applyFill="1" applyBorder="1" applyAlignment="1" applyProtection="1">
      <alignment horizontal="center" vertical="center"/>
    </xf>
    <xf numFmtId="0" fontId="10" fillId="14" borderId="1" xfId="1" applyFont="1" applyFill="1" applyBorder="1" applyAlignment="1" applyProtection="1">
      <alignment horizontal="center" vertical="center"/>
    </xf>
    <xf numFmtId="0" fontId="10" fillId="14" borderId="5" xfId="1" applyFont="1" applyFill="1" applyBorder="1" applyAlignment="1" applyProtection="1">
      <alignment horizontal="center" vertical="center"/>
    </xf>
    <xf numFmtId="0" fontId="10" fillId="2" borderId="14" xfId="1" applyFont="1" applyFill="1" applyBorder="1" applyAlignment="1" applyProtection="1">
      <alignment horizontal="center" vertical="center"/>
    </xf>
    <xf numFmtId="0" fontId="10" fillId="2" borderId="15" xfId="1" applyFont="1" applyFill="1" applyBorder="1" applyAlignment="1" applyProtection="1">
      <alignment horizontal="center" vertical="center"/>
    </xf>
    <xf numFmtId="0" fontId="10" fillId="2" borderId="19" xfId="1" applyFont="1" applyFill="1" applyBorder="1" applyAlignment="1" applyProtection="1">
      <alignment horizontal="center" vertical="center"/>
    </xf>
    <xf numFmtId="0" fontId="10" fillId="2" borderId="40" xfId="1" applyFont="1" applyFill="1" applyBorder="1" applyAlignment="1" applyProtection="1">
      <alignment horizontal="center" vertical="center"/>
    </xf>
    <xf numFmtId="0" fontId="10" fillId="14" borderId="16" xfId="1" applyFont="1" applyFill="1" applyBorder="1" applyAlignment="1" applyProtection="1">
      <alignment horizontal="center" vertical="center"/>
    </xf>
    <xf numFmtId="1" fontId="5" fillId="8" borderId="24" xfId="0" applyNumberFormat="1" applyFont="1" applyFill="1" applyBorder="1" applyAlignment="1" applyProtection="1">
      <alignment horizontal="center" vertical="center"/>
    </xf>
    <xf numFmtId="1" fontId="5" fillId="8" borderId="6"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wrapText="1"/>
    </xf>
    <xf numFmtId="0" fontId="14" fillId="17" borderId="0" xfId="1" applyFont="1" applyFill="1" applyBorder="1" applyAlignment="1" applyProtection="1">
      <alignment horizontal="center" vertical="center" wrapText="1"/>
      <protection locked="0"/>
    </xf>
    <xf numFmtId="0" fontId="10" fillId="14" borderId="14" xfId="1" applyFont="1" applyFill="1" applyBorder="1" applyAlignment="1" applyProtection="1">
      <alignment horizontal="center" vertical="center"/>
    </xf>
    <xf numFmtId="0" fontId="10" fillId="14" borderId="15" xfId="1" applyFont="1" applyFill="1" applyBorder="1" applyAlignment="1" applyProtection="1">
      <alignment horizontal="center" vertical="center"/>
    </xf>
    <xf numFmtId="0" fontId="10" fillId="14" borderId="19" xfId="1" applyFont="1" applyFill="1" applyBorder="1" applyAlignment="1" applyProtection="1">
      <alignment horizontal="center" vertical="center"/>
    </xf>
    <xf numFmtId="0" fontId="10" fillId="14" borderId="40" xfId="1" applyFont="1" applyFill="1" applyBorder="1" applyAlignment="1" applyProtection="1">
      <alignment horizontal="center" vertical="center"/>
    </xf>
    <xf numFmtId="0" fontId="10" fillId="6" borderId="47" xfId="1" applyFont="1" applyFill="1" applyBorder="1" applyAlignment="1" applyProtection="1">
      <alignment horizontal="center" vertical="center"/>
    </xf>
    <xf numFmtId="0" fontId="10" fillId="14" borderId="46" xfId="1" applyFont="1" applyFill="1" applyBorder="1" applyAlignment="1" applyProtection="1">
      <alignment horizontal="center" vertical="center"/>
    </xf>
    <xf numFmtId="0" fontId="14" fillId="17" borderId="0" xfId="1" applyFont="1" applyFill="1" applyBorder="1" applyAlignment="1" applyProtection="1">
      <alignment horizontal="left" vertical="justify" wrapText="1"/>
      <protection locked="0"/>
    </xf>
    <xf numFmtId="0" fontId="10" fillId="0" borderId="32" xfId="1" applyFont="1" applyFill="1" applyBorder="1" applyAlignment="1" applyProtection="1">
      <alignment horizontal="center" textRotation="90"/>
    </xf>
    <xf numFmtId="0" fontId="10" fillId="0" borderId="2" xfId="1" applyFont="1" applyFill="1" applyBorder="1" applyAlignment="1" applyProtection="1">
      <alignment horizontal="center" textRotation="90"/>
    </xf>
    <xf numFmtId="0" fontId="10" fillId="0" borderId="43" xfId="1" applyFont="1" applyFill="1" applyBorder="1" applyAlignment="1" applyProtection="1">
      <alignment horizontal="center" textRotation="90"/>
    </xf>
    <xf numFmtId="0" fontId="10" fillId="6" borderId="2" xfId="1" applyFont="1" applyFill="1" applyBorder="1" applyAlignment="1" applyProtection="1">
      <alignment horizontal="center" textRotation="90" wrapText="1"/>
    </xf>
    <xf numFmtId="0" fontId="6" fillId="0" borderId="2" xfId="0" applyFont="1" applyBorder="1" applyAlignment="1" applyProtection="1">
      <alignment horizontal="center" textRotation="90" wrapText="1"/>
    </xf>
    <xf numFmtId="0" fontId="6" fillId="0" borderId="43" xfId="0" applyFont="1" applyBorder="1" applyAlignment="1" applyProtection="1">
      <alignment horizontal="center" textRotation="90" wrapText="1"/>
    </xf>
    <xf numFmtId="0" fontId="10" fillId="6" borderId="32" xfId="1" applyFont="1" applyFill="1" applyBorder="1" applyAlignment="1" applyProtection="1">
      <alignment horizontal="center" wrapText="1"/>
    </xf>
    <xf numFmtId="0" fontId="6" fillId="0" borderId="3" xfId="0" applyFont="1" applyBorder="1" applyAlignment="1" applyProtection="1">
      <alignment wrapText="1"/>
    </xf>
    <xf numFmtId="0" fontId="10" fillId="14" borderId="27" xfId="1" applyFont="1" applyFill="1" applyBorder="1" applyAlignment="1" applyProtection="1">
      <alignment horizontal="center" vertical="center"/>
    </xf>
    <xf numFmtId="0" fontId="10" fillId="6" borderId="27" xfId="1" applyFont="1" applyFill="1" applyBorder="1" applyAlignment="1" applyProtection="1">
      <alignment horizontal="center" textRotation="90" wrapText="1"/>
    </xf>
    <xf numFmtId="0" fontId="10" fillId="6" borderId="19" xfId="1" applyFont="1" applyFill="1" applyBorder="1" applyAlignment="1" applyProtection="1">
      <alignment horizontal="center" textRotation="90" wrapText="1"/>
    </xf>
    <xf numFmtId="0" fontId="10" fillId="6" borderId="40" xfId="1" applyFont="1" applyFill="1" applyBorder="1" applyAlignment="1" applyProtection="1">
      <alignment horizontal="center" textRotation="90" wrapText="1"/>
    </xf>
    <xf numFmtId="0" fontId="10" fillId="6" borderId="32" xfId="1" applyFont="1" applyFill="1" applyBorder="1" applyAlignment="1" applyProtection="1">
      <alignment horizontal="center" vertical="center" wrapText="1"/>
    </xf>
    <xf numFmtId="0" fontId="10" fillId="6" borderId="29" xfId="1" applyFont="1" applyFill="1" applyBorder="1" applyAlignment="1" applyProtection="1">
      <alignment horizontal="center" vertical="center" wrapText="1"/>
    </xf>
    <xf numFmtId="0" fontId="10" fillId="6" borderId="1" xfId="31" applyFont="1" applyFill="1" applyBorder="1" applyAlignment="1" applyProtection="1">
      <alignment horizontal="center" textRotation="90" wrapText="1"/>
    </xf>
    <xf numFmtId="0" fontId="10" fillId="6" borderId="5" xfId="31" applyFont="1" applyFill="1" applyBorder="1" applyAlignment="1" applyProtection="1">
      <alignment horizontal="center" textRotation="90" wrapText="1"/>
    </xf>
    <xf numFmtId="0" fontId="10" fillId="16" borderId="38" xfId="1" applyFont="1" applyFill="1" applyBorder="1" applyAlignment="1" applyProtection="1">
      <alignment horizontal="center" vertical="center"/>
    </xf>
    <xf numFmtId="0" fontId="10" fillId="16" borderId="41" xfId="1" applyFont="1" applyFill="1" applyBorder="1" applyAlignment="1" applyProtection="1">
      <alignment horizontal="center" vertical="center"/>
    </xf>
    <xf numFmtId="0" fontId="10" fillId="16" borderId="55" xfId="1" applyFont="1" applyFill="1" applyBorder="1" applyAlignment="1" applyProtection="1">
      <alignment horizontal="center" vertical="center"/>
    </xf>
    <xf numFmtId="0" fontId="10" fillId="0" borderId="3" xfId="1" applyFont="1" applyFill="1" applyBorder="1" applyAlignment="1" applyProtection="1">
      <alignment horizontal="center" textRotation="90"/>
    </xf>
    <xf numFmtId="0" fontId="10" fillId="0" borderId="1" xfId="1" applyFont="1" applyFill="1" applyBorder="1" applyAlignment="1" applyProtection="1">
      <alignment horizontal="center" textRotation="90"/>
    </xf>
    <xf numFmtId="0" fontId="10" fillId="0" borderId="5" xfId="1" applyFont="1" applyFill="1" applyBorder="1" applyAlignment="1" applyProtection="1">
      <alignment horizontal="center" textRotation="90"/>
    </xf>
    <xf numFmtId="0" fontId="10" fillId="0" borderId="27" xfId="1" applyFont="1" applyFill="1" applyBorder="1" applyAlignment="1" applyProtection="1">
      <alignment horizontal="center" textRotation="90"/>
    </xf>
    <xf numFmtId="0" fontId="10" fillId="0" borderId="19" xfId="1" applyFont="1" applyFill="1" applyBorder="1" applyAlignment="1" applyProtection="1">
      <alignment horizontal="center" textRotation="90"/>
    </xf>
    <xf numFmtId="0" fontId="10" fillId="0" borderId="40" xfId="1" applyFont="1" applyFill="1" applyBorder="1" applyAlignment="1" applyProtection="1">
      <alignment horizontal="center" textRotation="90"/>
    </xf>
    <xf numFmtId="0" fontId="10" fillId="0" borderId="0" xfId="0" applyFont="1" applyAlignment="1" applyProtection="1">
      <protection locked="0"/>
    </xf>
    <xf numFmtId="0" fontId="10" fillId="6" borderId="1" xfId="1" applyFont="1" applyFill="1" applyBorder="1" applyAlignment="1" applyProtection="1">
      <alignment horizontal="center" textRotation="90" wrapText="1"/>
    </xf>
    <xf numFmtId="0" fontId="10" fillId="6" borderId="5" xfId="1" applyFont="1" applyFill="1" applyBorder="1" applyAlignment="1" applyProtection="1">
      <alignment horizontal="center" textRotation="90" wrapText="1"/>
    </xf>
    <xf numFmtId="0" fontId="10" fillId="17" borderId="3" xfId="1" applyFont="1" applyFill="1" applyBorder="1" applyAlignment="1" applyProtection="1">
      <alignment horizontal="center" textRotation="90"/>
    </xf>
    <xf numFmtId="0" fontId="10" fillId="17" borderId="1" xfId="1" applyFont="1" applyFill="1" applyBorder="1" applyAlignment="1" applyProtection="1">
      <alignment horizontal="center" textRotation="90"/>
    </xf>
    <xf numFmtId="0" fontId="10" fillId="17" borderId="5" xfId="1" applyFont="1" applyFill="1" applyBorder="1" applyAlignment="1" applyProtection="1">
      <alignment horizontal="center" textRotation="90"/>
    </xf>
    <xf numFmtId="0" fontId="10" fillId="6" borderId="1" xfId="1" applyFont="1" applyFill="1" applyBorder="1" applyAlignment="1" applyProtection="1">
      <alignment vertical="center" wrapText="1"/>
    </xf>
    <xf numFmtId="0" fontId="10" fillId="6" borderId="53" xfId="1" applyFont="1" applyFill="1" applyBorder="1" applyAlignment="1" applyProtection="1">
      <alignment horizontal="center" textRotation="90"/>
    </xf>
    <xf numFmtId="0" fontId="10" fillId="6" borderId="21" xfId="1" applyFont="1" applyFill="1" applyBorder="1" applyAlignment="1" applyProtection="1">
      <alignment horizontal="center" textRotation="90"/>
    </xf>
    <xf numFmtId="0" fontId="10" fillId="6" borderId="42" xfId="1" applyFont="1" applyFill="1" applyBorder="1" applyAlignment="1" applyProtection="1">
      <alignment horizontal="center" textRotation="90"/>
    </xf>
    <xf numFmtId="0" fontId="10" fillId="6" borderId="3" xfId="1" applyFont="1" applyFill="1" applyBorder="1" applyAlignment="1" applyProtection="1">
      <alignment horizontal="center" vertical="center" wrapText="1"/>
    </xf>
    <xf numFmtId="0" fontId="10" fillId="6" borderId="27" xfId="1" applyFont="1" applyFill="1" applyBorder="1" applyAlignment="1" applyProtection="1">
      <alignment horizontal="center" vertical="center" wrapText="1"/>
    </xf>
    <xf numFmtId="1" fontId="10" fillId="6" borderId="24" xfId="0" applyNumberFormat="1" applyFont="1" applyFill="1" applyBorder="1" applyAlignment="1" applyProtection="1">
      <alignment horizontal="center" vertical="center"/>
    </xf>
    <xf numFmtId="1" fontId="10" fillId="6" borderId="3" xfId="0" applyNumberFormat="1" applyFont="1" applyFill="1" applyBorder="1" applyAlignment="1" applyProtection="1">
      <alignment horizontal="center" vertical="center"/>
    </xf>
    <xf numFmtId="0" fontId="10" fillId="0" borderId="3" xfId="1" applyFont="1" applyFill="1" applyBorder="1" applyAlignment="1" applyProtection="1">
      <alignment horizontal="center" vertical="center" textRotation="90"/>
    </xf>
    <xf numFmtId="0" fontId="10" fillId="0" borderId="1" xfId="1" applyFont="1" applyFill="1" applyBorder="1" applyAlignment="1" applyProtection="1">
      <alignment horizontal="center" vertical="center" textRotation="90"/>
    </xf>
    <xf numFmtId="0" fontId="10" fillId="0" borderId="5" xfId="1" applyFont="1" applyFill="1" applyBorder="1" applyAlignment="1" applyProtection="1">
      <alignment horizontal="center" vertical="center" textRotation="90"/>
    </xf>
    <xf numFmtId="0" fontId="10" fillId="0" borderId="50" xfId="1" applyFont="1" applyFill="1" applyBorder="1" applyAlignment="1" applyProtection="1">
      <alignment horizontal="center" vertical="center" wrapText="1"/>
    </xf>
    <xf numFmtId="0" fontId="10" fillId="0" borderId="6" xfId="1" applyFont="1" applyFill="1" applyBorder="1" applyAlignment="1" applyProtection="1">
      <alignment horizontal="center" vertical="center" wrapText="1"/>
    </xf>
    <xf numFmtId="0" fontId="10" fillId="0" borderId="12" xfId="1" applyFont="1" applyFill="1" applyBorder="1" applyAlignment="1" applyProtection="1">
      <alignment horizontal="center" vertical="center" wrapText="1"/>
    </xf>
    <xf numFmtId="0" fontId="5" fillId="0" borderId="3" xfId="1" applyFont="1" applyFill="1" applyBorder="1" applyAlignment="1" applyProtection="1">
      <alignment horizontal="center" vertical="center" wrapText="1"/>
    </xf>
    <xf numFmtId="0" fontId="5" fillId="0" borderId="1" xfId="1" applyFont="1" applyFill="1" applyBorder="1" applyAlignment="1" applyProtection="1">
      <alignment horizontal="center" vertical="center" wrapText="1"/>
    </xf>
    <xf numFmtId="0" fontId="5" fillId="0" borderId="5" xfId="1" applyFont="1" applyFill="1" applyBorder="1" applyAlignment="1" applyProtection="1">
      <alignment horizontal="center" vertical="center" wrapText="1"/>
    </xf>
    <xf numFmtId="0" fontId="10" fillId="0" borderId="46" xfId="1" applyFont="1" applyFill="1" applyBorder="1" applyAlignment="1" applyProtection="1">
      <alignment horizontal="center" textRotation="90"/>
    </xf>
    <xf numFmtId="0" fontId="10" fillId="0" borderId="17" xfId="1" applyFont="1" applyFill="1" applyBorder="1" applyAlignment="1" applyProtection="1">
      <alignment horizontal="center" textRotation="90"/>
    </xf>
    <xf numFmtId="0" fontId="10" fillId="0" borderId="16" xfId="1" applyFont="1" applyFill="1" applyBorder="1" applyAlignment="1" applyProtection="1">
      <alignment horizontal="center" vertical="center"/>
    </xf>
    <xf numFmtId="0" fontId="10" fillId="0" borderId="14" xfId="1" applyFont="1" applyFill="1" applyBorder="1" applyAlignment="1" applyProtection="1">
      <alignment horizontal="center" vertical="center"/>
    </xf>
    <xf numFmtId="0" fontId="10" fillId="0" borderId="18" xfId="1" applyFont="1" applyFill="1" applyBorder="1" applyAlignment="1" applyProtection="1">
      <alignment horizontal="center" vertical="center"/>
    </xf>
    <xf numFmtId="0" fontId="10" fillId="0" borderId="1" xfId="1" applyFont="1" applyFill="1" applyBorder="1" applyAlignment="1" applyProtection="1">
      <alignment horizontal="center" vertical="center"/>
    </xf>
    <xf numFmtId="0" fontId="10" fillId="0" borderId="39" xfId="1" applyFont="1" applyFill="1" applyBorder="1" applyAlignment="1" applyProtection="1">
      <alignment horizontal="center" vertical="center"/>
    </xf>
    <xf numFmtId="0" fontId="10" fillId="0" borderId="5" xfId="1" applyFont="1" applyFill="1" applyBorder="1" applyAlignment="1" applyProtection="1">
      <alignment horizontal="center" vertical="center"/>
    </xf>
    <xf numFmtId="0" fontId="10" fillId="0" borderId="14" xfId="1" applyFont="1" applyFill="1" applyBorder="1" applyAlignment="1" applyProtection="1">
      <alignment horizontal="center" vertical="center" wrapText="1"/>
    </xf>
    <xf numFmtId="0" fontId="10" fillId="0" borderId="15" xfId="1" applyFont="1" applyFill="1" applyBorder="1" applyAlignment="1" applyProtection="1">
      <alignment horizontal="center" vertical="center" wrapText="1"/>
    </xf>
    <xf numFmtId="0" fontId="10" fillId="0" borderId="1" xfId="1" applyFont="1" applyFill="1" applyBorder="1" applyAlignment="1" applyProtection="1">
      <alignment horizontal="center" vertical="center" wrapText="1"/>
    </xf>
    <xf numFmtId="0" fontId="10" fillId="0" borderId="19" xfId="1" applyFont="1" applyFill="1" applyBorder="1" applyAlignment="1" applyProtection="1">
      <alignment horizontal="center" vertical="center" wrapText="1"/>
    </xf>
    <xf numFmtId="0" fontId="10" fillId="0" borderId="5" xfId="1" applyFont="1" applyFill="1" applyBorder="1" applyAlignment="1" applyProtection="1">
      <alignment horizontal="center" vertical="center" wrapText="1"/>
    </xf>
    <xf numFmtId="0" fontId="10" fillId="0" borderId="40" xfId="1" applyFont="1" applyFill="1" applyBorder="1" applyAlignment="1" applyProtection="1">
      <alignment horizontal="center" vertical="center" wrapText="1"/>
    </xf>
    <xf numFmtId="0" fontId="10" fillId="0" borderId="29" xfId="1" applyFont="1" applyFill="1" applyBorder="1" applyAlignment="1" applyProtection="1">
      <alignment horizontal="center" textRotation="90" wrapText="1"/>
    </xf>
    <xf numFmtId="0" fontId="10" fillId="0" borderId="17" xfId="1" applyFont="1" applyFill="1" applyBorder="1" applyAlignment="1" applyProtection="1">
      <alignment horizontal="center" textRotation="90" wrapText="1"/>
    </xf>
    <xf numFmtId="0" fontId="10" fillId="0" borderId="38" xfId="1" applyFont="1" applyFill="1" applyBorder="1" applyAlignment="1" applyProtection="1">
      <alignment horizontal="center" textRotation="90" wrapText="1"/>
    </xf>
    <xf numFmtId="0" fontId="10" fillId="14" borderId="62" xfId="1" applyFont="1" applyFill="1" applyBorder="1" applyAlignment="1" applyProtection="1">
      <alignment horizontal="center" vertical="center"/>
    </xf>
    <xf numFmtId="0" fontId="10" fillId="14" borderId="48" xfId="1" applyFont="1" applyFill="1" applyBorder="1" applyAlignment="1" applyProtection="1">
      <alignment horizontal="center" vertical="center"/>
    </xf>
    <xf numFmtId="0" fontId="10" fillId="14" borderId="51" xfId="1" applyFont="1" applyFill="1" applyBorder="1" applyAlignment="1" applyProtection="1">
      <alignment horizontal="center" vertical="center"/>
    </xf>
    <xf numFmtId="0" fontId="10" fillId="14" borderId="49" xfId="1" applyFont="1" applyFill="1" applyBorder="1" applyAlignment="1" applyProtection="1">
      <alignment horizontal="center" vertical="center"/>
    </xf>
    <xf numFmtId="0" fontId="10" fillId="6" borderId="1" xfId="1" applyFont="1" applyFill="1" applyBorder="1" applyAlignment="1" applyProtection="1">
      <alignment horizontal="center" vertical="center" wrapText="1"/>
    </xf>
    <xf numFmtId="0" fontId="10" fillId="6" borderId="19" xfId="1" applyFont="1" applyFill="1" applyBorder="1" applyAlignment="1" applyProtection="1">
      <alignment horizontal="center" vertical="center" wrapText="1"/>
    </xf>
    <xf numFmtId="0" fontId="10" fillId="14" borderId="52" xfId="1" applyFont="1" applyFill="1" applyBorder="1" applyAlignment="1" applyProtection="1">
      <alignment horizontal="center" vertical="center"/>
    </xf>
    <xf numFmtId="0" fontId="10" fillId="14" borderId="6" xfId="1" applyFont="1" applyFill="1" applyBorder="1" applyAlignment="1" applyProtection="1">
      <alignment horizontal="center" vertical="center"/>
    </xf>
    <xf numFmtId="0" fontId="10" fillId="14" borderId="6" xfId="1" applyFont="1" applyFill="1" applyBorder="1" applyProtection="1"/>
    <xf numFmtId="0" fontId="10" fillId="14" borderId="7" xfId="1" applyFont="1" applyFill="1" applyBorder="1" applyAlignment="1" applyProtection="1">
      <alignment horizontal="center" vertical="center"/>
    </xf>
    <xf numFmtId="0" fontId="10" fillId="14" borderId="49" xfId="1" applyFont="1" applyFill="1" applyBorder="1" applyAlignment="1" applyProtection="1">
      <alignment horizontal="center"/>
    </xf>
    <xf numFmtId="0" fontId="10" fillId="14" borderId="48" xfId="1" applyFont="1" applyFill="1" applyBorder="1" applyAlignment="1" applyProtection="1">
      <alignment horizontal="center"/>
    </xf>
    <xf numFmtId="0" fontId="10" fillId="14" borderId="52" xfId="1" applyFont="1" applyFill="1" applyBorder="1" applyAlignment="1" applyProtection="1">
      <alignment horizontal="center"/>
    </xf>
    <xf numFmtId="0" fontId="10" fillId="6" borderId="17" xfId="1" applyFont="1" applyFill="1" applyBorder="1" applyAlignment="1" applyProtection="1">
      <alignment horizontal="center" textRotation="90" wrapText="1"/>
    </xf>
    <xf numFmtId="0" fontId="10" fillId="6" borderId="38" xfId="1" applyFont="1" applyFill="1" applyBorder="1" applyAlignment="1" applyProtection="1">
      <alignment horizontal="center" textRotation="90" wrapText="1"/>
    </xf>
    <xf numFmtId="0" fontId="10" fillId="6" borderId="43" xfId="1" applyFont="1" applyFill="1" applyBorder="1" applyAlignment="1" applyProtection="1">
      <alignment horizontal="center" textRotation="90" wrapText="1"/>
    </xf>
    <xf numFmtId="0" fontId="10" fillId="6" borderId="23" xfId="1" applyFont="1" applyFill="1" applyBorder="1" applyAlignment="1" applyProtection="1">
      <alignment horizontal="center" textRotation="90" wrapText="1"/>
    </xf>
    <xf numFmtId="0" fontId="10" fillId="6" borderId="8" xfId="1" applyFont="1" applyFill="1" applyBorder="1" applyAlignment="1" applyProtection="1">
      <alignment horizontal="center" textRotation="90" wrapText="1"/>
    </xf>
    <xf numFmtId="0" fontId="10" fillId="6" borderId="11" xfId="1" applyFont="1" applyFill="1" applyBorder="1" applyAlignment="1" applyProtection="1">
      <alignment horizontal="center" textRotation="90" wrapText="1"/>
    </xf>
    <xf numFmtId="1" fontId="10" fillId="6" borderId="23" xfId="0" applyNumberFormat="1" applyFont="1" applyFill="1" applyBorder="1" applyAlignment="1" applyProtection="1">
      <alignment horizontal="center" vertical="center"/>
    </xf>
    <xf numFmtId="1" fontId="10" fillId="6" borderId="30" xfId="0" applyNumberFormat="1" applyFont="1" applyFill="1" applyBorder="1" applyAlignment="1" applyProtection="1">
      <alignment horizontal="center" vertical="center"/>
    </xf>
    <xf numFmtId="0" fontId="5" fillId="6" borderId="34" xfId="0" applyFont="1" applyFill="1" applyBorder="1" applyAlignment="1" applyProtection="1">
      <alignment horizontal="center" vertical="center"/>
    </xf>
    <xf numFmtId="0" fontId="5" fillId="6" borderId="9" xfId="0" applyFont="1" applyFill="1" applyBorder="1" applyAlignment="1" applyProtection="1">
      <alignment horizontal="center" vertical="center"/>
    </xf>
    <xf numFmtId="0" fontId="5" fillId="6" borderId="27" xfId="0" applyFont="1" applyFill="1" applyBorder="1" applyAlignment="1" applyProtection="1">
      <alignment horizontal="center" vertical="center"/>
    </xf>
    <xf numFmtId="0" fontId="10" fillId="6" borderId="45" xfId="0" applyFont="1" applyFill="1" applyBorder="1" applyAlignment="1" applyProtection="1">
      <alignment horizontal="center" vertical="center"/>
    </xf>
    <xf numFmtId="0" fontId="10" fillId="6" borderId="63" xfId="0" applyFont="1" applyFill="1" applyBorder="1" applyAlignment="1" applyProtection="1">
      <alignment horizontal="center" vertical="center"/>
    </xf>
    <xf numFmtId="0" fontId="10" fillId="6" borderId="33" xfId="0" applyFont="1" applyFill="1" applyBorder="1" applyAlignment="1" applyProtection="1">
      <alignment horizontal="center" vertical="center"/>
    </xf>
    <xf numFmtId="0" fontId="10" fillId="0" borderId="24"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wrapText="1"/>
    </xf>
    <xf numFmtId="0" fontId="10" fillId="17" borderId="24" xfId="0" applyFont="1" applyFill="1" applyBorder="1" applyAlignment="1" applyProtection="1">
      <alignment horizontal="center" vertical="center" wrapText="1"/>
    </xf>
    <xf numFmtId="0" fontId="10" fillId="17" borderId="3" xfId="0" applyFont="1" applyFill="1" applyBorder="1" applyAlignment="1" applyProtection="1">
      <alignment horizontal="center" vertical="center" wrapText="1"/>
    </xf>
    <xf numFmtId="0" fontId="10" fillId="12" borderId="24" xfId="0" applyFont="1" applyFill="1" applyBorder="1" applyAlignment="1" applyProtection="1">
      <alignment horizontal="center" vertical="center"/>
    </xf>
    <xf numFmtId="0" fontId="10" fillId="0" borderId="23" xfId="0" applyFont="1" applyFill="1" applyBorder="1" applyAlignment="1" applyProtection="1">
      <alignment horizontal="center" vertical="center" wrapText="1"/>
    </xf>
    <xf numFmtId="0" fontId="10" fillId="0" borderId="30" xfId="0" applyFont="1" applyFill="1" applyBorder="1" applyAlignment="1" applyProtection="1">
      <alignment horizontal="center" vertical="center" wrapText="1"/>
    </xf>
    <xf numFmtId="0" fontId="10" fillId="2" borderId="29" xfId="1" applyFont="1" applyFill="1" applyBorder="1" applyAlignment="1" applyProtection="1">
      <alignment horizontal="center" vertical="center"/>
    </xf>
    <xf numFmtId="164" fontId="10" fillId="0" borderId="24" xfId="0" applyNumberFormat="1" applyFont="1" applyBorder="1" applyAlignment="1" applyProtection="1">
      <alignment horizontal="center" vertical="center"/>
    </xf>
    <xf numFmtId="164" fontId="10" fillId="0" borderId="6" xfId="0" applyNumberFormat="1" applyFont="1" applyBorder="1" applyAlignment="1" applyProtection="1">
      <alignment horizontal="center" vertical="center"/>
    </xf>
    <xf numFmtId="1" fontId="10" fillId="0" borderId="34" xfId="0" applyNumberFormat="1" applyFont="1" applyFill="1" applyBorder="1" applyAlignment="1" applyProtection="1">
      <alignment horizontal="center" vertical="center"/>
    </xf>
    <xf numFmtId="1" fontId="10" fillId="0" borderId="9" xfId="0" applyNumberFormat="1" applyFont="1" applyFill="1" applyBorder="1" applyAlignment="1" applyProtection="1">
      <alignment horizontal="center" vertical="center"/>
    </xf>
    <xf numFmtId="164" fontId="10" fillId="0" borderId="24" xfId="0" applyNumberFormat="1" applyFont="1" applyFill="1" applyBorder="1" applyAlignment="1" applyProtection="1">
      <alignment horizontal="center" vertical="center"/>
    </xf>
    <xf numFmtId="164" fontId="10" fillId="0" borderId="6" xfId="0" applyNumberFormat="1" applyFont="1" applyFill="1" applyBorder="1" applyAlignment="1" applyProtection="1">
      <alignment horizontal="center" vertical="center"/>
    </xf>
    <xf numFmtId="164" fontId="10" fillId="0" borderId="3" xfId="0" applyNumberFormat="1" applyFont="1" applyFill="1" applyBorder="1" applyAlignment="1" applyProtection="1">
      <alignment horizontal="center" vertical="center"/>
    </xf>
    <xf numFmtId="0" fontId="10" fillId="2" borderId="14" xfId="1" applyFont="1" applyFill="1" applyBorder="1" applyAlignment="1" applyProtection="1">
      <alignment horizontal="center" vertical="center" textRotation="90" wrapText="1"/>
    </xf>
    <xf numFmtId="0" fontId="10" fillId="2" borderId="1" xfId="1" applyFont="1" applyFill="1" applyBorder="1" applyAlignment="1" applyProtection="1">
      <alignment horizontal="center" vertical="center" textRotation="90" wrapText="1"/>
    </xf>
    <xf numFmtId="0" fontId="10" fillId="2" borderId="5" xfId="1" applyFont="1" applyFill="1" applyBorder="1" applyAlignment="1" applyProtection="1">
      <alignment horizontal="center" vertical="center" textRotation="90" wrapText="1"/>
    </xf>
    <xf numFmtId="0" fontId="10" fillId="2" borderId="30" xfId="1" applyFont="1" applyFill="1" applyBorder="1" applyAlignment="1" applyProtection="1">
      <alignment horizontal="center" vertical="center" wrapText="1"/>
    </xf>
    <xf numFmtId="0" fontId="10" fillId="2" borderId="18" xfId="1" applyFont="1" applyFill="1" applyBorder="1" applyAlignment="1" applyProtection="1">
      <alignment horizontal="center" vertical="center"/>
    </xf>
    <xf numFmtId="0" fontId="10" fillId="2" borderId="39" xfId="1" applyFont="1" applyFill="1" applyBorder="1" applyAlignment="1" applyProtection="1">
      <alignment horizontal="center" vertical="center"/>
    </xf>
    <xf numFmtId="0" fontId="10" fillId="2" borderId="27" xfId="1" applyFont="1" applyFill="1" applyBorder="1" applyAlignment="1" applyProtection="1">
      <alignment horizontal="center" vertical="center"/>
    </xf>
    <xf numFmtId="0" fontId="10" fillId="0" borderId="26" xfId="0" applyFont="1" applyFill="1" applyBorder="1" applyAlignment="1" applyProtection="1">
      <alignment horizontal="center" vertical="center"/>
    </xf>
    <xf numFmtId="0" fontId="10" fillId="0" borderId="7" xfId="0" applyFont="1" applyFill="1" applyBorder="1" applyAlignment="1" applyProtection="1">
      <alignment horizontal="center" vertical="center"/>
    </xf>
    <xf numFmtId="0" fontId="10" fillId="0" borderId="29" xfId="0" applyFont="1" applyFill="1" applyBorder="1" applyAlignment="1" applyProtection="1">
      <alignment horizontal="center" vertical="center"/>
    </xf>
    <xf numFmtId="0" fontId="10" fillId="6" borderId="34" xfId="0" applyFont="1" applyFill="1" applyBorder="1" applyAlignment="1" applyProtection="1">
      <alignment horizontal="center" vertical="center"/>
    </xf>
    <xf numFmtId="0" fontId="10" fillId="6" borderId="9" xfId="0" applyFont="1" applyFill="1" applyBorder="1" applyAlignment="1" applyProtection="1">
      <alignment horizontal="center" vertical="center"/>
    </xf>
    <xf numFmtId="0" fontId="10" fillId="6" borderId="27" xfId="0" applyFont="1" applyFill="1" applyBorder="1" applyAlignment="1" applyProtection="1">
      <alignment horizontal="center" vertical="center"/>
    </xf>
    <xf numFmtId="0" fontId="10" fillId="14" borderId="25" xfId="0" applyFont="1" applyFill="1" applyBorder="1" applyAlignment="1" applyProtection="1">
      <alignment horizontal="center" vertical="center"/>
    </xf>
    <xf numFmtId="0" fontId="10" fillId="14" borderId="10" xfId="0" applyFont="1" applyFill="1" applyBorder="1" applyAlignment="1" applyProtection="1">
      <alignment horizontal="center" vertical="center"/>
    </xf>
    <xf numFmtId="0" fontId="10" fillId="14" borderId="32" xfId="0" applyFont="1" applyFill="1" applyBorder="1" applyAlignment="1" applyProtection="1">
      <alignment horizontal="center" vertical="center"/>
    </xf>
    <xf numFmtId="0" fontId="10" fillId="6" borderId="25" xfId="0" applyFont="1" applyFill="1" applyBorder="1" applyAlignment="1" applyProtection="1">
      <alignment horizontal="center" vertical="center"/>
    </xf>
    <xf numFmtId="0" fontId="10" fillId="6" borderId="10" xfId="0" applyFont="1" applyFill="1" applyBorder="1" applyAlignment="1" applyProtection="1">
      <alignment horizontal="center" vertical="center"/>
    </xf>
    <xf numFmtId="0" fontId="10" fillId="6" borderId="32" xfId="0" applyFont="1" applyFill="1" applyBorder="1" applyAlignment="1" applyProtection="1">
      <alignment horizontal="center" vertical="center"/>
    </xf>
    <xf numFmtId="0" fontId="10" fillId="0" borderId="9" xfId="0" applyFont="1" applyFill="1" applyBorder="1" applyAlignment="1" applyProtection="1">
      <alignment horizontal="center" vertical="center"/>
    </xf>
    <xf numFmtId="0" fontId="10" fillId="0" borderId="27" xfId="0" applyFont="1" applyFill="1" applyBorder="1" applyAlignment="1" applyProtection="1">
      <alignment horizontal="center" vertical="center"/>
    </xf>
    <xf numFmtId="0" fontId="10" fillId="0" borderId="25" xfId="0" applyFont="1" applyFill="1" applyBorder="1" applyAlignment="1" applyProtection="1">
      <alignment horizontal="center" vertical="center"/>
    </xf>
    <xf numFmtId="0" fontId="10" fillId="0" borderId="10" xfId="0" applyFont="1" applyFill="1" applyBorder="1" applyAlignment="1" applyProtection="1">
      <alignment horizontal="center" vertical="center"/>
    </xf>
    <xf numFmtId="0" fontId="10" fillId="0" borderId="32" xfId="0" applyFont="1" applyFill="1" applyBorder="1" applyAlignment="1" applyProtection="1">
      <alignment horizontal="center" vertical="center"/>
    </xf>
    <xf numFmtId="0" fontId="5" fillId="6" borderId="36"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28" xfId="0" applyFont="1" applyFill="1" applyBorder="1" applyAlignment="1" applyProtection="1">
      <alignment horizontal="center" vertical="center"/>
    </xf>
    <xf numFmtId="0" fontId="10" fillId="12" borderId="24" xfId="0" applyFont="1" applyFill="1" applyBorder="1" applyAlignment="1" applyProtection="1">
      <alignment horizontal="center" vertical="center"/>
      <protection locked="0"/>
    </xf>
    <xf numFmtId="0" fontId="10" fillId="12" borderId="3" xfId="0" applyFont="1" applyFill="1" applyBorder="1" applyAlignment="1" applyProtection="1">
      <alignment horizontal="center" vertical="center"/>
      <protection locked="0"/>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2" fontId="5" fillId="6" borderId="23" xfId="0" quotePrefix="1" applyNumberFormat="1" applyFont="1" applyFill="1" applyBorder="1" applyAlignment="1" applyProtection="1">
      <alignment horizontal="center" vertical="center"/>
    </xf>
    <xf numFmtId="2" fontId="5" fillId="6" borderId="30" xfId="0" quotePrefix="1" applyNumberFormat="1" applyFont="1" applyFill="1" applyBorder="1" applyAlignment="1" applyProtection="1">
      <alignment horizontal="center" vertical="center"/>
    </xf>
    <xf numFmtId="2" fontId="5" fillId="6" borderId="34" xfId="0" quotePrefix="1" applyNumberFormat="1" applyFont="1" applyFill="1" applyBorder="1" applyAlignment="1" applyProtection="1">
      <alignment horizontal="center" vertical="center"/>
    </xf>
    <xf numFmtId="2" fontId="5" fillId="6" borderId="27" xfId="0" quotePrefix="1" applyNumberFormat="1" applyFont="1" applyFill="1" applyBorder="1" applyAlignment="1" applyProtection="1">
      <alignment horizontal="center" vertical="center"/>
    </xf>
    <xf numFmtId="49" fontId="5" fillId="0" borderId="0" xfId="0" applyNumberFormat="1" applyFont="1" applyFill="1" applyAlignment="1" applyProtection="1">
      <alignment horizontal="left" vertical="center" wrapText="1"/>
    </xf>
    <xf numFmtId="0" fontId="10" fillId="2" borderId="23" xfId="0" applyFont="1" applyFill="1" applyBorder="1" applyAlignment="1" applyProtection="1">
      <alignment horizontal="center" vertical="center"/>
    </xf>
    <xf numFmtId="0" fontId="10" fillId="2" borderId="8" xfId="0" applyFont="1" applyFill="1" applyBorder="1" applyAlignment="1" applyProtection="1">
      <alignment horizontal="center" vertical="center"/>
    </xf>
    <xf numFmtId="0" fontId="10" fillId="2" borderId="30" xfId="0" applyFont="1" applyFill="1" applyBorder="1" applyAlignment="1" applyProtection="1">
      <alignment horizontal="center" vertical="center"/>
    </xf>
    <xf numFmtId="0" fontId="10" fillId="14" borderId="61" xfId="1" applyFont="1" applyFill="1" applyBorder="1" applyAlignment="1" applyProtection="1">
      <alignment horizontal="center"/>
    </xf>
    <xf numFmtId="0" fontId="10" fillId="14" borderId="59" xfId="1" applyFont="1" applyFill="1" applyBorder="1" applyAlignment="1" applyProtection="1">
      <alignment horizontal="center"/>
    </xf>
    <xf numFmtId="0" fontId="10" fillId="14" borderId="60" xfId="1" applyFont="1" applyFill="1" applyBorder="1" applyAlignment="1" applyProtection="1">
      <alignment horizontal="center"/>
    </xf>
    <xf numFmtId="0" fontId="8" fillId="0" borderId="1" xfId="0" applyFont="1" applyFill="1" applyBorder="1" applyAlignment="1" applyProtection="1">
      <alignment horizontal="center" vertical="center" wrapText="1"/>
      <protection locked="0"/>
    </xf>
    <xf numFmtId="0" fontId="8" fillId="0" borderId="2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115">
    <cellStyle name="Обычный" xfId="0" builtinId="0"/>
    <cellStyle name="Обычный 10" xfId="1" xr:uid="{00000000-0005-0000-0000-000001000000}"/>
    <cellStyle name="Обычный 11" xfId="2" xr:uid="{00000000-0005-0000-0000-000002000000}"/>
    <cellStyle name="Обычный 11 2" xfId="3" xr:uid="{00000000-0005-0000-0000-000003000000}"/>
    <cellStyle name="Обычный 11 2 2" xfId="4" xr:uid="{00000000-0005-0000-0000-000004000000}"/>
    <cellStyle name="Обычный 11 2 2 2" xfId="5" xr:uid="{00000000-0005-0000-0000-000005000000}"/>
    <cellStyle name="Обычный 11 2 2_УП_ОПОП_бакалавриата_ОГНП_ПиИ_ФТМИ_проект 2019" xfId="6" xr:uid="{00000000-0005-0000-0000-000006000000}"/>
    <cellStyle name="Обычный 11 2 3" xfId="7" xr:uid="{00000000-0005-0000-0000-000007000000}"/>
    <cellStyle name="Обычный 11 2_УП_ОПОП_бакалавриата_ОГНП_ПиИ_ФТМИ_проект 2019" xfId="8" xr:uid="{00000000-0005-0000-0000-000008000000}"/>
    <cellStyle name="Обычный 11 3" xfId="9" xr:uid="{00000000-0005-0000-0000-000009000000}"/>
    <cellStyle name="Обычный 11 3 2" xfId="10" xr:uid="{00000000-0005-0000-0000-00000A000000}"/>
    <cellStyle name="Обычный 11 3_УП_ОПОП_бакалавриата_ОГНП_ПиИ_ФТМИ_проект 2019" xfId="11" xr:uid="{00000000-0005-0000-0000-00000B000000}"/>
    <cellStyle name="Обычный 11 4" xfId="12" xr:uid="{00000000-0005-0000-0000-00000C000000}"/>
    <cellStyle name="Обычный 11_УП_ОПОП_бакалавриата_ОГНП_ПиИ_ФТМИ_проект 2019" xfId="13" xr:uid="{00000000-0005-0000-0000-00000D000000}"/>
    <cellStyle name="Обычный 12" xfId="14" xr:uid="{00000000-0005-0000-0000-00000E000000}"/>
    <cellStyle name="Обычный 13" xfId="15" xr:uid="{00000000-0005-0000-0000-00000F000000}"/>
    <cellStyle name="Обычный 14" xfId="16" xr:uid="{00000000-0005-0000-0000-000010000000}"/>
    <cellStyle name="Обычный 14 2" xfId="17" xr:uid="{00000000-0005-0000-0000-000011000000}"/>
    <cellStyle name="Обычный 14 2 2" xfId="18" xr:uid="{00000000-0005-0000-0000-000012000000}"/>
    <cellStyle name="Обычный 14 2_УП_ОПОП_бакалавриата_ОГНП_ПиИ_ФТМИ_проект 2019" xfId="19" xr:uid="{00000000-0005-0000-0000-000013000000}"/>
    <cellStyle name="Обычный 14 3" xfId="20" xr:uid="{00000000-0005-0000-0000-000014000000}"/>
    <cellStyle name="Обычный 14_УП_ОПОП_бакалавриата_ОГНП_ПиИ_ФТМИ_проект 2019" xfId="21" xr:uid="{00000000-0005-0000-0000-000015000000}"/>
    <cellStyle name="Обычный 15" xfId="22" xr:uid="{00000000-0005-0000-0000-000016000000}"/>
    <cellStyle name="Обычный 16" xfId="23" xr:uid="{00000000-0005-0000-0000-000017000000}"/>
    <cellStyle name="Обычный 16 2" xfId="24" xr:uid="{00000000-0005-0000-0000-000018000000}"/>
    <cellStyle name="Обычный 16_УП_ОПОП_бакалавриата_ОГНП_ПиИ_ФТМИ_проект 2019" xfId="25" xr:uid="{00000000-0005-0000-0000-000019000000}"/>
    <cellStyle name="Обычный 17" xfId="26" xr:uid="{00000000-0005-0000-0000-00001A000000}"/>
    <cellStyle name="Обычный 18" xfId="27" xr:uid="{00000000-0005-0000-0000-00001B000000}"/>
    <cellStyle name="Обычный 19" xfId="28" xr:uid="{00000000-0005-0000-0000-00001C000000}"/>
    <cellStyle name="Обычный 2" xfId="29" xr:uid="{00000000-0005-0000-0000-00001D000000}"/>
    <cellStyle name="Обычный 2 2" xfId="30" xr:uid="{00000000-0005-0000-0000-00001E000000}"/>
    <cellStyle name="Обычный 22" xfId="31" xr:uid="{00000000-0005-0000-0000-00001F000000}"/>
    <cellStyle name="Обычный 3" xfId="32" xr:uid="{00000000-0005-0000-0000-000020000000}"/>
    <cellStyle name="Обычный 4" xfId="33" xr:uid="{00000000-0005-0000-0000-000021000000}"/>
    <cellStyle name="Обычный 5" xfId="34" xr:uid="{00000000-0005-0000-0000-000022000000}"/>
    <cellStyle name="Обычный 6" xfId="35" xr:uid="{00000000-0005-0000-0000-000023000000}"/>
    <cellStyle name="Обычный 7" xfId="36" xr:uid="{00000000-0005-0000-0000-000024000000}"/>
    <cellStyle name="Обычный 7 2" xfId="37" xr:uid="{00000000-0005-0000-0000-000025000000}"/>
    <cellStyle name="Обычный 7 2 2" xfId="38" xr:uid="{00000000-0005-0000-0000-000026000000}"/>
    <cellStyle name="Обычный 7 2 2 2" xfId="39" xr:uid="{00000000-0005-0000-0000-000027000000}"/>
    <cellStyle name="Обычный 7 2 2 2 2" xfId="40" xr:uid="{00000000-0005-0000-0000-000028000000}"/>
    <cellStyle name="Обычный 7 2 2 2 2 2" xfId="41" xr:uid="{00000000-0005-0000-0000-000029000000}"/>
    <cellStyle name="Обычный 7 2 2 2 2_УП_ОПОП_бакалавриата_ОГНП_ПиИ_ФТМИ_проект 2019" xfId="42" xr:uid="{00000000-0005-0000-0000-00002A000000}"/>
    <cellStyle name="Обычный 7 2 2 2 3" xfId="43" xr:uid="{00000000-0005-0000-0000-00002B000000}"/>
    <cellStyle name="Обычный 7 2 2 2_УП_ОПОП_бакалавриата_ОГНП_ПиИ_ФТМИ_проект 2019" xfId="44" xr:uid="{00000000-0005-0000-0000-00002C000000}"/>
    <cellStyle name="Обычный 7 2 2 3" xfId="45" xr:uid="{00000000-0005-0000-0000-00002D000000}"/>
    <cellStyle name="Обычный 7 2 2 3 2" xfId="46" xr:uid="{00000000-0005-0000-0000-00002E000000}"/>
    <cellStyle name="Обычный 7 2 2 3_УП_ОПОП_бакалавриата_ОГНП_ПиИ_ФТМИ_проект 2019" xfId="47" xr:uid="{00000000-0005-0000-0000-00002F000000}"/>
    <cellStyle name="Обычный 7 2 2 4" xfId="48" xr:uid="{00000000-0005-0000-0000-000030000000}"/>
    <cellStyle name="Обычный 7 2 2_УП_ОПОП_бакалавриата_ОГНП_ПиИ_ФТМИ_проект 2019" xfId="49" xr:uid="{00000000-0005-0000-0000-000031000000}"/>
    <cellStyle name="Обычный 7 2 3" xfId="50" xr:uid="{00000000-0005-0000-0000-000032000000}"/>
    <cellStyle name="Обычный 7 2 3 2" xfId="51" xr:uid="{00000000-0005-0000-0000-000033000000}"/>
    <cellStyle name="Обычный 7 2 3 2 2" xfId="52" xr:uid="{00000000-0005-0000-0000-000034000000}"/>
    <cellStyle name="Обычный 7 2 3 2_УП_ОПОП_бакалавриата_ОГНП_ПиИ_ФТМИ_проект 2019" xfId="53" xr:uid="{00000000-0005-0000-0000-000035000000}"/>
    <cellStyle name="Обычный 7 2 3 3" xfId="54" xr:uid="{00000000-0005-0000-0000-000036000000}"/>
    <cellStyle name="Обычный 7 2 3_УП_ОПОП_бакалавриата_ОГНП_ПиИ_ФТМИ_проект 2019" xfId="55" xr:uid="{00000000-0005-0000-0000-000037000000}"/>
    <cellStyle name="Обычный 7 2 4" xfId="56" xr:uid="{00000000-0005-0000-0000-000038000000}"/>
    <cellStyle name="Обычный 7 2 4 2" xfId="57" xr:uid="{00000000-0005-0000-0000-000039000000}"/>
    <cellStyle name="Обычный 7 2 4_УП_ОПОП_бакалавриата_ОГНП_ПиИ_ФТМИ_проект 2019" xfId="58" xr:uid="{00000000-0005-0000-0000-00003A000000}"/>
    <cellStyle name="Обычный 7 2 5" xfId="59" xr:uid="{00000000-0005-0000-0000-00003B000000}"/>
    <cellStyle name="Обычный 7 2_УП_ОПОП_бакалавриата_ОГНП_ПиИ_ФТМИ_проект 2019" xfId="60" xr:uid="{00000000-0005-0000-0000-00003C000000}"/>
    <cellStyle name="Обычный 7 3" xfId="61" xr:uid="{00000000-0005-0000-0000-00003D000000}"/>
    <cellStyle name="Обычный 7 3 2" xfId="62" xr:uid="{00000000-0005-0000-0000-00003E000000}"/>
    <cellStyle name="Обычный 7 3 2 2" xfId="63" xr:uid="{00000000-0005-0000-0000-00003F000000}"/>
    <cellStyle name="Обычный 7 3 2 2 2" xfId="64" xr:uid="{00000000-0005-0000-0000-000040000000}"/>
    <cellStyle name="Обычный 7 3 2 2_УП_ОПОП_бакалавриата_ОГНП_ПиИ_ФТМИ_проект 2019" xfId="65" xr:uid="{00000000-0005-0000-0000-000041000000}"/>
    <cellStyle name="Обычный 7 3 2 3" xfId="66" xr:uid="{00000000-0005-0000-0000-000042000000}"/>
    <cellStyle name="Обычный 7 3 2_УП_ОПОП_бакалавриата_ОГНП_ПиИ_ФТМИ_проект 2019" xfId="67" xr:uid="{00000000-0005-0000-0000-000043000000}"/>
    <cellStyle name="Обычный 7 3 3" xfId="68" xr:uid="{00000000-0005-0000-0000-000044000000}"/>
    <cellStyle name="Обычный 7 3 3 2" xfId="69" xr:uid="{00000000-0005-0000-0000-000045000000}"/>
    <cellStyle name="Обычный 7 3 3_УП_ОПОП_бакалавриата_ОГНП_ПиИ_ФТМИ_проект 2019" xfId="70" xr:uid="{00000000-0005-0000-0000-000046000000}"/>
    <cellStyle name="Обычный 7 3 4" xfId="71" xr:uid="{00000000-0005-0000-0000-000047000000}"/>
    <cellStyle name="Обычный 7 3_УП_ОПОП_бакалавриата_ОГНП_ПиИ_ФТМИ_проект 2019" xfId="72" xr:uid="{00000000-0005-0000-0000-000048000000}"/>
    <cellStyle name="Обычный 7 4" xfId="73" xr:uid="{00000000-0005-0000-0000-000049000000}"/>
    <cellStyle name="Обычный 7 4 2" xfId="74" xr:uid="{00000000-0005-0000-0000-00004A000000}"/>
    <cellStyle name="Обычный 7 4 2 2" xfId="75" xr:uid="{00000000-0005-0000-0000-00004B000000}"/>
    <cellStyle name="Обычный 7 4 2_УП_ОПОП_бакалавриата_ОГНП_ПиИ_ФТМИ_проект 2019" xfId="76" xr:uid="{00000000-0005-0000-0000-00004C000000}"/>
    <cellStyle name="Обычный 7 4 3" xfId="77" xr:uid="{00000000-0005-0000-0000-00004D000000}"/>
    <cellStyle name="Обычный 7 4_УП_ОПОП_бакалавриата_ОГНП_ПиИ_ФТМИ_проект 2019" xfId="78" xr:uid="{00000000-0005-0000-0000-00004E000000}"/>
    <cellStyle name="Обычный 7 5" xfId="79" xr:uid="{00000000-0005-0000-0000-00004F000000}"/>
    <cellStyle name="Обычный 7 5 2" xfId="80" xr:uid="{00000000-0005-0000-0000-000050000000}"/>
    <cellStyle name="Обычный 7 5_УП_ОПОП_бакалавриата_ОГНП_ПиИ_ФТМИ_проект 2019" xfId="81" xr:uid="{00000000-0005-0000-0000-000051000000}"/>
    <cellStyle name="Обычный 7 6" xfId="82" xr:uid="{00000000-0005-0000-0000-000052000000}"/>
    <cellStyle name="Обычный 7_УП_ОПОП_бакалавриата_ОГНП_ПиИ_ФТМИ_проект 2019" xfId="83" xr:uid="{00000000-0005-0000-0000-000053000000}"/>
    <cellStyle name="Обычный 8" xfId="84" xr:uid="{00000000-0005-0000-0000-000054000000}"/>
    <cellStyle name="Обычный 9" xfId="85" xr:uid="{00000000-0005-0000-0000-000055000000}"/>
    <cellStyle name="Обычный 9 2" xfId="86" xr:uid="{00000000-0005-0000-0000-000056000000}"/>
    <cellStyle name="Обычный 9 2 2" xfId="87" xr:uid="{00000000-0005-0000-0000-000057000000}"/>
    <cellStyle name="Обычный 9 2 2 2" xfId="88" xr:uid="{00000000-0005-0000-0000-000058000000}"/>
    <cellStyle name="Обычный 9 2 2 2 2" xfId="89" xr:uid="{00000000-0005-0000-0000-000059000000}"/>
    <cellStyle name="Обычный 9 2 2 2_УП_ОПОП_бакалавриата_ОГНП_ПиИ_ФТМИ_проект 2019" xfId="90" xr:uid="{00000000-0005-0000-0000-00005A000000}"/>
    <cellStyle name="Обычный 9 2 2 3" xfId="91" xr:uid="{00000000-0005-0000-0000-00005B000000}"/>
    <cellStyle name="Обычный 9 2 2_УП_ОПОП_бакалавриата_ОГНП_ПиИ_ФТМИ_проект 2019" xfId="92" xr:uid="{00000000-0005-0000-0000-00005C000000}"/>
    <cellStyle name="Обычный 9 2 3" xfId="93" xr:uid="{00000000-0005-0000-0000-00005D000000}"/>
    <cellStyle name="Обычный 9 2 3 2" xfId="94" xr:uid="{00000000-0005-0000-0000-00005E000000}"/>
    <cellStyle name="Обычный 9 2 3_УП_ОПОП_бакалавриата_ОГНП_ПиИ_ФТМИ_проект 2019" xfId="95" xr:uid="{00000000-0005-0000-0000-00005F000000}"/>
    <cellStyle name="Обычный 9 2 4" xfId="96" xr:uid="{00000000-0005-0000-0000-000060000000}"/>
    <cellStyle name="Обычный 9 2_УП_ОПОП_бакалавриата_ОГНП_ПиИ_ФТМИ_проект 2019" xfId="97" xr:uid="{00000000-0005-0000-0000-000061000000}"/>
    <cellStyle name="Обычный 9 3" xfId="98" xr:uid="{00000000-0005-0000-0000-000062000000}"/>
    <cellStyle name="Обычный 9 3 2" xfId="99" xr:uid="{00000000-0005-0000-0000-000063000000}"/>
    <cellStyle name="Обычный 9 3 2 2" xfId="100" xr:uid="{00000000-0005-0000-0000-000064000000}"/>
    <cellStyle name="Обычный 9 3 2_УП_ОПОП_бакалавриата_ОГНП_ПиИ_ФТМИ_проект 2019" xfId="101" xr:uid="{00000000-0005-0000-0000-000065000000}"/>
    <cellStyle name="Обычный 9 3 3" xfId="102" xr:uid="{00000000-0005-0000-0000-000066000000}"/>
    <cellStyle name="Обычный 9 3_УП_ОПОП_бакалавриата_ОГНП_ПиИ_ФТМИ_проект 2019" xfId="103" xr:uid="{00000000-0005-0000-0000-000067000000}"/>
    <cellStyle name="Обычный 9 4" xfId="104" xr:uid="{00000000-0005-0000-0000-000068000000}"/>
    <cellStyle name="Обычный 9 4 2" xfId="105" xr:uid="{00000000-0005-0000-0000-000069000000}"/>
    <cellStyle name="Обычный 9 4_УП_ОПОП_бакалавриата_ОГНП_ПиИ_ФТМИ_проект 2019" xfId="106" xr:uid="{00000000-0005-0000-0000-00006A000000}"/>
    <cellStyle name="Обычный 9 5" xfId="107" xr:uid="{00000000-0005-0000-0000-00006B000000}"/>
    <cellStyle name="Обычный 9_УП_ОПОП_бакалавриата_ОГНП_ПиИ_ФТМИ_проект 2019" xfId="108" xr:uid="{00000000-0005-0000-0000-00006C000000}"/>
    <cellStyle name="Процентный 2" xfId="109" xr:uid="{00000000-0005-0000-0000-00006D000000}"/>
    <cellStyle name="Процентный 3" xfId="110" xr:uid="{00000000-0005-0000-0000-00006E000000}"/>
    <cellStyle name="Процентный 4" xfId="111" xr:uid="{00000000-0005-0000-0000-00006F000000}"/>
    <cellStyle name="Процентный 5" xfId="112" xr:uid="{00000000-0005-0000-0000-000070000000}"/>
    <cellStyle name="Процентный 6" xfId="113" xr:uid="{00000000-0005-0000-0000-000071000000}"/>
    <cellStyle name="Процентный 7" xfId="114" xr:uid="{00000000-0005-0000-0000-000072000000}"/>
  </cellStyles>
  <dxfs count="71">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9;&#1052;&#1059;/&#1058;&#1072;&#1085;&#1103;/&#1052;&#1054;&#1044;&#1059;&#1051;&#1068;&#1053;&#1067;&#1049;%20&#1087;&#1083;&#1072;&#1085;%20&#1059;&#1055;%20&#1085;&#1072;%20&#1089;&#1077;&#1084;&#1077;&#1089;&#1090;&#1088;%20(&#1073;&#1072;&#1082;&#1072;&#1083;&#1072;&#1074;&#108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52;&#1054;&#1044;&#1059;&#1051;&#1068;&#1053;&#1067;&#1049;%20&#1087;&#1083;&#1072;&#1085;%20&#1059;&#1055;%20&#1085;&#1072;%20&#1089;&#1077;&#1084;&#1077;&#1089;&#1090;&#1088;%20(&#1073;&#1072;&#1082;&#1072;&#1083;&#1072;&#1074;&#108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rigoreva.ya/Application%20Data/Microsoft/Excel/&#1052;&#1054;&#1044;&#1059;&#1051;&#1068;&#1053;&#1067;&#1049;%20&#1087;&#1083;&#1072;&#1085;%20&#1059;&#1055;%20&#1085;&#1072;%20&#1089;&#1077;&#1084;&#1077;&#1089;&#1090;&#1088;%20(&#1073;&#1072;&#1082;&#1072;&#1083;&#1072;&#1074;&#1088;)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фильтр"/>
      <sheetName val="Нагр_БАК"/>
      <sheetName val="ИИЯ"/>
      <sheetName val="УП каф"/>
      <sheetName val="гр_КСР"/>
    </sheetNames>
    <sheetDataSet>
      <sheetData sheetId="0">
        <row r="4">
          <cell r="H4" t="str">
            <v>Бизнес-информатика</v>
          </cell>
        </row>
      </sheetData>
      <sheetData sheetId="1">
        <row r="2">
          <cell r="A2" t="str">
            <v>Аяз и П</v>
          </cell>
        </row>
      </sheetData>
      <sheetData sheetId="2">
        <row r="4">
          <cell r="H4" t="str">
            <v>Бизнес-информатика</v>
          </cell>
        </row>
      </sheetData>
      <sheetData sheetId="3">
        <row r="4">
          <cell r="H4" t="str">
            <v>Бизнес-информатика</v>
          </cell>
        </row>
      </sheetData>
      <sheetData sheetId="4">
        <row r="2">
          <cell r="A2" t="str">
            <v>Аяз и П</v>
          </cell>
          <cell r="B2" t="str">
            <v>Автосервиса</v>
          </cell>
          <cell r="D2" t="str">
            <v>Автосервиса</v>
          </cell>
          <cell r="F2" t="str">
            <v>Бизнес-информатика</v>
          </cell>
          <cell r="J2" t="str">
            <v xml:space="preserve">И.Л.Коршунов </v>
          </cell>
        </row>
        <row r="3">
          <cell r="A3" t="str">
            <v>БД</v>
          </cell>
          <cell r="B3" t="str">
            <v>АПиИП</v>
          </cell>
          <cell r="D3" t="str">
            <v>1А.Языка№1</v>
          </cell>
          <cell r="F3" t="str">
            <v>Гостиничное дело</v>
          </cell>
          <cell r="J3" t="str">
            <v>С.А.Степанова</v>
          </cell>
        </row>
        <row r="4">
          <cell r="A4" t="str">
            <v>БЗ в ЧС</v>
          </cell>
          <cell r="B4" t="str">
            <v>А.Языка</v>
          </cell>
          <cell r="D4" t="str">
            <v>2А.Языка№2</v>
          </cell>
          <cell r="F4" t="str">
            <v>Государственное и муниципальное управление</v>
          </cell>
          <cell r="J4" t="str">
            <v>И.В.Федосеев</v>
          </cell>
        </row>
        <row r="5">
          <cell r="A5" t="str">
            <v>БУ и А</v>
          </cell>
          <cell r="B5" t="str">
            <v>АязиП</v>
          </cell>
          <cell r="D5" t="str">
            <v>АязиП</v>
          </cell>
          <cell r="F5" t="str">
            <v xml:space="preserve">Декоративно- прикладное искусство и народные промыслы      </v>
          </cell>
          <cell r="J5" t="str">
            <v xml:space="preserve">Ю.Н.Белова </v>
          </cell>
        </row>
        <row r="6">
          <cell r="A6" t="str">
            <v>В.Математики</v>
          </cell>
          <cell r="B6" t="str">
            <v>БиФР</v>
          </cell>
          <cell r="D6" t="str">
            <v>АиВК</v>
          </cell>
          <cell r="F6" t="str">
            <v>Журналистика</v>
          </cell>
          <cell r="J6" t="str">
            <v>А.А.Марков</v>
          </cell>
        </row>
        <row r="7">
          <cell r="A7" t="str">
            <v>Гр П</v>
          </cell>
          <cell r="B7" t="str">
            <v>БЗвЧС</v>
          </cell>
          <cell r="D7" t="str">
            <v>БФРиС</v>
          </cell>
          <cell r="F7" t="str">
            <v>Зарубежное регионоведение</v>
          </cell>
          <cell r="J7" t="str">
            <v xml:space="preserve">В.М.Разумовский </v>
          </cell>
        </row>
        <row r="8">
          <cell r="A8" t="str">
            <v>Д и ЦБ</v>
          </cell>
          <cell r="B8" t="str">
            <v>БУиА_ГУСЭ</v>
          </cell>
          <cell r="D8" t="str">
            <v>БЗвЧС</v>
          </cell>
          <cell r="F8" t="str">
            <v>Информационная безопасность</v>
          </cell>
          <cell r="J8" t="str">
            <v xml:space="preserve">Е.В.Стельмашонок </v>
          </cell>
        </row>
        <row r="9">
          <cell r="A9" t="str">
            <v>Информатики</v>
          </cell>
          <cell r="B9" t="str">
            <v>БУАиА</v>
          </cell>
          <cell r="D9" t="str">
            <v>БУиА</v>
          </cell>
          <cell r="F9" t="str">
            <v>Информационные системы и технологии</v>
          </cell>
          <cell r="J9" t="str">
            <v xml:space="preserve">И.Л.Коршунов </v>
          </cell>
        </row>
        <row r="10">
          <cell r="A10" t="str">
            <v>Истории и П</v>
          </cell>
          <cell r="B10" t="str">
            <v>В.Математики</v>
          </cell>
          <cell r="D10" t="str">
            <v>В.Математики</v>
          </cell>
          <cell r="F10" t="str">
            <v>Искусство костюма и текстиля</v>
          </cell>
          <cell r="J10" t="str">
            <v xml:space="preserve">В.А.Титов </v>
          </cell>
        </row>
        <row r="11">
          <cell r="A11" t="str">
            <v>ИУ_АЯ</v>
          </cell>
          <cell r="B11" t="str">
            <v>ВСиП</v>
          </cell>
          <cell r="D11" t="str">
            <v>ВСиП</v>
          </cell>
          <cell r="F11" t="str">
            <v>Лингвистика</v>
          </cell>
          <cell r="J11" t="str">
            <v xml:space="preserve">И.Б.Руберт </v>
          </cell>
        </row>
        <row r="12">
          <cell r="A12" t="str">
            <v>ИУ_ВМ</v>
          </cell>
          <cell r="B12" t="str">
            <v>Г.Бизнеса</v>
          </cell>
          <cell r="D12" t="str">
            <v>ГиРБ</v>
          </cell>
          <cell r="F12" t="str">
            <v>Международные отношения</v>
          </cell>
          <cell r="J12" t="str">
            <v xml:space="preserve">Г.Н.Нурышев </v>
          </cell>
        </row>
        <row r="13">
          <cell r="A13" t="str">
            <v>ИУ_ВСиП</v>
          </cell>
          <cell r="B13" t="str">
            <v>ГиМП</v>
          </cell>
          <cell r="D13" t="str">
            <v>ГиТУ</v>
          </cell>
          <cell r="F13" t="str">
            <v xml:space="preserve">Менеджмент </v>
          </cell>
          <cell r="J13" t="str">
            <v>Е.Ю.Суслов</v>
          </cell>
        </row>
        <row r="14">
          <cell r="A14" t="str">
            <v>ИУ_ГиАП</v>
          </cell>
          <cell r="B14" t="str">
            <v>1ГМУ</v>
          </cell>
          <cell r="D14" t="str">
            <v>ГМФ</v>
          </cell>
          <cell r="F14" t="str">
            <v>Правовое обеспечение национальной безопасности</v>
          </cell>
          <cell r="J14" t="str">
            <v xml:space="preserve">Н.А.Крайнова </v>
          </cell>
        </row>
        <row r="15">
          <cell r="A15" t="str">
            <v>ИУ_ГиМК</v>
          </cell>
          <cell r="B15" t="str">
            <v>ГМУ_ГУСЭ</v>
          </cell>
          <cell r="D15" t="str">
            <v>Г.Права</v>
          </cell>
          <cell r="F15" t="str">
            <v>Прикладная информатика</v>
          </cell>
          <cell r="J15" t="str">
            <v xml:space="preserve">В.В.Трофимов </v>
          </cell>
        </row>
        <row r="16">
          <cell r="A16" t="str">
            <v>ИУ_ГМУ</v>
          </cell>
          <cell r="B16" t="str">
            <v>ГМФ</v>
          </cell>
          <cell r="D16" t="str">
            <v>И.Дисциплин</v>
          </cell>
          <cell r="F16" t="str">
            <v xml:space="preserve">Прикладная математика и информатика  </v>
          </cell>
          <cell r="J16" t="str">
            <v xml:space="preserve">Г.М.Фридман </v>
          </cell>
        </row>
        <row r="17">
          <cell r="A17" t="str">
            <v>ИУ_ИиП</v>
          </cell>
          <cell r="B17" t="str">
            <v>1Г.Права</v>
          </cell>
          <cell r="D17" t="str">
            <v>Информатики</v>
          </cell>
          <cell r="F17" t="str">
            <v>Реклама и связи с общественностью</v>
          </cell>
        </row>
        <row r="18">
          <cell r="A18" t="str">
            <v>ИУ_ИОвЭ</v>
          </cell>
          <cell r="B18" t="str">
            <v>Г.Права_ГУСЭ</v>
          </cell>
          <cell r="D18" t="str">
            <v>ИСиТ</v>
          </cell>
          <cell r="F18" t="str">
            <v>Сервис</v>
          </cell>
        </row>
        <row r="19">
          <cell r="A19" t="str">
            <v>ИУ_ИСвЭ</v>
          </cell>
          <cell r="B19" t="str">
            <v>ГФ</v>
          </cell>
          <cell r="D19" t="str">
            <v>КТиСО</v>
          </cell>
          <cell r="F19" t="str">
            <v xml:space="preserve">Социальная работа  </v>
          </cell>
        </row>
        <row r="20">
          <cell r="A20" t="str">
            <v>ИУ_ИЯ</v>
          </cell>
          <cell r="B20" t="str">
            <v>ДПИ</v>
          </cell>
          <cell r="D20" t="str">
            <v>К.Права</v>
          </cell>
          <cell r="F20" t="str">
            <v>Социально-культурная деятельность</v>
          </cell>
        </row>
        <row r="21">
          <cell r="A21" t="str">
            <v>ИУ_КДиП</v>
          </cell>
          <cell r="B21" t="str">
            <v>ДИЯ</v>
          </cell>
          <cell r="D21" t="str">
            <v>КФиОБ</v>
          </cell>
          <cell r="F21" t="str">
            <v>Таможенное дело</v>
          </cell>
        </row>
        <row r="22">
          <cell r="A22" t="str">
            <v>ИУ_МО</v>
          </cell>
          <cell r="B22" t="str">
            <v>Д.Костюма</v>
          </cell>
          <cell r="D22" t="str">
            <v>К.Индустрий</v>
          </cell>
          <cell r="F22" t="str">
            <v>Технология продукции и организация общественного питания</v>
          </cell>
        </row>
        <row r="23">
          <cell r="A23" t="str">
            <v>ИУ_МП</v>
          </cell>
          <cell r="B23" t="str">
            <v>Д.Прически</v>
          </cell>
          <cell r="D23" t="str">
            <v>ЛиУЦП</v>
          </cell>
          <cell r="F23" t="str">
            <v>Технология транспортных процессов</v>
          </cell>
        </row>
        <row r="24">
          <cell r="A24" t="str">
            <v>ИУ_ПиП</v>
          </cell>
          <cell r="B24" t="str">
            <v>Журналистики</v>
          </cell>
          <cell r="D24" t="str">
            <v>Маркетинга</v>
          </cell>
          <cell r="F24" t="str">
            <v>Товароведение</v>
          </cell>
        </row>
        <row r="25">
          <cell r="A25" t="str">
            <v>ИУ_ППиЭБ</v>
          </cell>
          <cell r="B25" t="str">
            <v>ИДиЭ</v>
          </cell>
          <cell r="D25" t="str">
            <v>МиОБиЖКН</v>
          </cell>
          <cell r="F25" t="str">
            <v>Торговое дело</v>
          </cell>
        </row>
        <row r="26">
          <cell r="A26" t="str">
            <v>ИУ_РГЯ</v>
          </cell>
          <cell r="B26" t="str">
            <v>Информатики_ГУСЭ</v>
          </cell>
          <cell r="D26" t="str">
            <v>М.Бизнеса</v>
          </cell>
          <cell r="F26" t="str">
            <v xml:space="preserve">Туризм </v>
          </cell>
        </row>
        <row r="27">
          <cell r="A27" t="str">
            <v>ИУ_РЯ</v>
          </cell>
          <cell r="B27" t="str">
            <v>1Информатики</v>
          </cell>
          <cell r="D27" t="str">
            <v>МОМПиИ</v>
          </cell>
          <cell r="F27" t="str">
            <v>Управление качеством</v>
          </cell>
        </row>
        <row r="28">
          <cell r="A28" t="str">
            <v>ИУ_СКСиТ</v>
          </cell>
          <cell r="B28" t="str">
            <v>ИСвЭ</v>
          </cell>
          <cell r="D28" t="str">
            <v>МиИ</v>
          </cell>
          <cell r="F28" t="str">
            <v>фУправление персоналом</v>
          </cell>
        </row>
        <row r="29">
          <cell r="A29" t="str">
            <v>ИУ_Социологии</v>
          </cell>
          <cell r="B29" t="str">
            <v>ИОвЭ</v>
          </cell>
          <cell r="D29" t="str">
            <v>МЭиМЭО</v>
          </cell>
          <cell r="F29" t="str">
            <v>хЭкология и природопользование</v>
          </cell>
        </row>
        <row r="30">
          <cell r="A30" t="str">
            <v>ИУ_ТД</v>
          </cell>
          <cell r="B30" t="str">
            <v>1ИиП</v>
          </cell>
          <cell r="D30" t="str">
            <v>Н.Экономики</v>
          </cell>
          <cell r="F30" t="str">
            <v>Экономика</v>
          </cell>
        </row>
        <row r="31">
          <cell r="A31" t="str">
            <v>ИУ_УКиМ</v>
          </cell>
          <cell r="B31" t="str">
            <v>ИиП_ГУСЭ</v>
          </cell>
          <cell r="D31" t="str">
            <v>НРиСЯиП</v>
          </cell>
          <cell r="F31" t="str">
            <v>Экономическая безопасность</v>
          </cell>
        </row>
        <row r="32">
          <cell r="A32" t="str">
            <v>ИУ_УТиСП</v>
          </cell>
          <cell r="B32" t="str">
            <v>ИЭУиНХ</v>
          </cell>
          <cell r="D32" t="str">
            <v>НРиСЯиП_Няз</v>
          </cell>
          <cell r="F32" t="str">
            <v>Эксплуатация транспортно-технологических машин и комплексов</v>
          </cell>
        </row>
        <row r="33">
          <cell r="A33" t="str">
            <v>ИУ_Философии</v>
          </cell>
          <cell r="B33" t="str">
            <v>Коммерции</v>
          </cell>
          <cell r="D33" t="str">
            <v>НРиСЯиП_Ряз</v>
          </cell>
          <cell r="F33" t="str">
            <v xml:space="preserve">Юриспруденция </v>
          </cell>
        </row>
        <row r="34">
          <cell r="A34" t="str">
            <v>ИУ_ФК</v>
          </cell>
          <cell r="B34" t="str">
            <v>КТиСО</v>
          </cell>
          <cell r="D34" t="str">
            <v>О.Технологий</v>
          </cell>
          <cell r="F34" t="str">
            <v>Прикладной_Туризм</v>
          </cell>
        </row>
        <row r="35">
          <cell r="A35" t="str">
            <v>ИУ_ЭиМНСС</v>
          </cell>
          <cell r="B35" t="str">
            <v>КФиОБ</v>
          </cell>
          <cell r="D35" t="str">
            <v>ОЭТиИЭМ</v>
          </cell>
        </row>
        <row r="36">
          <cell r="A36" t="str">
            <v>ИУ_ЭиМНГХК</v>
          </cell>
          <cell r="B36" t="str">
            <v>К.Права</v>
          </cell>
          <cell r="D36" t="str">
            <v>ПвТ</v>
          </cell>
        </row>
        <row r="37">
          <cell r="A37" t="str">
            <v>ИУ_ЭиМНСС</v>
          </cell>
          <cell r="B37" t="str">
            <v>КФиОБ</v>
          </cell>
          <cell r="D37" t="str">
            <v>1ПМиЭММ</v>
          </cell>
        </row>
        <row r="38">
          <cell r="A38" t="str">
            <v>ИУ_ЭМ</v>
          </cell>
          <cell r="B38" t="str">
            <v>ЛиТП</v>
          </cell>
          <cell r="D38" t="str">
            <v>РЭиП</v>
          </cell>
        </row>
        <row r="39">
          <cell r="A39" t="str">
            <v>ИУ_ЭТиНЭ</v>
          </cell>
          <cell r="B39" t="str">
            <v>ЛиУК</v>
          </cell>
          <cell r="D39" t="str">
            <v>РЯиЛ</v>
          </cell>
        </row>
        <row r="40">
          <cell r="A40" t="str">
            <v>К и Л</v>
          </cell>
          <cell r="B40" t="str">
            <v>Маркетинга_ГУСЭ</v>
          </cell>
          <cell r="D40" t="str">
            <v>СиКВД</v>
          </cell>
        </row>
        <row r="41">
          <cell r="A41" t="str">
            <v>КП</v>
          </cell>
          <cell r="B41" t="str">
            <v>1Маркетинга</v>
          </cell>
          <cell r="D41" t="str">
            <v>СиП</v>
          </cell>
        </row>
        <row r="42">
          <cell r="A42" t="str">
            <v>КТ и СО</v>
          </cell>
          <cell r="B42" t="str">
            <v>МиОБиЖКН</v>
          </cell>
          <cell r="D42" t="str">
            <v>Газпром</v>
          </cell>
        </row>
        <row r="43">
          <cell r="A43" t="str">
            <v>М.Менеджмента</v>
          </cell>
          <cell r="B43" t="str">
            <v>Медиаиндустрии</v>
          </cell>
          <cell r="D43" t="str">
            <v>СиЭ</v>
          </cell>
        </row>
        <row r="44">
          <cell r="A44" t="str">
            <v>Маркетинга</v>
          </cell>
          <cell r="B44" t="str">
            <v>М.Менеджмента</v>
          </cell>
          <cell r="D44" t="str">
            <v>Т.Дела</v>
          </cell>
        </row>
        <row r="45">
          <cell r="A45" t="str">
            <v>МЭО</v>
          </cell>
          <cell r="B45" t="str">
            <v>М.Права</v>
          </cell>
          <cell r="D45" t="str">
            <v>Т.Искусства</v>
          </cell>
        </row>
        <row r="46">
          <cell r="A46" t="str">
            <v>Нсканяз и П</v>
          </cell>
          <cell r="B46" t="str">
            <v>М.Коммуникаций</v>
          </cell>
          <cell r="D46" t="str">
            <v>1ТиИГиП</v>
          </cell>
        </row>
        <row r="47">
          <cell r="A47" t="str">
            <v>ОЭТ</v>
          </cell>
          <cell r="B47" t="str">
            <v>МвГХ</v>
          </cell>
          <cell r="D47" t="str">
            <v>ТязиП</v>
          </cell>
        </row>
        <row r="48">
          <cell r="A48" t="str">
            <v>ПРЭ</v>
          </cell>
          <cell r="B48" t="str">
            <v>МвНиСС</v>
          </cell>
          <cell r="D48" t="str">
            <v>ТОТС</v>
          </cell>
        </row>
        <row r="49">
          <cell r="A49" t="str">
            <v>РЭ и П</v>
          </cell>
          <cell r="B49" t="str">
            <v>МиК</v>
          </cell>
          <cell r="D49" t="str">
            <v>ТДиТ</v>
          </cell>
        </row>
        <row r="50">
          <cell r="A50" t="str">
            <v>РЯ и Л</v>
          </cell>
          <cell r="B50" t="str">
            <v>М.Недвижимости</v>
          </cell>
          <cell r="D50" t="str">
            <v>УПиУП</v>
          </cell>
        </row>
        <row r="51">
          <cell r="A51" t="str">
            <v>Ряз и П</v>
          </cell>
          <cell r="B51" t="str">
            <v>М.Организации</v>
          </cell>
          <cell r="D51" t="str">
            <v>У.Персоналом</v>
          </cell>
        </row>
        <row r="52">
          <cell r="A52" t="str">
            <v>С и УП</v>
          </cell>
          <cell r="B52" t="str">
            <v>МТиСС</v>
          </cell>
          <cell r="D52" t="str">
            <v>Ф.Культуры</v>
          </cell>
        </row>
        <row r="53">
          <cell r="A53" t="str">
            <v>СТ и Т</v>
          </cell>
          <cell r="B53" t="str">
            <v>МЭиМЭО</v>
          </cell>
          <cell r="D53" t="str">
            <v>Философии</v>
          </cell>
        </row>
        <row r="54">
          <cell r="A54" t="str">
            <v>Статистики и Э</v>
          </cell>
          <cell r="B54" t="str">
            <v>Налогообложения</v>
          </cell>
          <cell r="D54" t="str">
            <v>Ф.Права</v>
          </cell>
        </row>
        <row r="55">
          <cell r="A55" t="str">
            <v>Страхования</v>
          </cell>
          <cell r="B55" t="str">
            <v>НсканязиП</v>
          </cell>
          <cell r="D55" t="str">
            <v>1ЭиУвСУ</v>
          </cell>
        </row>
        <row r="56">
          <cell r="A56" t="str">
            <v>Т и ИГ и П</v>
          </cell>
          <cell r="B56" t="str">
            <v>ОЭТ</v>
          </cell>
          <cell r="D56" t="str">
            <v>2ЭиУК</v>
          </cell>
        </row>
        <row r="57">
          <cell r="A57" t="str">
            <v>Тяз и П</v>
          </cell>
          <cell r="B57" t="str">
            <v>1ОиУвНГХК</v>
          </cell>
          <cell r="D57" t="str">
            <v>ЭиУПиПК</v>
          </cell>
        </row>
        <row r="58">
          <cell r="A58" t="str">
            <v>У и ПСЭП им. Лаврикова</v>
          </cell>
          <cell r="B58" t="str">
            <v>2ОиУвС</v>
          </cell>
          <cell r="D58" t="str">
            <v>ЭП</v>
          </cell>
        </row>
        <row r="59">
          <cell r="A59" t="str">
            <v>УПОЭО</v>
          </cell>
          <cell r="B59" t="str">
            <v>ОиУСКД</v>
          </cell>
          <cell r="D59" t="str">
            <v>Э.Труда</v>
          </cell>
        </row>
        <row r="60">
          <cell r="A60" t="str">
            <v>ФВ</v>
          </cell>
          <cell r="B60" t="str">
            <v>ООН</v>
          </cell>
          <cell r="D60" t="str">
            <v>Э.Безопасности</v>
          </cell>
        </row>
        <row r="61">
          <cell r="A61" t="str">
            <v>ФГН</v>
          </cell>
          <cell r="B61" t="str">
            <v>ПиП</v>
          </cell>
          <cell r="D61" t="str">
            <v>Аспирантура</v>
          </cell>
        </row>
        <row r="62">
          <cell r="A62" t="str">
            <v>Философии</v>
          </cell>
          <cell r="B62" t="str">
            <v>ПРЭ</v>
          </cell>
          <cell r="D62" t="str">
            <v>И.Магистратуры</v>
          </cell>
        </row>
        <row r="63">
          <cell r="A63" t="str">
            <v>Финансов</v>
          </cell>
          <cell r="B63" t="str">
            <v>1ПиСП</v>
          </cell>
          <cell r="D63" t="str">
            <v>Дубай</v>
          </cell>
        </row>
        <row r="64">
          <cell r="A64" t="str">
            <v>Хоз.права</v>
          </cell>
          <cell r="B64" t="str">
            <v>ПвТ</v>
          </cell>
        </row>
        <row r="65">
          <cell r="A65" t="str">
            <v>Ц и ОД</v>
          </cell>
          <cell r="B65" t="str">
            <v>ПиУЖКХ</v>
          </cell>
        </row>
        <row r="66">
          <cell r="A66" t="str">
            <v>Э и УК</v>
          </cell>
          <cell r="B66" t="str">
            <v>1ПМиЭ</v>
          </cell>
        </row>
        <row r="67">
          <cell r="A67" t="str">
            <v>Э и УСС</v>
          </cell>
          <cell r="B67" t="str">
            <v>П.Физики</v>
          </cell>
        </row>
        <row r="68">
          <cell r="A68" t="str">
            <v>ЭАЭХД</v>
          </cell>
          <cell r="B68" t="str">
            <v>ПИТ</v>
          </cell>
        </row>
        <row r="69">
          <cell r="A69" t="str">
            <v>Эк ан.яз №1</v>
          </cell>
          <cell r="B69" t="str">
            <v>ПиСЭиСП</v>
          </cell>
        </row>
        <row r="70">
          <cell r="A70" t="str">
            <v>Эк ан.яз №2</v>
          </cell>
          <cell r="B70" t="str">
            <v>ПМиИ</v>
          </cell>
        </row>
        <row r="71">
          <cell r="A71" t="str">
            <v>ЭК и ЭММ</v>
          </cell>
          <cell r="B71" t="str">
            <v>РЭиП</v>
          </cell>
        </row>
        <row r="72">
          <cell r="A72" t="str">
            <v>Экон.истории</v>
          </cell>
          <cell r="B72" t="str">
            <v>РиСО</v>
          </cell>
        </row>
        <row r="73">
          <cell r="A73" t="str">
            <v>ЭП и ПМ</v>
          </cell>
          <cell r="B73" t="str">
            <v>РиТ</v>
          </cell>
        </row>
        <row r="74">
          <cell r="A74" t="str">
            <v>ЭТ и МЭ</v>
          </cell>
          <cell r="B74" t="str">
            <v>Р.Бизнеса</v>
          </cell>
        </row>
        <row r="75">
          <cell r="A75" t="str">
            <v>ЭТ и ТР</v>
          </cell>
          <cell r="B75" t="str">
            <v>РязиП</v>
          </cell>
        </row>
        <row r="76">
          <cell r="B76" t="str">
            <v>1РЯиКР</v>
          </cell>
        </row>
        <row r="77">
          <cell r="B77" t="str">
            <v>РЯиЛ</v>
          </cell>
        </row>
        <row r="78">
          <cell r="B78" t="str">
            <v>СиКВД</v>
          </cell>
        </row>
        <row r="79">
          <cell r="B79" t="str">
            <v>СиСР</v>
          </cell>
        </row>
        <row r="80">
          <cell r="B80" t="str">
            <v>СиЭ</v>
          </cell>
        </row>
        <row r="81">
          <cell r="B81" t="str">
            <v>СиУР</v>
          </cell>
        </row>
        <row r="82">
          <cell r="B82" t="str">
            <v>Т.Дела</v>
          </cell>
        </row>
        <row r="83">
          <cell r="B83" t="str">
            <v>Т.Искусства</v>
          </cell>
        </row>
        <row r="84">
          <cell r="B84" t="str">
            <v>1ТиИГиП</v>
          </cell>
        </row>
        <row r="85">
          <cell r="B85" t="str">
            <v>ТиИПиГ_ГУСЭ</v>
          </cell>
        </row>
        <row r="86">
          <cell r="B86" t="str">
            <v>ТязиП</v>
          </cell>
        </row>
        <row r="87">
          <cell r="B87" t="str">
            <v>Т.Механики</v>
          </cell>
        </row>
        <row r="88">
          <cell r="B88" t="str">
            <v>ТОТС</v>
          </cell>
        </row>
        <row r="89">
          <cell r="B89" t="str">
            <v>ИМиК</v>
          </cell>
        </row>
        <row r="90">
          <cell r="B90" t="str">
            <v>УгП_ГУСЭ</v>
          </cell>
        </row>
        <row r="91">
          <cell r="B91" t="str">
            <v>УПиУП</v>
          </cell>
        </row>
        <row r="92">
          <cell r="B92" t="str">
            <v>У.Персоналом</v>
          </cell>
        </row>
        <row r="93">
          <cell r="B93" t="str">
            <v>УТС</v>
          </cell>
        </row>
        <row r="94">
          <cell r="B94" t="str">
            <v>УТиСП</v>
          </cell>
        </row>
        <row r="95">
          <cell r="B95" t="str">
            <v>УЦПиТ</v>
          </cell>
        </row>
        <row r="96">
          <cell r="B96" t="str">
            <v>УиФУиО</v>
          </cell>
        </row>
        <row r="97">
          <cell r="B97" t="str">
            <v>ФВиС</v>
          </cell>
        </row>
        <row r="98">
          <cell r="B98" t="str">
            <v>Ф.Культуры</v>
          </cell>
        </row>
        <row r="99">
          <cell r="B99" t="str">
            <v>1Философии</v>
          </cell>
        </row>
        <row r="100">
          <cell r="B100" t="str">
            <v>Философии_ГУСЭ</v>
          </cell>
        </row>
        <row r="101">
          <cell r="B101" t="str">
            <v>ФиК</v>
          </cell>
        </row>
        <row r="102">
          <cell r="B102" t="str">
            <v>ФиАП</v>
          </cell>
        </row>
        <row r="103">
          <cell r="B103" t="str">
            <v>Химии</v>
          </cell>
        </row>
        <row r="104">
          <cell r="B104" t="str">
            <v>Х.Права</v>
          </cell>
        </row>
        <row r="105">
          <cell r="B105" t="str">
            <v>1ЭиУвСУ</v>
          </cell>
        </row>
        <row r="106">
          <cell r="B106" t="str">
            <v>2ЭиУК</v>
          </cell>
        </row>
        <row r="107">
          <cell r="B107" t="str">
            <v>ЭиУП</v>
          </cell>
        </row>
        <row r="108">
          <cell r="B108" t="str">
            <v>ЭП</v>
          </cell>
        </row>
        <row r="109">
          <cell r="B109" t="str">
            <v>ЭПиСЭ</v>
          </cell>
        </row>
        <row r="110">
          <cell r="B110" t="str">
            <v>Э.Труда</v>
          </cell>
        </row>
        <row r="111">
          <cell r="B111" t="str">
            <v>Эк.ан.яз.№1</v>
          </cell>
        </row>
        <row r="112">
          <cell r="B112" t="str">
            <v>Эк.ан.яз.№2</v>
          </cell>
        </row>
        <row r="113">
          <cell r="B113" t="str">
            <v>ЭКиЭММ</v>
          </cell>
        </row>
        <row r="114">
          <cell r="B114" t="str">
            <v>ЭТиЭП</v>
          </cell>
        </row>
        <row r="132">
          <cell r="B132" t="str">
            <v>3,5г</v>
          </cell>
          <cell r="C132" t="str">
            <v>з</v>
          </cell>
          <cell r="D132" t="str">
            <v>заочная</v>
          </cell>
        </row>
        <row r="133">
          <cell r="B133" t="str">
            <v>4,5г</v>
          </cell>
          <cell r="C133" t="str">
            <v>д</v>
          </cell>
          <cell r="D133" t="str">
            <v>очная</v>
          </cell>
        </row>
        <row r="134">
          <cell r="B134" t="str">
            <v>4г</v>
          </cell>
          <cell r="C134" t="str">
            <v>в</v>
          </cell>
          <cell r="D134" t="str">
            <v>очно-заочная (вечерняя)</v>
          </cell>
        </row>
        <row r="135">
          <cell r="B135" t="str">
            <v>5л</v>
          </cell>
        </row>
        <row r="136">
          <cell r="B136" t="str">
            <v>5,5л</v>
          </cell>
        </row>
      </sheetData>
      <sheetData sheetId="5">
        <row r="4">
          <cell r="H4" t="str">
            <v>Бизнес-информатика</v>
          </cell>
          <cell r="J4" t="str">
            <v>ДА</v>
          </cell>
        </row>
        <row r="5">
          <cell r="H5" t="str">
            <v>Гостиничное дело</v>
          </cell>
          <cell r="J5" t="str">
            <v>ОиУвГиРБ</v>
          </cell>
        </row>
        <row r="6">
          <cell r="H6" t="str">
            <v>Государственное и муниципальное управление</v>
          </cell>
          <cell r="J6" t="str">
            <v>ГиМУвР</v>
          </cell>
        </row>
        <row r="7">
          <cell r="H7" t="str">
            <v>Государственное и муниципальное управление</v>
          </cell>
          <cell r="J7" t="str">
            <v>ГиМУВПвР</v>
          </cell>
        </row>
        <row r="8">
          <cell r="H8" t="str">
            <v xml:space="preserve">Декоративно- прикладное искусство и народные промыслы      </v>
          </cell>
          <cell r="J8" t="str">
            <v>ХОК</v>
          </cell>
        </row>
        <row r="9">
          <cell r="H9" t="str">
            <v>Журналистика</v>
          </cell>
          <cell r="J9" t="str">
            <v>ЭЖ</v>
          </cell>
        </row>
        <row r="10">
          <cell r="H10" t="str">
            <v>Зарубежное регионоведение</v>
          </cell>
          <cell r="J10" t="str">
            <v>АТР</v>
          </cell>
        </row>
        <row r="11">
          <cell r="H11" t="str">
            <v>Зарубежное регионоведение</v>
          </cell>
          <cell r="J11" t="str">
            <v>З.Европа</v>
          </cell>
        </row>
        <row r="12">
          <cell r="H12" t="str">
            <v>Зарубежное регионоведение</v>
          </cell>
          <cell r="J12" t="str">
            <v>ЗЕ</v>
          </cell>
        </row>
        <row r="13">
          <cell r="H13" t="str">
            <v>Зарубежное регионоведение</v>
          </cell>
          <cell r="J13" t="str">
            <v>ЛА</v>
          </cell>
        </row>
        <row r="14">
          <cell r="H14" t="str">
            <v>Зарубежное регионоведение</v>
          </cell>
          <cell r="J14" t="str">
            <v>С.Европа</v>
          </cell>
        </row>
        <row r="15">
          <cell r="H15" t="str">
            <v>Информационная безопасность</v>
          </cell>
          <cell r="J15" t="str">
            <v>БКС</v>
          </cell>
        </row>
        <row r="16">
          <cell r="H16" t="str">
            <v>Информационные системы и технологии</v>
          </cell>
          <cell r="J16" t="str">
            <v>ИТвДР</v>
          </cell>
        </row>
        <row r="17">
          <cell r="H17" t="str">
            <v>Искусство костюма и текстиля</v>
          </cell>
          <cell r="J17" t="str">
            <v>ХПК</v>
          </cell>
        </row>
        <row r="18">
          <cell r="H18" t="str">
            <v>Лингвистика</v>
          </cell>
          <cell r="J18" t="str">
            <v>ПиПвСЭиФ</v>
          </cell>
        </row>
        <row r="19">
          <cell r="H19" t="str">
            <v>Международные отношения</v>
          </cell>
          <cell r="J19" t="str">
            <v>ВПРиЗС</v>
          </cell>
        </row>
        <row r="20">
          <cell r="H20" t="str">
            <v xml:space="preserve">Менеджмент </v>
          </cell>
          <cell r="J20" t="str">
            <v>БА</v>
          </cell>
        </row>
        <row r="21">
          <cell r="H21" t="str">
            <v xml:space="preserve">Менеджмент </v>
          </cell>
          <cell r="J21" t="str">
            <v>КУ</v>
          </cell>
        </row>
        <row r="22">
          <cell r="H22" t="str">
            <v xml:space="preserve">Менеджмент </v>
          </cell>
          <cell r="J22" t="str">
            <v>ЛиУЦП</v>
          </cell>
        </row>
        <row r="23">
          <cell r="H23" t="str">
            <v xml:space="preserve">Менеджмент </v>
          </cell>
          <cell r="J23" t="str">
            <v>МиУБ</v>
          </cell>
        </row>
        <row r="24">
          <cell r="H24" t="str">
            <v xml:space="preserve">Менеджмент </v>
          </cell>
          <cell r="J24" t="str">
            <v>МБ</v>
          </cell>
        </row>
        <row r="25">
          <cell r="H25" t="str">
            <v xml:space="preserve">Менеджмент </v>
          </cell>
          <cell r="J25" t="str">
            <v>МвНГХК</v>
          </cell>
        </row>
        <row r="26">
          <cell r="H26" t="str">
            <v xml:space="preserve">Менеджмент </v>
          </cell>
          <cell r="J26" t="str">
            <v>ПМ</v>
          </cell>
        </row>
        <row r="27">
          <cell r="H27" t="str">
            <v xml:space="preserve">Менеджмент </v>
          </cell>
          <cell r="J27" t="str">
            <v>ТиГ</v>
          </cell>
        </row>
        <row r="28">
          <cell r="H28" t="str">
            <v xml:space="preserve">Менеджмент </v>
          </cell>
          <cell r="J28" t="str">
            <v>УГиЧП</v>
          </cell>
        </row>
        <row r="29">
          <cell r="H29" t="str">
            <v xml:space="preserve">Менеджмент </v>
          </cell>
          <cell r="J29" t="str">
            <v>1УП</v>
          </cell>
        </row>
        <row r="30">
          <cell r="H30" t="str">
            <v xml:space="preserve">Менеджмент </v>
          </cell>
          <cell r="J30" t="str">
            <v>ФМ</v>
          </cell>
        </row>
        <row r="31">
          <cell r="H31" t="str">
            <v xml:space="preserve">Менеджмент </v>
          </cell>
          <cell r="J31" t="str">
            <v>2УПиБ</v>
          </cell>
        </row>
        <row r="32">
          <cell r="H32" t="str">
            <v xml:space="preserve">Менеджмент </v>
          </cell>
          <cell r="J32" t="str">
            <v>УПП</v>
          </cell>
        </row>
        <row r="33">
          <cell r="H33" t="str">
            <v>Правовое обеспечение национальной безопасности</v>
          </cell>
          <cell r="J33" t="str">
            <v>ГосП</v>
          </cell>
        </row>
        <row r="34">
          <cell r="H34" t="str">
            <v>Прикладная информатика</v>
          </cell>
          <cell r="J34" t="str">
            <v>УБПиП</v>
          </cell>
        </row>
        <row r="35">
          <cell r="H35" t="str">
            <v xml:space="preserve">Прикладная математика и информатика  </v>
          </cell>
          <cell r="J35" t="str">
            <v>ПМиИвЭиУ</v>
          </cell>
        </row>
        <row r="36">
          <cell r="H36" t="str">
            <v>Реклама и связи с общественностью</v>
          </cell>
          <cell r="J36" t="str">
            <v>РиСсОвБ</v>
          </cell>
        </row>
        <row r="37">
          <cell r="H37" t="str">
            <v>Сервис</v>
          </cell>
          <cell r="J37" t="str">
            <v>КВД</v>
          </cell>
        </row>
        <row r="38">
          <cell r="H38" t="str">
            <v>Сервис</v>
          </cell>
          <cell r="J38" t="str">
            <v>СТС</v>
          </cell>
        </row>
        <row r="39">
          <cell r="H39" t="str">
            <v xml:space="preserve">Социальная работа  </v>
          </cell>
          <cell r="J39" t="str">
            <v>СРвССС</v>
          </cell>
        </row>
        <row r="40">
          <cell r="H40" t="str">
            <v>Социально-культурная деятельность</v>
          </cell>
          <cell r="J40" t="str">
            <v>СКТвИД</v>
          </cell>
        </row>
        <row r="41">
          <cell r="H41" t="str">
            <v>Таможенное дело</v>
          </cell>
          <cell r="J41" t="str">
            <v>ОТК</v>
          </cell>
        </row>
        <row r="42">
          <cell r="H42" t="str">
            <v>Таможенное дело</v>
          </cell>
          <cell r="J42" t="str">
            <v>ТЛ</v>
          </cell>
        </row>
        <row r="43">
          <cell r="H43" t="str">
            <v>Таможенное дело</v>
          </cell>
          <cell r="J43" t="str">
            <v>ТА</v>
          </cell>
        </row>
        <row r="44">
          <cell r="H44" t="str">
            <v>Таможенное дело</v>
          </cell>
          <cell r="J44" t="str">
            <v>ТМ</v>
          </cell>
        </row>
        <row r="45">
          <cell r="H45" t="str">
            <v>Технология продукции и организация общественного питания</v>
          </cell>
          <cell r="J45" t="str">
            <v>ТОРД</v>
          </cell>
        </row>
        <row r="46">
          <cell r="H46" t="str">
            <v>Технология транспортных процессов</v>
          </cell>
          <cell r="J46" t="str">
            <v>ОПиУнаАТ</v>
          </cell>
        </row>
        <row r="47">
          <cell r="H47" t="str">
            <v>Товароведение</v>
          </cell>
          <cell r="J47" t="str">
            <v>ТиЭТвВиВТ</v>
          </cell>
        </row>
        <row r="48">
          <cell r="H48" t="str">
            <v>Товароведение</v>
          </cell>
          <cell r="J48" t="str">
            <v>ТМиЭ</v>
          </cell>
        </row>
        <row r="49">
          <cell r="H49" t="str">
            <v>Торговое дело</v>
          </cell>
          <cell r="J49" t="str">
            <v>МТиКД</v>
          </cell>
        </row>
        <row r="50">
          <cell r="H50" t="str">
            <v>Торговое дело</v>
          </cell>
          <cell r="J50" t="str">
            <v>К</v>
          </cell>
        </row>
        <row r="51">
          <cell r="H51" t="str">
            <v>Торговое дело</v>
          </cell>
          <cell r="J51" t="str">
            <v>МиЛвТБ</v>
          </cell>
        </row>
        <row r="52">
          <cell r="H52" t="str">
            <v xml:space="preserve">Туризм </v>
          </cell>
          <cell r="J52" t="str">
            <v>ОиУвИТ</v>
          </cell>
        </row>
        <row r="53">
          <cell r="H53" t="str">
            <v>Прикладной_Туризм</v>
          </cell>
          <cell r="J53" t="str">
            <v>ОиУвИТ</v>
          </cell>
        </row>
        <row r="54">
          <cell r="H54" t="str">
            <v>Управление качеством</v>
          </cell>
          <cell r="J54" t="str">
            <v>УКвБС</v>
          </cell>
        </row>
        <row r="55">
          <cell r="H55" t="str">
            <v>фУправление персоналом</v>
          </cell>
          <cell r="J55" t="str">
            <v>КМ</v>
          </cell>
        </row>
        <row r="56">
          <cell r="H56" t="str">
            <v>хЭкология и природопользование</v>
          </cell>
          <cell r="J56" t="str">
            <v>П</v>
          </cell>
        </row>
        <row r="57">
          <cell r="H57" t="str">
            <v>Экономика</v>
          </cell>
          <cell r="J57" t="str">
            <v>БУАиА</v>
          </cell>
        </row>
        <row r="58">
          <cell r="H58" t="str">
            <v>Экономика</v>
          </cell>
          <cell r="J58" t="str">
            <v>ММиСА</v>
          </cell>
        </row>
        <row r="59">
          <cell r="H59" t="str">
            <v>Экономика</v>
          </cell>
          <cell r="J59" t="str">
            <v>МЭиТП</v>
          </cell>
        </row>
        <row r="60">
          <cell r="H60" t="str">
            <v>Экономика</v>
          </cell>
          <cell r="J60" t="str">
            <v>НЭ</v>
          </cell>
        </row>
        <row r="61">
          <cell r="H61" t="str">
            <v>Экономика</v>
          </cell>
          <cell r="J61" t="str">
            <v>ФиК</v>
          </cell>
        </row>
        <row r="62">
          <cell r="H62" t="str">
            <v>Экономика</v>
          </cell>
          <cell r="J62" t="str">
            <v>ЭПиО</v>
          </cell>
        </row>
        <row r="63">
          <cell r="H63" t="str">
            <v>Экономическая безопасность</v>
          </cell>
          <cell r="J63" t="str">
            <v>СЭЭ</v>
          </cell>
        </row>
        <row r="64">
          <cell r="H64" t="str">
            <v>Экономическая безопасность</v>
          </cell>
          <cell r="J64" t="str">
            <v>ЭПОЭБ</v>
          </cell>
        </row>
        <row r="65">
          <cell r="H65" t="str">
            <v>Эксплуатация транспортно-технологических машин и комплексов</v>
          </cell>
          <cell r="J65" t="str">
            <v>АС</v>
          </cell>
        </row>
        <row r="66">
          <cell r="H66" t="str">
            <v xml:space="preserve">Юриспруденция </v>
          </cell>
          <cell r="J66" t="str">
            <v>ПиЭ</v>
          </cell>
        </row>
      </sheetData>
      <sheetData sheetId="6">
        <row r="4">
          <cell r="H4" t="str">
            <v>Бизнес-информатика</v>
          </cell>
        </row>
        <row r="8">
          <cell r="E8" t="str">
            <v>Бизнес-информатика</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Нагр_БАК"/>
      <sheetName val="ИИЯ"/>
      <sheetName val="УП каф"/>
      <sheetName val="гр_КСР"/>
    </sheetNames>
    <sheetDataSet>
      <sheetData sheetId="0"/>
      <sheetData sheetId="1"/>
      <sheetData sheetId="2"/>
      <sheetData sheetId="3"/>
      <sheetData sheetId="4">
        <row r="2">
          <cell r="A2" t="str">
            <v>Аяз и П</v>
          </cell>
          <cell r="B2" t="str">
            <v>Автосервиса</v>
          </cell>
          <cell r="D2" t="str">
            <v>Автосервиса</v>
          </cell>
          <cell r="F2" t="str">
            <v>Бизнес-информатика</v>
          </cell>
          <cell r="I2" t="str">
            <v>М.И.Барабанова</v>
          </cell>
          <cell r="J2" t="str">
            <v xml:space="preserve">И.Л.Коршунов </v>
          </cell>
        </row>
        <row r="3">
          <cell r="A3" t="str">
            <v>БД</v>
          </cell>
          <cell r="B3" t="str">
            <v>АПиИП</v>
          </cell>
          <cell r="D3" t="str">
            <v>1А.Языка№1</v>
          </cell>
          <cell r="F3" t="str">
            <v>Гостиничное дело</v>
          </cell>
          <cell r="I3" t="str">
            <v>О.Н.Кострюкова</v>
          </cell>
          <cell r="J3" t="str">
            <v>С.А.Степанова</v>
          </cell>
        </row>
        <row r="4">
          <cell r="A4" t="str">
            <v>БЗ в ЧС</v>
          </cell>
          <cell r="B4" t="str">
            <v>А.Языка</v>
          </cell>
          <cell r="D4" t="str">
            <v>2А.Языка№2</v>
          </cell>
          <cell r="F4" t="str">
            <v>Государственное и муниципальное управление</v>
          </cell>
          <cell r="I4" t="str">
            <v>И.В.Федосеев</v>
          </cell>
          <cell r="J4" t="str">
            <v>И.В.Федосеев</v>
          </cell>
        </row>
        <row r="5">
          <cell r="A5" t="str">
            <v>БУ и А</v>
          </cell>
          <cell r="B5" t="str">
            <v>АязиП</v>
          </cell>
          <cell r="D5" t="str">
            <v>АязиП</v>
          </cell>
          <cell r="F5" t="str">
            <v xml:space="preserve">Декоративно- прикладное искусство и народные промыслы      </v>
          </cell>
          <cell r="I5" t="str">
            <v>О.Н.Кострюкова</v>
          </cell>
          <cell r="J5" t="str">
            <v xml:space="preserve">Ю.Н.Белова </v>
          </cell>
        </row>
        <row r="6">
          <cell r="A6" t="str">
            <v>В.Математики</v>
          </cell>
          <cell r="B6" t="str">
            <v>БиФР</v>
          </cell>
          <cell r="D6" t="str">
            <v>АиВК</v>
          </cell>
          <cell r="F6" t="str">
            <v>Журналистика</v>
          </cell>
          <cell r="I6" t="str">
            <v>М.А.Клупт</v>
          </cell>
          <cell r="J6" t="str">
            <v>А.А.Марков</v>
          </cell>
        </row>
        <row r="7">
          <cell r="A7" t="str">
            <v>Гр П</v>
          </cell>
          <cell r="B7" t="str">
            <v>БЗвЧС</v>
          </cell>
          <cell r="D7" t="str">
            <v>БФРиС</v>
          </cell>
          <cell r="F7" t="str">
            <v>Зарубежное регионоведение</v>
          </cell>
          <cell r="I7" t="str">
            <v>М.А.Клупт</v>
          </cell>
          <cell r="J7" t="str">
            <v xml:space="preserve">В.М.Разумовский </v>
          </cell>
        </row>
        <row r="8">
          <cell r="A8" t="str">
            <v>Д и ЦБ</v>
          </cell>
          <cell r="B8" t="str">
            <v>БУиА_ГУСЭ</v>
          </cell>
          <cell r="D8" t="str">
            <v>БЗвЧС</v>
          </cell>
          <cell r="F8" t="str">
            <v>Информационная безопасность</v>
          </cell>
          <cell r="I8" t="str">
            <v>М.И.Барабанова</v>
          </cell>
          <cell r="J8" t="str">
            <v xml:space="preserve">Е.В.Стельмашонок </v>
          </cell>
        </row>
        <row r="9">
          <cell r="A9" t="str">
            <v>Информатики</v>
          </cell>
          <cell r="B9" t="str">
            <v>БУАиА</v>
          </cell>
          <cell r="D9" t="str">
            <v>БУиА</v>
          </cell>
          <cell r="F9" t="str">
            <v>Информационные системы и технологии</v>
          </cell>
          <cell r="I9" t="str">
            <v>М.И.Барабанова</v>
          </cell>
          <cell r="J9" t="str">
            <v xml:space="preserve">И.Л.Коршунов </v>
          </cell>
        </row>
        <row r="10">
          <cell r="A10" t="str">
            <v>Истории и П</v>
          </cell>
          <cell r="B10" t="str">
            <v>В.Математики</v>
          </cell>
          <cell r="D10" t="str">
            <v>В.Математики</v>
          </cell>
          <cell r="F10" t="str">
            <v>Искусство костюма и текстиля</v>
          </cell>
          <cell r="I10" t="str">
            <v>О.Н.Кострюкова</v>
          </cell>
          <cell r="J10" t="str">
            <v xml:space="preserve">В.А.Титов </v>
          </cell>
        </row>
        <row r="11">
          <cell r="A11" t="str">
            <v>ИУ_АЯ</v>
          </cell>
          <cell r="B11" t="str">
            <v>ВСиП</v>
          </cell>
          <cell r="D11" t="str">
            <v>ВСиП</v>
          </cell>
          <cell r="F11" t="str">
            <v>Лингвистика</v>
          </cell>
          <cell r="I11" t="str">
            <v>М.А.Клупт</v>
          </cell>
          <cell r="J11" t="str">
            <v xml:space="preserve">И.Б.Руберт </v>
          </cell>
        </row>
        <row r="12">
          <cell r="A12" t="str">
            <v>ИУ_ВМ</v>
          </cell>
          <cell r="B12" t="str">
            <v>Г.Бизнеса</v>
          </cell>
          <cell r="D12" t="str">
            <v>ГиРБ</v>
          </cell>
          <cell r="F12" t="str">
            <v>Международные отношения</v>
          </cell>
          <cell r="I12" t="str">
            <v>М.А.Клупт</v>
          </cell>
          <cell r="J12" t="str">
            <v xml:space="preserve">Г.Н.Нурышев </v>
          </cell>
        </row>
        <row r="13">
          <cell r="A13" t="str">
            <v>ИУ_ВСиП</v>
          </cell>
          <cell r="B13" t="str">
            <v>ГиМП</v>
          </cell>
          <cell r="D13" t="str">
            <v>ГиТУ</v>
          </cell>
          <cell r="F13" t="str">
            <v xml:space="preserve">Менеджмент </v>
          </cell>
          <cell r="I13" t="str">
            <v>Е.Ю.Суслов</v>
          </cell>
          <cell r="J13" t="str">
            <v>Е.Ю.Суслов</v>
          </cell>
        </row>
        <row r="14">
          <cell r="A14" t="str">
            <v>ИУ_ГиАП</v>
          </cell>
          <cell r="B14" t="str">
            <v>1ГМУ</v>
          </cell>
          <cell r="D14" t="str">
            <v>ГМФ</v>
          </cell>
          <cell r="F14" t="str">
            <v>Правовое обеспечение национальной безопасности</v>
          </cell>
          <cell r="I14" t="str">
            <v xml:space="preserve">Н.А.Крайнова </v>
          </cell>
          <cell r="J14" t="str">
            <v xml:space="preserve">Н.А.Крайнова </v>
          </cell>
        </row>
        <row r="15">
          <cell r="A15" t="str">
            <v>ИУ_ГиМК</v>
          </cell>
          <cell r="B15" t="str">
            <v>ГМУ_ГУСЭ</v>
          </cell>
          <cell r="D15" t="str">
            <v>Г.Права</v>
          </cell>
          <cell r="F15" t="str">
            <v>Прикладная информатика</v>
          </cell>
          <cell r="I15" t="str">
            <v>М.И.Барабанова</v>
          </cell>
          <cell r="J15" t="str">
            <v xml:space="preserve">В.В.Трофимов </v>
          </cell>
        </row>
        <row r="16">
          <cell r="A16" t="str">
            <v>ИУ_ГМУ</v>
          </cell>
          <cell r="B16" t="str">
            <v>ГМФ</v>
          </cell>
          <cell r="D16" t="str">
            <v>И.Дисциплин</v>
          </cell>
          <cell r="F16" t="str">
            <v xml:space="preserve">Прикладная математика и информатика  </v>
          </cell>
          <cell r="I16" t="str">
            <v>М.И.Барабанова</v>
          </cell>
          <cell r="J16" t="str">
            <v xml:space="preserve">Г.М.Фридман </v>
          </cell>
        </row>
        <row r="17">
          <cell r="A17" t="str">
            <v>ИУ_ИиП</v>
          </cell>
          <cell r="B17" t="str">
            <v>1Г.Права</v>
          </cell>
          <cell r="D17" t="str">
            <v>Информатики</v>
          </cell>
          <cell r="F17" t="str">
            <v>Реклама и связи с общественностью</v>
          </cell>
        </row>
        <row r="18">
          <cell r="A18" t="str">
            <v>ИУ_ИОвЭ</v>
          </cell>
          <cell r="B18" t="str">
            <v>Г.Права_ГУСЭ</v>
          </cell>
          <cell r="D18" t="str">
            <v>ИСиТ</v>
          </cell>
          <cell r="F18" t="str">
            <v>Сервис</v>
          </cell>
        </row>
        <row r="19">
          <cell r="A19" t="str">
            <v>ИУ_ИСвЭ</v>
          </cell>
          <cell r="B19" t="str">
            <v>ГФ</v>
          </cell>
          <cell r="D19" t="str">
            <v>КТиСО</v>
          </cell>
          <cell r="F19" t="str">
            <v xml:space="preserve">Социальная работа  </v>
          </cell>
        </row>
        <row r="20">
          <cell r="A20" t="str">
            <v>ИУ_ИЯ</v>
          </cell>
          <cell r="B20" t="str">
            <v>ДПИ</v>
          </cell>
          <cell r="D20" t="str">
            <v>К.Права</v>
          </cell>
          <cell r="F20" t="str">
            <v>Социально-культурная деятельность</v>
          </cell>
        </row>
        <row r="21">
          <cell r="A21" t="str">
            <v>ИУ_КДиП</v>
          </cell>
          <cell r="B21" t="str">
            <v>ДИЯ</v>
          </cell>
          <cell r="D21" t="str">
            <v>КФиОБ</v>
          </cell>
          <cell r="F21" t="str">
            <v>Таможенное дело</v>
          </cell>
        </row>
        <row r="22">
          <cell r="A22" t="str">
            <v>ИУ_МО</v>
          </cell>
          <cell r="B22" t="str">
            <v>Д.Костюма</v>
          </cell>
          <cell r="D22" t="str">
            <v>К.Индустрий</v>
          </cell>
          <cell r="F22" t="str">
            <v>Технология продукции и организация общественного питания</v>
          </cell>
        </row>
        <row r="23">
          <cell r="A23" t="str">
            <v>ИУ_МП</v>
          </cell>
          <cell r="B23" t="str">
            <v>Д.Прически</v>
          </cell>
          <cell r="D23" t="str">
            <v>ЛиУЦП</v>
          </cell>
          <cell r="F23" t="str">
            <v>Технология транспортных процессов</v>
          </cell>
        </row>
        <row r="24">
          <cell r="A24" t="str">
            <v>ИУ_ПиП</v>
          </cell>
          <cell r="B24" t="str">
            <v>Журналистики</v>
          </cell>
          <cell r="D24" t="str">
            <v>Маркетинга</v>
          </cell>
          <cell r="F24" t="str">
            <v>Товароведение</v>
          </cell>
        </row>
        <row r="25">
          <cell r="A25" t="str">
            <v>ИУ_ППиЭБ</v>
          </cell>
          <cell r="B25" t="str">
            <v>ИДиЭ</v>
          </cell>
          <cell r="D25" t="str">
            <v>МиОБиЖКН</v>
          </cell>
          <cell r="F25" t="str">
            <v>Торговое дело</v>
          </cell>
        </row>
        <row r="26">
          <cell r="A26" t="str">
            <v>ИУ_РГЯ</v>
          </cell>
          <cell r="B26" t="str">
            <v>Информатики_ГУСЭ</v>
          </cell>
          <cell r="D26" t="str">
            <v>М.Бизнеса</v>
          </cell>
          <cell r="F26" t="str">
            <v xml:space="preserve">Туризм </v>
          </cell>
        </row>
        <row r="27">
          <cell r="A27" t="str">
            <v>ИУ_РЯ</v>
          </cell>
          <cell r="B27" t="str">
            <v>1Информатики</v>
          </cell>
          <cell r="D27" t="str">
            <v>МОМПиИ</v>
          </cell>
          <cell r="F27" t="str">
            <v>Управление качеством</v>
          </cell>
        </row>
        <row r="28">
          <cell r="A28" t="str">
            <v>ИУ_СКСиТ</v>
          </cell>
          <cell r="B28" t="str">
            <v>ИСвЭ</v>
          </cell>
          <cell r="D28" t="str">
            <v>МиИ</v>
          </cell>
          <cell r="F28" t="str">
            <v>фУправление персоналом</v>
          </cell>
        </row>
        <row r="29">
          <cell r="A29" t="str">
            <v>ИУ_Социологии</v>
          </cell>
          <cell r="B29" t="str">
            <v>ИОвЭ</v>
          </cell>
          <cell r="D29" t="str">
            <v>МЭиМЭО</v>
          </cell>
          <cell r="F29" t="str">
            <v>хЭкология и природопользование</v>
          </cell>
        </row>
        <row r="30">
          <cell r="A30" t="str">
            <v>ИУ_ТД</v>
          </cell>
          <cell r="B30" t="str">
            <v>1ИиП</v>
          </cell>
          <cell r="D30" t="str">
            <v>Н.Экономики</v>
          </cell>
          <cell r="F30" t="str">
            <v>Экономика</v>
          </cell>
        </row>
        <row r="31">
          <cell r="A31" t="str">
            <v>ИУ_УКиМ</v>
          </cell>
          <cell r="B31" t="str">
            <v>ИиП_ГУСЭ</v>
          </cell>
          <cell r="D31" t="str">
            <v>НРиСЯиП</v>
          </cell>
          <cell r="F31" t="str">
            <v>Экономическая безопасность</v>
          </cell>
        </row>
        <row r="32">
          <cell r="A32" t="str">
            <v>ИУ_УТиСП</v>
          </cell>
          <cell r="B32" t="str">
            <v>ИЭУиНХ</v>
          </cell>
          <cell r="D32" t="str">
            <v>НРиСЯиП_Няз</v>
          </cell>
          <cell r="F32" t="str">
            <v>Эксплуатация транспортно-технологических машин и комплексов</v>
          </cell>
        </row>
        <row r="33">
          <cell r="A33" t="str">
            <v>ИУ_Философии</v>
          </cell>
          <cell r="B33" t="str">
            <v>Коммерции</v>
          </cell>
          <cell r="D33" t="str">
            <v>НРиСЯиП_Ряз</v>
          </cell>
          <cell r="F33" t="str">
            <v xml:space="preserve">Юриспруденция </v>
          </cell>
        </row>
        <row r="34">
          <cell r="A34" t="str">
            <v>ИУ_ФК</v>
          </cell>
          <cell r="B34" t="str">
            <v>КТиСО</v>
          </cell>
          <cell r="D34" t="str">
            <v>О.Технологий</v>
          </cell>
          <cell r="F34" t="str">
            <v>Прикладной_Туризм</v>
          </cell>
        </row>
        <row r="35">
          <cell r="A35" t="str">
            <v>ИУ_ЭиМНСС</v>
          </cell>
          <cell r="B35" t="str">
            <v>КФиОБ</v>
          </cell>
          <cell r="D35" t="str">
            <v>ОЭТиИЭМ</v>
          </cell>
        </row>
        <row r="36">
          <cell r="A36" t="str">
            <v>ИУ_ЭиМНГХК</v>
          </cell>
          <cell r="B36" t="str">
            <v>К.Права</v>
          </cell>
          <cell r="D36" t="str">
            <v>ПвТ</v>
          </cell>
        </row>
        <row r="37">
          <cell r="A37" t="str">
            <v>ИУ_ЭиМНСС</v>
          </cell>
          <cell r="B37" t="str">
            <v>КФиОБ</v>
          </cell>
          <cell r="D37" t="str">
            <v>1ПМиЭММ</v>
          </cell>
        </row>
        <row r="38">
          <cell r="A38" t="str">
            <v>ИУ_ЭМ</v>
          </cell>
          <cell r="B38" t="str">
            <v>ЛиТП</v>
          </cell>
          <cell r="D38" t="str">
            <v>РЭиП</v>
          </cell>
        </row>
        <row r="39">
          <cell r="A39" t="str">
            <v>ИУ_ЭТиНЭ</v>
          </cell>
          <cell r="B39" t="str">
            <v>ЛиУК</v>
          </cell>
          <cell r="D39" t="str">
            <v>РЯиЛ</v>
          </cell>
        </row>
        <row r="40">
          <cell r="A40" t="str">
            <v>К и Л</v>
          </cell>
          <cell r="B40" t="str">
            <v>Маркетинга_ГУСЭ</v>
          </cell>
          <cell r="D40" t="str">
            <v>СиКВД</v>
          </cell>
        </row>
        <row r="41">
          <cell r="A41" t="str">
            <v>КП</v>
          </cell>
          <cell r="B41" t="str">
            <v>1Маркетинга</v>
          </cell>
          <cell r="D41" t="str">
            <v>СиП</v>
          </cell>
        </row>
        <row r="42">
          <cell r="A42" t="str">
            <v>КТ и СО</v>
          </cell>
          <cell r="B42" t="str">
            <v>МиОБиЖКН</v>
          </cell>
          <cell r="D42" t="str">
            <v>Газпром</v>
          </cell>
        </row>
        <row r="43">
          <cell r="A43" t="str">
            <v>М.Менеджмента</v>
          </cell>
          <cell r="B43" t="str">
            <v>Медиаиндустрии</v>
          </cell>
          <cell r="D43" t="str">
            <v>СиЭ</v>
          </cell>
        </row>
        <row r="44">
          <cell r="A44" t="str">
            <v>Маркетинга</v>
          </cell>
          <cell r="B44" t="str">
            <v>М.Менеджмента</v>
          </cell>
          <cell r="D44" t="str">
            <v>Т.Дела</v>
          </cell>
        </row>
        <row r="45">
          <cell r="A45" t="str">
            <v>МЭО</v>
          </cell>
          <cell r="B45" t="str">
            <v>М.Права</v>
          </cell>
          <cell r="D45" t="str">
            <v>Т.Искусства</v>
          </cell>
        </row>
        <row r="46">
          <cell r="A46" t="str">
            <v>Нсканяз и П</v>
          </cell>
          <cell r="B46" t="str">
            <v>М.Коммуникаций</v>
          </cell>
          <cell r="D46" t="str">
            <v>1ТиИГиП</v>
          </cell>
        </row>
        <row r="47">
          <cell r="A47" t="str">
            <v>ОЭТ</v>
          </cell>
          <cell r="B47" t="str">
            <v>МвГХ</v>
          </cell>
          <cell r="D47" t="str">
            <v>ТязиП</v>
          </cell>
        </row>
        <row r="48">
          <cell r="A48" t="str">
            <v>ПРЭ</v>
          </cell>
          <cell r="B48" t="str">
            <v>МвНиСС</v>
          </cell>
          <cell r="D48" t="str">
            <v>ТОТС</v>
          </cell>
        </row>
        <row r="49">
          <cell r="A49" t="str">
            <v>РЭ и П</v>
          </cell>
          <cell r="B49" t="str">
            <v>МиК</v>
          </cell>
          <cell r="D49" t="str">
            <v>ТДиТ</v>
          </cell>
        </row>
        <row r="50">
          <cell r="A50" t="str">
            <v>РЯ и Л</v>
          </cell>
          <cell r="B50" t="str">
            <v>М.Недвижимости</v>
          </cell>
          <cell r="D50" t="str">
            <v>УПиУП</v>
          </cell>
        </row>
        <row r="51">
          <cell r="A51" t="str">
            <v>Ряз и П</v>
          </cell>
          <cell r="B51" t="str">
            <v>М.Организации</v>
          </cell>
          <cell r="D51" t="str">
            <v>У.Персоналом</v>
          </cell>
        </row>
        <row r="52">
          <cell r="A52" t="str">
            <v>С и УП</v>
          </cell>
          <cell r="B52" t="str">
            <v>МТиСС</v>
          </cell>
          <cell r="D52" t="str">
            <v>Ф.Культуры</v>
          </cell>
        </row>
        <row r="53">
          <cell r="A53" t="str">
            <v>СТ и Т</v>
          </cell>
          <cell r="B53" t="str">
            <v>МЭиМЭО</v>
          </cell>
          <cell r="D53" t="str">
            <v>Философии</v>
          </cell>
        </row>
        <row r="54">
          <cell r="A54" t="str">
            <v>Статистики и Э</v>
          </cell>
          <cell r="B54" t="str">
            <v>Налогообложения</v>
          </cell>
          <cell r="D54" t="str">
            <v>Ф.Права</v>
          </cell>
        </row>
        <row r="55">
          <cell r="A55" t="str">
            <v>Страхования</v>
          </cell>
          <cell r="B55" t="str">
            <v>НсканязиП</v>
          </cell>
          <cell r="D55" t="str">
            <v>1ЭиУвСУ</v>
          </cell>
        </row>
        <row r="56">
          <cell r="A56" t="str">
            <v>Т и ИГ и П</v>
          </cell>
          <cell r="B56" t="str">
            <v>ОЭТ</v>
          </cell>
          <cell r="D56" t="str">
            <v>2ЭиУК</v>
          </cell>
        </row>
        <row r="57">
          <cell r="A57" t="str">
            <v>Тяз и П</v>
          </cell>
          <cell r="B57" t="str">
            <v>1ОиУвНГХК</v>
          </cell>
          <cell r="D57" t="str">
            <v>ЭиУПиПК</v>
          </cell>
        </row>
        <row r="58">
          <cell r="A58" t="str">
            <v>У и ПСЭП им. Лаврикова</v>
          </cell>
          <cell r="B58" t="str">
            <v>2ОиУвС</v>
          </cell>
          <cell r="D58" t="str">
            <v>ЭП</v>
          </cell>
        </row>
        <row r="59">
          <cell r="A59" t="str">
            <v>УПОЭО</v>
          </cell>
          <cell r="B59" t="str">
            <v>ОиУСКД</v>
          </cell>
          <cell r="D59" t="str">
            <v>Э.Труда</v>
          </cell>
        </row>
        <row r="60">
          <cell r="A60" t="str">
            <v>ФВ</v>
          </cell>
          <cell r="B60" t="str">
            <v>ООН</v>
          </cell>
          <cell r="D60" t="str">
            <v>Э.Безопасности</v>
          </cell>
        </row>
        <row r="61">
          <cell r="A61" t="str">
            <v>ФГН</v>
          </cell>
          <cell r="B61" t="str">
            <v>ПиП</v>
          </cell>
          <cell r="D61" t="str">
            <v>Аспирантура</v>
          </cell>
        </row>
        <row r="62">
          <cell r="A62" t="str">
            <v>Философии</v>
          </cell>
          <cell r="B62" t="str">
            <v>ПРЭ</v>
          </cell>
          <cell r="D62" t="str">
            <v>И.Магистратуры</v>
          </cell>
        </row>
        <row r="63">
          <cell r="A63" t="str">
            <v>Финансов</v>
          </cell>
          <cell r="B63" t="str">
            <v>1ПиСП</v>
          </cell>
          <cell r="D63" t="str">
            <v>Дубай</v>
          </cell>
        </row>
        <row r="64">
          <cell r="A64" t="str">
            <v>Хоз.права</v>
          </cell>
          <cell r="B64" t="str">
            <v>ПвТ</v>
          </cell>
        </row>
        <row r="65">
          <cell r="A65" t="str">
            <v>Ц и ОД</v>
          </cell>
          <cell r="B65" t="str">
            <v>ПиУЖКХ</v>
          </cell>
        </row>
        <row r="66">
          <cell r="A66" t="str">
            <v>Э и УК</v>
          </cell>
          <cell r="B66" t="str">
            <v>1ПМиЭ</v>
          </cell>
        </row>
        <row r="67">
          <cell r="A67" t="str">
            <v>Э и УСС</v>
          </cell>
          <cell r="B67" t="str">
            <v>П.Физики</v>
          </cell>
        </row>
        <row r="68">
          <cell r="A68" t="str">
            <v>ЭАЭХД</v>
          </cell>
          <cell r="B68" t="str">
            <v>ПИТ</v>
          </cell>
        </row>
        <row r="69">
          <cell r="A69" t="str">
            <v>Эк ан.яз №1</v>
          </cell>
          <cell r="B69" t="str">
            <v>ПиСЭиСП</v>
          </cell>
        </row>
        <row r="70">
          <cell r="A70" t="str">
            <v>Эк ан.яз №2</v>
          </cell>
          <cell r="B70" t="str">
            <v>ПМиИ</v>
          </cell>
        </row>
        <row r="71">
          <cell r="A71" t="str">
            <v>ЭК и ЭММ</v>
          </cell>
          <cell r="B71" t="str">
            <v>РЭиП</v>
          </cell>
        </row>
        <row r="72">
          <cell r="A72" t="str">
            <v>Экон.истории</v>
          </cell>
          <cell r="B72" t="str">
            <v>РиСО</v>
          </cell>
        </row>
        <row r="73">
          <cell r="A73" t="str">
            <v>ЭП и ПМ</v>
          </cell>
          <cell r="B73" t="str">
            <v>РиТ</v>
          </cell>
        </row>
        <row r="74">
          <cell r="A74" t="str">
            <v>ЭТ и МЭ</v>
          </cell>
          <cell r="B74" t="str">
            <v>Р.Бизнеса</v>
          </cell>
        </row>
        <row r="75">
          <cell r="A75" t="str">
            <v>ЭТ и ТР</v>
          </cell>
          <cell r="B75" t="str">
            <v>РязиП</v>
          </cell>
        </row>
        <row r="76">
          <cell r="B76" t="str">
            <v>1РЯиКР</v>
          </cell>
        </row>
        <row r="77">
          <cell r="B77" t="str">
            <v>РЯиЛ</v>
          </cell>
        </row>
        <row r="78">
          <cell r="B78" t="str">
            <v>СиКВД</v>
          </cell>
        </row>
        <row r="79">
          <cell r="B79" t="str">
            <v>СиСР</v>
          </cell>
        </row>
        <row r="80">
          <cell r="B80" t="str">
            <v>СиЭ</v>
          </cell>
        </row>
        <row r="81">
          <cell r="B81" t="str">
            <v>СиУР</v>
          </cell>
        </row>
        <row r="82">
          <cell r="B82" t="str">
            <v>Т.Дела</v>
          </cell>
        </row>
        <row r="83">
          <cell r="B83" t="str">
            <v>Т.Искусства</v>
          </cell>
        </row>
        <row r="84">
          <cell r="B84" t="str">
            <v>1ТиИГиП</v>
          </cell>
        </row>
        <row r="85">
          <cell r="B85" t="str">
            <v>ТиИПиГ_ГУСЭ</v>
          </cell>
        </row>
        <row r="86">
          <cell r="B86" t="str">
            <v>ТязиП</v>
          </cell>
        </row>
        <row r="87">
          <cell r="B87" t="str">
            <v>Т.Механики</v>
          </cell>
        </row>
        <row r="88">
          <cell r="B88" t="str">
            <v>ТОТС</v>
          </cell>
        </row>
        <row r="89">
          <cell r="B89" t="str">
            <v>ИМиК</v>
          </cell>
        </row>
        <row r="90">
          <cell r="B90" t="str">
            <v>УгП_ГУСЭ</v>
          </cell>
        </row>
        <row r="91">
          <cell r="B91" t="str">
            <v>УПиУП</v>
          </cell>
        </row>
        <row r="92">
          <cell r="B92" t="str">
            <v>У.Персоналом</v>
          </cell>
        </row>
        <row r="93">
          <cell r="B93" t="str">
            <v>УТС</v>
          </cell>
        </row>
        <row r="94">
          <cell r="B94" t="str">
            <v>УТиСП</v>
          </cell>
        </row>
        <row r="95">
          <cell r="B95" t="str">
            <v>УЦПиТ</v>
          </cell>
        </row>
        <row r="96">
          <cell r="B96" t="str">
            <v>УиФУиО</v>
          </cell>
        </row>
        <row r="97">
          <cell r="B97" t="str">
            <v>ФВиС</v>
          </cell>
        </row>
        <row r="98">
          <cell r="B98" t="str">
            <v>Ф.Культуры</v>
          </cell>
        </row>
        <row r="99">
          <cell r="B99" t="str">
            <v>1Философии</v>
          </cell>
        </row>
        <row r="100">
          <cell r="B100" t="str">
            <v>Философии_ГУСЭ</v>
          </cell>
        </row>
        <row r="101">
          <cell r="B101" t="str">
            <v>ФиК</v>
          </cell>
        </row>
        <row r="102">
          <cell r="B102" t="str">
            <v>ФиАП</v>
          </cell>
        </row>
        <row r="103">
          <cell r="B103" t="str">
            <v>Химии</v>
          </cell>
        </row>
        <row r="104">
          <cell r="B104" t="str">
            <v>Х.Права</v>
          </cell>
        </row>
        <row r="105">
          <cell r="B105" t="str">
            <v>1ЭиУвСУ</v>
          </cell>
        </row>
        <row r="106">
          <cell r="B106" t="str">
            <v>2ЭиУК</v>
          </cell>
        </row>
        <row r="107">
          <cell r="B107" t="str">
            <v>ЭиУП</v>
          </cell>
        </row>
        <row r="108">
          <cell r="B108" t="str">
            <v>ЭП</v>
          </cell>
        </row>
        <row r="109">
          <cell r="B109" t="str">
            <v>ЭПиСЭ</v>
          </cell>
        </row>
        <row r="110">
          <cell r="B110" t="str">
            <v>Э.Труда</v>
          </cell>
        </row>
        <row r="111">
          <cell r="B111" t="str">
            <v>Эк.ан.яз.№1</v>
          </cell>
        </row>
        <row r="112">
          <cell r="B112" t="str">
            <v>Эк.ан.яз.№2</v>
          </cell>
        </row>
        <row r="113">
          <cell r="B113" t="str">
            <v>ЭКиЭММ</v>
          </cell>
        </row>
        <row r="114">
          <cell r="B114" t="str">
            <v>ЭТиЭП</v>
          </cell>
        </row>
        <row r="132">
          <cell r="B132" t="str">
            <v>3,5г</v>
          </cell>
          <cell r="C132" t="str">
            <v>з</v>
          </cell>
          <cell r="D132" t="str">
            <v>заочная</v>
          </cell>
        </row>
        <row r="133">
          <cell r="B133" t="str">
            <v>4,5г</v>
          </cell>
          <cell r="C133" t="str">
            <v>д</v>
          </cell>
          <cell r="D133" t="str">
            <v>очная</v>
          </cell>
        </row>
        <row r="134">
          <cell r="B134" t="str">
            <v>4г</v>
          </cell>
          <cell r="C134" t="str">
            <v>в</v>
          </cell>
          <cell r="D134" t="str">
            <v>очно-заочная (вечерняя)</v>
          </cell>
        </row>
        <row r="135">
          <cell r="B135" t="str">
            <v>5л</v>
          </cell>
        </row>
        <row r="136">
          <cell r="B136" t="str">
            <v>5,5л</v>
          </cell>
        </row>
      </sheetData>
      <sheetData sheetId="5">
        <row r="4">
          <cell r="H4" t="str">
            <v>Бизнес-информатика</v>
          </cell>
          <cell r="J4" t="str">
            <v>ДА</v>
          </cell>
        </row>
        <row r="5">
          <cell r="H5" t="str">
            <v>Гостиничное дело</v>
          </cell>
          <cell r="J5" t="str">
            <v>ОиУвГиРБ</v>
          </cell>
        </row>
        <row r="6">
          <cell r="H6" t="str">
            <v>Государственное и муниципальное управление</v>
          </cell>
          <cell r="J6" t="str">
            <v>ГиМУвР</v>
          </cell>
        </row>
        <row r="7">
          <cell r="H7" t="str">
            <v>Государственное и муниципальное управление</v>
          </cell>
          <cell r="J7" t="str">
            <v>ГиМУВПвР</v>
          </cell>
        </row>
        <row r="8">
          <cell r="H8" t="str">
            <v xml:space="preserve">Декоративно- прикладное искусство и народные промыслы      </v>
          </cell>
          <cell r="J8" t="str">
            <v>ХОК</v>
          </cell>
        </row>
        <row r="9">
          <cell r="H9" t="str">
            <v>Журналистика</v>
          </cell>
          <cell r="J9" t="str">
            <v>ЭЖ</v>
          </cell>
        </row>
        <row r="10">
          <cell r="H10" t="str">
            <v>Зарубежное регионоведение</v>
          </cell>
          <cell r="J10" t="str">
            <v>АТР</v>
          </cell>
        </row>
        <row r="11">
          <cell r="H11" t="str">
            <v>Зарубежное регионоведение</v>
          </cell>
          <cell r="J11" t="str">
            <v>З.Европа</v>
          </cell>
        </row>
        <row r="12">
          <cell r="H12" t="str">
            <v>Зарубежное регионоведение</v>
          </cell>
          <cell r="J12" t="str">
            <v>ЗЕ</v>
          </cell>
        </row>
        <row r="13">
          <cell r="H13" t="str">
            <v>Зарубежное регионоведение</v>
          </cell>
          <cell r="J13" t="str">
            <v>ЛА</v>
          </cell>
        </row>
        <row r="14">
          <cell r="H14" t="str">
            <v>Зарубежное регионоведение</v>
          </cell>
          <cell r="J14" t="str">
            <v>С.Европа</v>
          </cell>
        </row>
        <row r="15">
          <cell r="H15" t="str">
            <v>Информационная безопасность</v>
          </cell>
          <cell r="J15" t="str">
            <v>БКС</v>
          </cell>
        </row>
        <row r="16">
          <cell r="H16" t="str">
            <v>Информационные системы и технологии</v>
          </cell>
          <cell r="J16" t="str">
            <v>ИТвДР</v>
          </cell>
        </row>
        <row r="17">
          <cell r="H17" t="str">
            <v>Искусство костюма и текстиля</v>
          </cell>
          <cell r="J17" t="str">
            <v>ХПК</v>
          </cell>
        </row>
        <row r="18">
          <cell r="H18" t="str">
            <v>Лингвистика</v>
          </cell>
          <cell r="J18" t="str">
            <v>ПиПвСЭиФ</v>
          </cell>
        </row>
        <row r="19">
          <cell r="H19" t="str">
            <v>Международные отношения</v>
          </cell>
          <cell r="J19" t="str">
            <v>ВПРиЗС</v>
          </cell>
        </row>
        <row r="20">
          <cell r="H20" t="str">
            <v xml:space="preserve">Менеджмент </v>
          </cell>
          <cell r="J20" t="str">
            <v>БА</v>
          </cell>
        </row>
        <row r="21">
          <cell r="H21" t="str">
            <v xml:space="preserve">Менеджмент </v>
          </cell>
          <cell r="J21" t="str">
            <v>КУ</v>
          </cell>
        </row>
        <row r="22">
          <cell r="H22" t="str">
            <v xml:space="preserve">Менеджмент </v>
          </cell>
          <cell r="J22" t="str">
            <v>ЛиУЦП</v>
          </cell>
        </row>
        <row r="23">
          <cell r="H23" t="str">
            <v xml:space="preserve">Менеджмент </v>
          </cell>
          <cell r="J23" t="str">
            <v>МиУБ</v>
          </cell>
        </row>
        <row r="24">
          <cell r="H24" t="str">
            <v xml:space="preserve">Менеджмент </v>
          </cell>
          <cell r="J24" t="str">
            <v>МБ</v>
          </cell>
        </row>
        <row r="25">
          <cell r="H25" t="str">
            <v xml:space="preserve">Менеджмент </v>
          </cell>
          <cell r="J25" t="str">
            <v>МвНГХК</v>
          </cell>
        </row>
        <row r="26">
          <cell r="H26" t="str">
            <v xml:space="preserve">Менеджмент </v>
          </cell>
          <cell r="J26" t="str">
            <v>ПМ</v>
          </cell>
        </row>
        <row r="27">
          <cell r="H27" t="str">
            <v xml:space="preserve">Менеджмент </v>
          </cell>
          <cell r="J27" t="str">
            <v>ТиГ</v>
          </cell>
        </row>
        <row r="28">
          <cell r="H28" t="str">
            <v xml:space="preserve">Менеджмент </v>
          </cell>
          <cell r="J28" t="str">
            <v>УГиЧП</v>
          </cell>
        </row>
        <row r="29">
          <cell r="H29" t="str">
            <v xml:space="preserve">Менеджмент </v>
          </cell>
          <cell r="J29" t="str">
            <v>1УП</v>
          </cell>
        </row>
        <row r="30">
          <cell r="H30" t="str">
            <v xml:space="preserve">Менеджмент </v>
          </cell>
          <cell r="J30" t="str">
            <v>ФМ</v>
          </cell>
        </row>
        <row r="31">
          <cell r="H31" t="str">
            <v xml:space="preserve">Менеджмент </v>
          </cell>
          <cell r="J31" t="str">
            <v>2УПиБ</v>
          </cell>
        </row>
        <row r="32">
          <cell r="H32" t="str">
            <v xml:space="preserve">Менеджмент </v>
          </cell>
          <cell r="J32" t="str">
            <v>УПП</v>
          </cell>
        </row>
        <row r="33">
          <cell r="H33" t="str">
            <v>Правовое обеспечение национальной безопасности</v>
          </cell>
          <cell r="J33" t="str">
            <v>ГосП</v>
          </cell>
        </row>
        <row r="34">
          <cell r="H34" t="str">
            <v>Прикладная информатика</v>
          </cell>
          <cell r="J34" t="str">
            <v>УБПиП</v>
          </cell>
        </row>
        <row r="35">
          <cell r="H35" t="str">
            <v xml:space="preserve">Прикладная математика и информатика  </v>
          </cell>
          <cell r="J35" t="str">
            <v>ПМиИвЭиУ</v>
          </cell>
        </row>
        <row r="36">
          <cell r="H36" t="str">
            <v>Реклама и связи с общественностью</v>
          </cell>
          <cell r="J36" t="str">
            <v>РиСсОвБ</v>
          </cell>
        </row>
        <row r="37">
          <cell r="H37" t="str">
            <v>Сервис</v>
          </cell>
          <cell r="J37" t="str">
            <v>КВД</v>
          </cell>
        </row>
        <row r="38">
          <cell r="H38" t="str">
            <v>Сервис</v>
          </cell>
          <cell r="J38" t="str">
            <v>СТС</v>
          </cell>
        </row>
        <row r="39">
          <cell r="H39" t="str">
            <v xml:space="preserve">Социальная работа  </v>
          </cell>
          <cell r="J39" t="str">
            <v>СРвССС</v>
          </cell>
        </row>
        <row r="40">
          <cell r="H40" t="str">
            <v>Социально-культурная деятельность</v>
          </cell>
          <cell r="J40" t="str">
            <v>СКТвИД</v>
          </cell>
        </row>
        <row r="41">
          <cell r="H41" t="str">
            <v>Таможенное дело</v>
          </cell>
          <cell r="J41" t="str">
            <v>ОТК</v>
          </cell>
        </row>
        <row r="42">
          <cell r="H42" t="str">
            <v>Таможенное дело</v>
          </cell>
          <cell r="J42" t="str">
            <v>ТЛ</v>
          </cell>
        </row>
        <row r="43">
          <cell r="H43" t="str">
            <v>Таможенное дело</v>
          </cell>
          <cell r="J43" t="str">
            <v>ТА</v>
          </cell>
        </row>
        <row r="44">
          <cell r="H44" t="str">
            <v>Таможенное дело</v>
          </cell>
          <cell r="J44" t="str">
            <v>ТМ</v>
          </cell>
        </row>
        <row r="45">
          <cell r="H45" t="str">
            <v>Технология продукции и организация общественного питания</v>
          </cell>
          <cell r="J45" t="str">
            <v>ТОРД</v>
          </cell>
        </row>
        <row r="46">
          <cell r="H46" t="str">
            <v>Технология транспортных процессов</v>
          </cell>
          <cell r="J46" t="str">
            <v>ОПиУнаАТ</v>
          </cell>
        </row>
        <row r="47">
          <cell r="H47" t="str">
            <v>Товароведение</v>
          </cell>
          <cell r="J47" t="str">
            <v>ТиЭТвВиВТ</v>
          </cell>
        </row>
        <row r="48">
          <cell r="H48" t="str">
            <v>Товароведение</v>
          </cell>
          <cell r="J48" t="str">
            <v>ТМиЭ</v>
          </cell>
        </row>
        <row r="49">
          <cell r="H49" t="str">
            <v>Торговое дело</v>
          </cell>
          <cell r="J49" t="str">
            <v>МТиКД</v>
          </cell>
        </row>
        <row r="50">
          <cell r="H50" t="str">
            <v>Торговое дело</v>
          </cell>
          <cell r="J50" t="str">
            <v>К</v>
          </cell>
        </row>
        <row r="51">
          <cell r="H51" t="str">
            <v>Торговое дело</v>
          </cell>
          <cell r="J51" t="str">
            <v>МиЛвТБ</v>
          </cell>
        </row>
        <row r="52">
          <cell r="H52" t="str">
            <v xml:space="preserve">Туризм </v>
          </cell>
          <cell r="J52" t="str">
            <v>ОиУвИТ</v>
          </cell>
        </row>
        <row r="53">
          <cell r="H53" t="str">
            <v>Прикладной_Туризм</v>
          </cell>
          <cell r="J53" t="str">
            <v>ОиУвИТ</v>
          </cell>
        </row>
        <row r="54">
          <cell r="H54" t="str">
            <v>Управление качеством</v>
          </cell>
          <cell r="J54" t="str">
            <v>УКвБС</v>
          </cell>
        </row>
        <row r="55">
          <cell r="H55" t="str">
            <v>фУправление персоналом</v>
          </cell>
          <cell r="J55" t="str">
            <v>КМ</v>
          </cell>
        </row>
        <row r="56">
          <cell r="H56" t="str">
            <v>хЭкология и природопользование</v>
          </cell>
          <cell r="J56" t="str">
            <v>П</v>
          </cell>
        </row>
        <row r="57">
          <cell r="H57" t="str">
            <v>Экономика</v>
          </cell>
          <cell r="J57" t="str">
            <v>БУАиА</v>
          </cell>
        </row>
        <row r="58">
          <cell r="H58" t="str">
            <v>Экономика</v>
          </cell>
          <cell r="J58" t="str">
            <v>ММиСА</v>
          </cell>
        </row>
        <row r="59">
          <cell r="H59" t="str">
            <v>Экономика</v>
          </cell>
          <cell r="J59" t="str">
            <v>МЭиТП</v>
          </cell>
        </row>
        <row r="60">
          <cell r="H60" t="str">
            <v>Экономика</v>
          </cell>
          <cell r="J60" t="str">
            <v>НЭ</v>
          </cell>
        </row>
        <row r="61">
          <cell r="H61" t="str">
            <v>Экономика</v>
          </cell>
          <cell r="J61" t="str">
            <v>ФиК</v>
          </cell>
        </row>
        <row r="62">
          <cell r="H62" t="str">
            <v>Экономика</v>
          </cell>
          <cell r="J62" t="str">
            <v>ЭПиО</v>
          </cell>
        </row>
        <row r="63">
          <cell r="H63" t="str">
            <v>Экономическая безопасность</v>
          </cell>
          <cell r="J63" t="str">
            <v>СЭЭ</v>
          </cell>
        </row>
        <row r="64">
          <cell r="H64" t="str">
            <v>Экономическая безопасность</v>
          </cell>
          <cell r="J64" t="str">
            <v>ЭПОЭБ</v>
          </cell>
        </row>
        <row r="65">
          <cell r="H65" t="str">
            <v>Эксплуатация транспортно-технологических машин и комплексов</v>
          </cell>
          <cell r="J65" t="str">
            <v>АС</v>
          </cell>
        </row>
        <row r="66">
          <cell r="H66" t="str">
            <v xml:space="preserve">Юриспруденция </v>
          </cell>
          <cell r="J66" t="str">
            <v>ПиЭ</v>
          </cell>
        </row>
      </sheetData>
      <sheetData sheetId="6">
        <row r="8">
          <cell r="E8" t="str">
            <v>фУправление персоналом</v>
          </cell>
        </row>
      </sheetData>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Нагр_БАК"/>
      <sheetName val="ИИЯ"/>
      <sheetName val="УП каф"/>
      <sheetName val="гр_КСР"/>
    </sheetNames>
    <sheetDataSet>
      <sheetData sheetId="0">
        <row r="2">
          <cell r="D2" t="str">
            <v>Автосервиса</v>
          </cell>
        </row>
      </sheetData>
      <sheetData sheetId="1">
        <row r="2">
          <cell r="D2" t="str">
            <v>Автосервиса</v>
          </cell>
        </row>
      </sheetData>
      <sheetData sheetId="2">
        <row r="2">
          <cell r="D2" t="str">
            <v>Автосервиса</v>
          </cell>
        </row>
      </sheetData>
      <sheetData sheetId="3">
        <row r="2">
          <cell r="D2" t="str">
            <v>Автосервиса</v>
          </cell>
        </row>
      </sheetData>
      <sheetData sheetId="4">
        <row r="2">
          <cell r="D2" t="str">
            <v>Автосервиса</v>
          </cell>
          <cell r="I2" t="str">
            <v>М.И.Барабанова</v>
          </cell>
        </row>
        <row r="3">
          <cell r="D3" t="str">
            <v>1А.Языка№1</v>
          </cell>
          <cell r="I3" t="str">
            <v>О.Н.Кострюкова</v>
          </cell>
        </row>
        <row r="4">
          <cell r="D4" t="str">
            <v>2А.Языка№2</v>
          </cell>
          <cell r="I4" t="str">
            <v>И.В.Федосеев</v>
          </cell>
        </row>
        <row r="5">
          <cell r="D5" t="str">
            <v>АязиП</v>
          </cell>
          <cell r="I5" t="str">
            <v>О.Н.Кострюкова</v>
          </cell>
        </row>
        <row r="6">
          <cell r="D6" t="str">
            <v>АиВК</v>
          </cell>
          <cell r="I6" t="str">
            <v>М.А.Клупт</v>
          </cell>
        </row>
        <row r="7">
          <cell r="D7" t="str">
            <v>БФРиС</v>
          </cell>
          <cell r="I7" t="str">
            <v>М.А.Клупт</v>
          </cell>
        </row>
        <row r="8">
          <cell r="D8" t="str">
            <v>БЗвЧС</v>
          </cell>
          <cell r="I8" t="str">
            <v>М.И.Барабанова</v>
          </cell>
        </row>
        <row r="9">
          <cell r="D9" t="str">
            <v>БУиА</v>
          </cell>
          <cell r="I9" t="str">
            <v>М.И.Барабанова</v>
          </cell>
        </row>
        <row r="10">
          <cell r="D10" t="str">
            <v>В.Математики</v>
          </cell>
          <cell r="I10" t="str">
            <v>О.Н.Кострюкова</v>
          </cell>
        </row>
        <row r="11">
          <cell r="D11" t="str">
            <v>ВСиП</v>
          </cell>
          <cell r="I11" t="str">
            <v>М.А.Клупт</v>
          </cell>
        </row>
        <row r="12">
          <cell r="D12" t="str">
            <v>ГиРБ</v>
          </cell>
          <cell r="I12" t="str">
            <v>М.А.Клупт</v>
          </cell>
        </row>
        <row r="13">
          <cell r="D13" t="str">
            <v>ГиТУ</v>
          </cell>
          <cell r="I13" t="str">
            <v>Е.Ю.Суслов</v>
          </cell>
        </row>
        <row r="14">
          <cell r="D14" t="str">
            <v>ГМФ</v>
          </cell>
          <cell r="I14" t="str">
            <v xml:space="preserve">Н.А.Крайнова </v>
          </cell>
        </row>
        <row r="15">
          <cell r="D15" t="str">
            <v>Г.Права</v>
          </cell>
          <cell r="I15" t="str">
            <v>М.И.Барабанова</v>
          </cell>
        </row>
        <row r="16">
          <cell r="D16" t="str">
            <v>И.Дисциплин</v>
          </cell>
          <cell r="I16" t="str">
            <v>М.И.Барабанова</v>
          </cell>
        </row>
        <row r="17">
          <cell r="D17" t="str">
            <v>Информатики</v>
          </cell>
        </row>
        <row r="18">
          <cell r="D18" t="str">
            <v>ИСиТ</v>
          </cell>
        </row>
        <row r="19">
          <cell r="D19" t="str">
            <v>КТиСО</v>
          </cell>
        </row>
        <row r="20">
          <cell r="D20" t="str">
            <v>К.Права</v>
          </cell>
        </row>
        <row r="21">
          <cell r="D21" t="str">
            <v>КФиОБ</v>
          </cell>
        </row>
        <row r="22">
          <cell r="D22" t="str">
            <v>К.Индустрий</v>
          </cell>
        </row>
        <row r="23">
          <cell r="D23" t="str">
            <v>ЛиУЦП</v>
          </cell>
        </row>
        <row r="24">
          <cell r="D24" t="str">
            <v>Маркетинга</v>
          </cell>
        </row>
        <row r="25">
          <cell r="D25" t="str">
            <v>МиОБиЖКН</v>
          </cell>
        </row>
        <row r="26">
          <cell r="D26" t="str">
            <v>М.Бизнеса</v>
          </cell>
        </row>
        <row r="27">
          <cell r="D27" t="str">
            <v>МОМПиИ</v>
          </cell>
        </row>
        <row r="28">
          <cell r="D28" t="str">
            <v>МиИ</v>
          </cell>
        </row>
        <row r="29">
          <cell r="D29" t="str">
            <v>МЭиМЭО</v>
          </cell>
        </row>
        <row r="30">
          <cell r="D30" t="str">
            <v>Н.Экономики</v>
          </cell>
        </row>
        <row r="31">
          <cell r="D31" t="str">
            <v>НРиСЯиП</v>
          </cell>
        </row>
        <row r="32">
          <cell r="D32" t="str">
            <v>НРиСЯиП_Няз</v>
          </cell>
        </row>
        <row r="33">
          <cell r="D33" t="str">
            <v>НРиСЯиП_Ряз</v>
          </cell>
        </row>
        <row r="34">
          <cell r="D34" t="str">
            <v>О.Технологий</v>
          </cell>
        </row>
        <row r="35">
          <cell r="D35" t="str">
            <v>ОЭТиИЭМ</v>
          </cell>
        </row>
        <row r="36">
          <cell r="D36" t="str">
            <v>ПвТ</v>
          </cell>
        </row>
        <row r="37">
          <cell r="D37" t="str">
            <v>1ПМиЭММ</v>
          </cell>
        </row>
        <row r="38">
          <cell r="D38" t="str">
            <v>РЭиП</v>
          </cell>
        </row>
        <row r="39">
          <cell r="D39" t="str">
            <v>РЯиЛ</v>
          </cell>
        </row>
        <row r="40">
          <cell r="D40" t="str">
            <v>СиКВД</v>
          </cell>
        </row>
        <row r="41">
          <cell r="D41" t="str">
            <v>СиП</v>
          </cell>
        </row>
        <row r="42">
          <cell r="D42" t="str">
            <v>Газпром</v>
          </cell>
        </row>
        <row r="43">
          <cell r="D43" t="str">
            <v>СиЭ</v>
          </cell>
        </row>
        <row r="44">
          <cell r="D44" t="str">
            <v>Т.Дела</v>
          </cell>
        </row>
        <row r="45">
          <cell r="D45" t="str">
            <v>Т.Искусства</v>
          </cell>
        </row>
        <row r="46">
          <cell r="D46" t="str">
            <v>1ТиИГиП</v>
          </cell>
        </row>
        <row r="47">
          <cell r="D47" t="str">
            <v>ТязиП</v>
          </cell>
        </row>
        <row r="48">
          <cell r="D48" t="str">
            <v>ТОТС</v>
          </cell>
        </row>
        <row r="49">
          <cell r="D49" t="str">
            <v>ТДиТ</v>
          </cell>
        </row>
        <row r="50">
          <cell r="D50" t="str">
            <v>УПиУП</v>
          </cell>
        </row>
        <row r="51">
          <cell r="D51" t="str">
            <v>У.Персоналом</v>
          </cell>
        </row>
        <row r="52">
          <cell r="D52" t="str">
            <v>Ф.Культуры</v>
          </cell>
        </row>
        <row r="53">
          <cell r="D53" t="str">
            <v>Философии</v>
          </cell>
        </row>
        <row r="54">
          <cell r="D54" t="str">
            <v>Ф.Права</v>
          </cell>
        </row>
        <row r="55">
          <cell r="D55" t="str">
            <v>1ЭиУвСУ</v>
          </cell>
        </row>
        <row r="56">
          <cell r="D56" t="str">
            <v>2ЭиУК</v>
          </cell>
        </row>
        <row r="57">
          <cell r="D57" t="str">
            <v>ЭиУПиПК</v>
          </cell>
        </row>
        <row r="58">
          <cell r="D58" t="str">
            <v>ЭП</v>
          </cell>
        </row>
        <row r="59">
          <cell r="D59" t="str">
            <v>Э.Труда</v>
          </cell>
        </row>
        <row r="60">
          <cell r="D60" t="str">
            <v>Э.Безопасности</v>
          </cell>
        </row>
        <row r="61">
          <cell r="D61" t="str">
            <v>Аспирантура</v>
          </cell>
        </row>
        <row r="62">
          <cell r="D62" t="str">
            <v>И.Магистратуры</v>
          </cell>
        </row>
        <row r="63">
          <cell r="D63" t="str">
            <v>Дубай</v>
          </cell>
        </row>
        <row r="64">
          <cell r="D64">
            <v>0</v>
          </cell>
        </row>
        <row r="65">
          <cell r="D65">
            <v>0</v>
          </cell>
        </row>
        <row r="66">
          <cell r="D66">
            <v>0</v>
          </cell>
        </row>
        <row r="67">
          <cell r="D67">
            <v>0</v>
          </cell>
        </row>
        <row r="68">
          <cell r="D68">
            <v>0</v>
          </cell>
        </row>
        <row r="69">
          <cell r="D69">
            <v>0</v>
          </cell>
        </row>
        <row r="70">
          <cell r="D70">
            <v>0</v>
          </cell>
        </row>
        <row r="71">
          <cell r="D71">
            <v>0</v>
          </cell>
        </row>
        <row r="72">
          <cell r="D72">
            <v>0</v>
          </cell>
        </row>
        <row r="73">
          <cell r="D73">
            <v>0</v>
          </cell>
        </row>
        <row r="74">
          <cell r="D74">
            <v>0</v>
          </cell>
        </row>
        <row r="75">
          <cell r="D75">
            <v>0</v>
          </cell>
        </row>
        <row r="76">
          <cell r="D76">
            <v>0</v>
          </cell>
        </row>
        <row r="77">
          <cell r="D77">
            <v>0</v>
          </cell>
        </row>
        <row r="78">
          <cell r="D78">
            <v>0</v>
          </cell>
        </row>
        <row r="79">
          <cell r="D79">
            <v>0</v>
          </cell>
        </row>
        <row r="80">
          <cell r="D80">
            <v>0</v>
          </cell>
        </row>
        <row r="81">
          <cell r="D81">
            <v>0</v>
          </cell>
        </row>
        <row r="82">
          <cell r="D82">
            <v>0</v>
          </cell>
        </row>
        <row r="83">
          <cell r="D83">
            <v>0</v>
          </cell>
        </row>
        <row r="84">
          <cell r="D84">
            <v>0</v>
          </cell>
        </row>
        <row r="85">
          <cell r="D85">
            <v>0</v>
          </cell>
        </row>
        <row r="86">
          <cell r="D86">
            <v>0</v>
          </cell>
        </row>
        <row r="87">
          <cell r="D87">
            <v>0</v>
          </cell>
        </row>
        <row r="88">
          <cell r="D88">
            <v>0</v>
          </cell>
        </row>
        <row r="89">
          <cell r="D89">
            <v>0</v>
          </cell>
        </row>
        <row r="90">
          <cell r="D90">
            <v>0</v>
          </cell>
        </row>
        <row r="91">
          <cell r="D91">
            <v>0</v>
          </cell>
        </row>
        <row r="92">
          <cell r="D92">
            <v>0</v>
          </cell>
        </row>
        <row r="93">
          <cell r="D93">
            <v>0</v>
          </cell>
        </row>
        <row r="94">
          <cell r="D94">
            <v>0</v>
          </cell>
        </row>
        <row r="95">
          <cell r="D95">
            <v>0</v>
          </cell>
        </row>
        <row r="96">
          <cell r="D96">
            <v>0</v>
          </cell>
        </row>
        <row r="97">
          <cell r="D97">
            <v>0</v>
          </cell>
        </row>
        <row r="98">
          <cell r="D98">
            <v>0</v>
          </cell>
        </row>
        <row r="99">
          <cell r="D99">
            <v>0</v>
          </cell>
        </row>
        <row r="100">
          <cell r="D100">
            <v>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3">
    <pageSetUpPr fitToPage="1"/>
  </sheetPr>
  <dimension ref="A1:CH265"/>
  <sheetViews>
    <sheetView showZeros="0" tabSelected="1" view="pageBreakPreview" topLeftCell="A21" zoomScale="70" zoomScaleNormal="70" zoomScaleSheetLayoutView="70" workbookViewId="0">
      <selection activeCell="K25" sqref="K25:K30"/>
    </sheetView>
  </sheetViews>
  <sheetFormatPr defaultColWidth="4.28515625" defaultRowHeight="15.75" outlineLevelCol="2" x14ac:dyDescent="0.25"/>
  <cols>
    <col min="1" max="1" width="8.140625" style="398" customWidth="1"/>
    <col min="2" max="2" width="4.5703125" style="399" customWidth="1"/>
    <col min="3" max="3" width="8.7109375" style="400" customWidth="1"/>
    <col min="4" max="4" width="36.5703125" style="432" customWidth="1"/>
    <col min="5" max="5" width="5.5703125" style="72" customWidth="1"/>
    <col min="6" max="6" width="8.140625" style="72" customWidth="1"/>
    <col min="7" max="10" width="4.85546875" style="201" customWidth="1"/>
    <col min="11" max="12" width="4.85546875" style="539" customWidth="1"/>
    <col min="13" max="14" width="4.85546875" style="201" customWidth="1"/>
    <col min="15" max="16" width="4.7109375" style="201" hidden="1" customWidth="1" outlineLevel="1"/>
    <col min="17" max="18" width="4.7109375" style="201" hidden="1" customWidth="1" outlineLevel="2"/>
    <col min="19" max="19" width="6.28515625" style="72" customWidth="1" collapsed="1"/>
    <col min="20" max="20" width="6.28515625" style="72" customWidth="1"/>
    <col min="21" max="21" width="6.85546875" style="72" customWidth="1"/>
    <col min="22" max="22" width="6.28515625" style="72" customWidth="1"/>
    <col min="23" max="23" width="9.7109375" style="72" customWidth="1"/>
    <col min="24" max="24" width="8.85546875" style="72" customWidth="1"/>
    <col min="25" max="25" width="8.5703125" style="72" customWidth="1"/>
    <col min="26" max="26" width="11.42578125" style="72" customWidth="1"/>
    <col min="27" max="27" width="7.7109375" style="72" customWidth="1"/>
    <col min="28" max="28" width="7.7109375" style="72" hidden="1" customWidth="1"/>
    <col min="29" max="35" width="7.7109375" style="72" hidden="1" customWidth="1" outlineLevel="1"/>
    <col min="36" max="36" width="6.7109375" style="72" hidden="1" customWidth="1" outlineLevel="1"/>
    <col min="37" max="37" width="10" style="72" customWidth="1" collapsed="1"/>
    <col min="38" max="38" width="11.42578125" style="72" hidden="1" customWidth="1" outlineLevel="1"/>
    <col min="39" max="39" width="8.85546875" style="72" hidden="1" customWidth="1" outlineLevel="1"/>
    <col min="40" max="40" width="5.28515625" style="72" customWidth="1" collapsed="1"/>
    <col min="41" max="63" width="5.28515625" style="72" customWidth="1"/>
    <col min="64" max="69" width="3.7109375" style="72" hidden="1" customWidth="1" outlineLevel="1"/>
    <col min="70" max="75" width="3.7109375" style="72" hidden="1" customWidth="1" outlineLevel="2"/>
    <col min="76" max="76" width="21.140625" style="72" customWidth="1" collapsed="1"/>
    <col min="77" max="77" width="10.28515625" style="400" customWidth="1"/>
    <col min="78" max="79" width="9.140625" style="72" customWidth="1"/>
    <col min="80" max="80" width="4" style="72" customWidth="1"/>
    <col min="81" max="83" width="4.28515625" style="72"/>
    <col min="84" max="84" width="6" style="72" customWidth="1"/>
    <col min="85" max="16384" width="4.28515625" style="72"/>
  </cols>
  <sheetData>
    <row r="1" spans="1:86" ht="71.25" customHeight="1" x14ac:dyDescent="0.25">
      <c r="A1" s="799" t="s">
        <v>328</v>
      </c>
      <c r="B1" s="799"/>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799"/>
      <c r="AN1" s="799"/>
      <c r="AO1" s="799"/>
      <c r="AP1" s="799"/>
      <c r="AQ1" s="799"/>
      <c r="AR1" s="799"/>
      <c r="AS1" s="799"/>
      <c r="AT1" s="799"/>
      <c r="AU1" s="799"/>
      <c r="AV1" s="799"/>
      <c r="AW1" s="799"/>
      <c r="AX1" s="799"/>
      <c r="AY1" s="799"/>
      <c r="AZ1" s="799"/>
      <c r="BA1" s="799"/>
      <c r="BB1" s="799"/>
      <c r="BC1" s="799"/>
      <c r="BD1" s="799"/>
      <c r="BE1" s="799"/>
      <c r="BF1" s="799"/>
      <c r="BG1" s="799"/>
      <c r="BH1" s="799"/>
      <c r="BI1" s="799"/>
      <c r="BJ1" s="799"/>
      <c r="BK1" s="799"/>
      <c r="BL1" s="70"/>
      <c r="BM1" s="70"/>
      <c r="BN1" s="70"/>
      <c r="BO1" s="70"/>
      <c r="BP1" s="70"/>
      <c r="BQ1" s="70"/>
      <c r="BR1" s="70"/>
      <c r="BS1" s="70"/>
      <c r="BT1" s="70"/>
      <c r="BU1" s="70"/>
      <c r="BV1" s="70"/>
      <c r="BW1" s="70"/>
      <c r="BX1" s="70"/>
      <c r="BY1" s="71"/>
    </row>
    <row r="2" spans="1:86" ht="64.5" customHeight="1" x14ac:dyDescent="0.25">
      <c r="A2" s="673"/>
      <c r="B2" s="673"/>
      <c r="C2" s="950" t="s">
        <v>156</v>
      </c>
      <c r="D2" s="950"/>
      <c r="E2" s="950"/>
      <c r="F2" s="950"/>
      <c r="G2" s="950"/>
      <c r="H2" s="950"/>
      <c r="I2" s="950"/>
      <c r="J2" s="950"/>
      <c r="K2" s="950"/>
      <c r="L2" s="950"/>
      <c r="M2" s="950"/>
      <c r="N2" s="950"/>
      <c r="O2" s="950"/>
      <c r="P2" s="950"/>
      <c r="Q2" s="950"/>
      <c r="R2" s="950"/>
      <c r="S2" s="950"/>
      <c r="T2" s="673"/>
      <c r="U2" s="673"/>
      <c r="V2" s="673"/>
      <c r="W2" s="673"/>
      <c r="X2" s="673"/>
      <c r="Y2" s="673"/>
      <c r="Z2" s="673"/>
      <c r="AA2" s="673"/>
      <c r="AB2" s="673"/>
      <c r="AC2" s="673"/>
      <c r="AD2" s="673"/>
      <c r="AE2" s="673"/>
      <c r="AF2" s="673"/>
      <c r="AG2" s="673"/>
      <c r="AH2" s="673"/>
      <c r="AI2" s="673"/>
      <c r="AJ2" s="673"/>
      <c r="AK2" s="673"/>
      <c r="AL2" s="673"/>
      <c r="AM2" s="673"/>
      <c r="AN2" s="673"/>
      <c r="AO2" s="673"/>
      <c r="AP2" s="673"/>
      <c r="AQ2" s="673"/>
      <c r="AR2" s="673"/>
      <c r="AS2" s="673"/>
      <c r="AT2" s="673"/>
      <c r="AU2" s="673"/>
      <c r="AV2" s="673"/>
      <c r="AW2" s="673"/>
      <c r="AX2" s="673"/>
      <c r="AY2" s="673"/>
      <c r="AZ2" s="673"/>
      <c r="BA2" s="673"/>
      <c r="BB2" s="673"/>
      <c r="BC2" s="673"/>
      <c r="BD2" s="673"/>
      <c r="BE2" s="673"/>
      <c r="BF2" s="673"/>
      <c r="BG2" s="673"/>
      <c r="BH2" s="673"/>
      <c r="BI2" s="673"/>
      <c r="BJ2" s="673"/>
      <c r="BK2" s="673"/>
      <c r="BL2" s="70"/>
      <c r="BM2" s="70"/>
      <c r="BN2" s="70"/>
      <c r="BO2" s="70"/>
      <c r="BP2" s="70"/>
      <c r="BQ2" s="70"/>
      <c r="BR2" s="70"/>
      <c r="BS2" s="70"/>
      <c r="BT2" s="70"/>
      <c r="BU2" s="70"/>
      <c r="BV2" s="70"/>
      <c r="BW2" s="70"/>
      <c r="BX2" s="70"/>
      <c r="BY2" s="71"/>
    </row>
    <row r="3" spans="1:86" ht="78" customHeight="1" x14ac:dyDescent="0.25">
      <c r="A3" s="800" t="s">
        <v>279</v>
      </c>
      <c r="B3" s="800"/>
      <c r="C3" s="800"/>
      <c r="D3" s="800"/>
      <c r="E3" s="800"/>
      <c r="F3" s="800"/>
      <c r="G3" s="800"/>
      <c r="H3" s="800"/>
      <c r="I3" s="800"/>
      <c r="J3" s="800"/>
      <c r="K3" s="800"/>
      <c r="L3" s="800"/>
      <c r="M3" s="800"/>
      <c r="N3" s="800"/>
      <c r="O3" s="800"/>
      <c r="P3" s="800"/>
      <c r="Q3" s="800"/>
      <c r="R3" s="800"/>
      <c r="S3" s="800"/>
      <c r="T3" s="800"/>
      <c r="U3" s="800"/>
      <c r="V3" s="800"/>
      <c r="W3" s="800"/>
      <c r="X3" s="800"/>
      <c r="Y3" s="800"/>
      <c r="Z3" s="800"/>
      <c r="AA3" s="800"/>
      <c r="AB3" s="800"/>
      <c r="AC3" s="800"/>
      <c r="AD3" s="800"/>
      <c r="AE3" s="800"/>
      <c r="AF3" s="800"/>
      <c r="AG3" s="800"/>
      <c r="AH3" s="800"/>
      <c r="AI3" s="800"/>
      <c r="AJ3" s="800"/>
      <c r="AK3" s="800"/>
      <c r="AL3" s="800"/>
      <c r="AM3" s="800"/>
      <c r="AN3" s="800"/>
      <c r="AO3" s="800"/>
      <c r="AP3" s="800"/>
      <c r="AQ3" s="800"/>
      <c r="AR3" s="800"/>
      <c r="AS3" s="800"/>
      <c r="AT3" s="800"/>
      <c r="AU3" s="800"/>
      <c r="AV3" s="800"/>
      <c r="AW3" s="800"/>
      <c r="AX3" s="800"/>
      <c r="AY3" s="800"/>
      <c r="AZ3" s="800"/>
      <c r="BA3" s="800"/>
      <c r="BB3" s="800"/>
      <c r="BC3" s="800"/>
      <c r="BD3" s="800"/>
      <c r="BE3" s="800"/>
      <c r="BF3" s="800"/>
      <c r="BG3" s="800"/>
      <c r="BH3" s="800"/>
      <c r="BI3" s="800"/>
      <c r="BJ3" s="800"/>
      <c r="BK3" s="800"/>
      <c r="BL3" s="70"/>
      <c r="BM3" s="70"/>
      <c r="BN3" s="70"/>
      <c r="BO3" s="70"/>
      <c r="BP3" s="70"/>
      <c r="BQ3" s="70"/>
      <c r="BR3" s="70"/>
      <c r="BS3" s="70"/>
      <c r="BT3" s="70"/>
      <c r="BU3" s="70"/>
      <c r="BV3" s="70"/>
      <c r="BW3" s="70"/>
      <c r="BX3" s="70"/>
      <c r="BY3" s="73"/>
    </row>
    <row r="4" spans="1:86" ht="15" customHeight="1" x14ac:dyDescent="0.25">
      <c r="A4" s="593"/>
      <c r="B4" s="594"/>
      <c r="C4" s="594" t="s">
        <v>202</v>
      </c>
      <c r="D4" s="595"/>
      <c r="E4" s="594"/>
      <c r="F4" s="807" t="s">
        <v>280</v>
      </c>
      <c r="G4" s="807"/>
      <c r="H4" s="807"/>
      <c r="I4" s="807"/>
      <c r="J4" s="807"/>
      <c r="K4" s="807"/>
      <c r="L4" s="807"/>
      <c r="M4" s="807"/>
      <c r="N4" s="807"/>
      <c r="O4" s="807"/>
      <c r="P4" s="807"/>
      <c r="Q4" s="807"/>
      <c r="R4" s="807"/>
      <c r="S4" s="807"/>
      <c r="T4" s="807"/>
      <c r="U4" s="807"/>
      <c r="V4" s="807"/>
      <c r="W4" s="807"/>
      <c r="X4" s="807"/>
      <c r="Y4" s="807"/>
      <c r="Z4" s="807"/>
      <c r="AA4" s="807"/>
      <c r="AB4" s="807"/>
      <c r="AC4" s="807"/>
      <c r="AD4" s="807"/>
      <c r="AE4" s="807"/>
      <c r="AF4" s="807"/>
      <c r="AG4" s="807"/>
      <c r="AH4" s="807"/>
      <c r="AI4" s="807"/>
      <c r="AJ4" s="807"/>
      <c r="AK4" s="807"/>
      <c r="AL4" s="596"/>
      <c r="AM4" s="596"/>
      <c r="AN4" s="596"/>
      <c r="AO4" s="596"/>
      <c r="AP4" s="596"/>
      <c r="AQ4" s="596"/>
      <c r="AR4" s="596"/>
      <c r="AS4" s="596"/>
      <c r="AT4" s="596"/>
      <c r="AU4" s="596"/>
      <c r="AV4" s="596"/>
      <c r="AW4" s="596"/>
      <c r="AX4" s="597"/>
      <c r="AY4" s="598"/>
      <c r="AZ4" s="598"/>
      <c r="BA4" s="598"/>
      <c r="BB4" s="598"/>
      <c r="BC4" s="598"/>
      <c r="BD4" s="598"/>
      <c r="BE4" s="598"/>
      <c r="BF4" s="598"/>
      <c r="BG4" s="598"/>
      <c r="BH4" s="598"/>
      <c r="BI4" s="598"/>
      <c r="BJ4" s="598"/>
      <c r="BK4" s="598"/>
      <c r="BY4" s="72"/>
    </row>
    <row r="5" spans="1:86" ht="15" customHeight="1" x14ac:dyDescent="0.25">
      <c r="A5" s="593"/>
      <c r="B5" s="594"/>
      <c r="C5" s="594"/>
      <c r="D5" s="594"/>
      <c r="E5" s="594"/>
      <c r="F5" s="593"/>
      <c r="G5" s="599"/>
      <c r="H5" s="593"/>
      <c r="I5" s="593"/>
      <c r="J5" s="593"/>
      <c r="K5" s="593"/>
      <c r="L5" s="599"/>
      <c r="M5" s="600"/>
      <c r="N5" s="600"/>
      <c r="O5" s="600"/>
      <c r="P5" s="600"/>
      <c r="Q5" s="600"/>
      <c r="R5" s="600"/>
      <c r="S5" s="600"/>
      <c r="T5" s="600"/>
      <c r="U5" s="594"/>
      <c r="V5" s="594"/>
      <c r="W5" s="594"/>
      <c r="X5" s="594"/>
      <c r="Y5" s="594"/>
      <c r="Z5" s="594"/>
      <c r="AA5" s="594"/>
      <c r="AB5" s="594"/>
      <c r="AC5" s="594"/>
      <c r="AD5" s="594"/>
      <c r="AE5" s="594"/>
      <c r="AF5" s="594"/>
      <c r="AG5" s="594"/>
      <c r="AH5" s="594"/>
      <c r="AI5" s="594"/>
      <c r="AJ5" s="594"/>
      <c r="AK5" s="596"/>
      <c r="AL5" s="596"/>
      <c r="AM5" s="596"/>
      <c r="AN5" s="596"/>
      <c r="AO5" s="596"/>
      <c r="AP5" s="596"/>
      <c r="AQ5" s="596"/>
      <c r="AR5" s="596"/>
      <c r="AS5" s="596"/>
      <c r="AT5" s="596"/>
      <c r="AU5" s="596"/>
      <c r="AV5" s="596"/>
      <c r="AW5" s="596"/>
      <c r="AX5" s="597"/>
      <c r="AY5" s="598"/>
      <c r="AZ5" s="598"/>
      <c r="BA5" s="598"/>
      <c r="BB5" s="598"/>
      <c r="BC5" s="598"/>
      <c r="BD5" s="598"/>
      <c r="BE5" s="598"/>
      <c r="BF5" s="598"/>
      <c r="BG5" s="598"/>
      <c r="BH5" s="598"/>
      <c r="BI5" s="598"/>
      <c r="BJ5" s="598"/>
      <c r="BK5" s="598"/>
      <c r="BY5" s="72"/>
    </row>
    <row r="6" spans="1:86" ht="15" customHeight="1" x14ac:dyDescent="0.25">
      <c r="A6" s="593"/>
      <c r="B6" s="594"/>
      <c r="C6" s="594"/>
      <c r="D6" s="594"/>
      <c r="E6" s="594"/>
      <c r="F6" s="593"/>
      <c r="G6" s="599"/>
      <c r="H6" s="593"/>
      <c r="I6" s="593"/>
      <c r="J6" s="593"/>
      <c r="K6" s="593"/>
      <c r="L6" s="599"/>
      <c r="M6" s="600"/>
      <c r="N6" s="600"/>
      <c r="O6" s="600"/>
      <c r="P6" s="600"/>
      <c r="Q6" s="600"/>
      <c r="R6" s="600"/>
      <c r="S6" s="600"/>
      <c r="T6" s="600"/>
      <c r="U6" s="594"/>
      <c r="V6" s="594"/>
      <c r="W6" s="594"/>
      <c r="X6" s="594"/>
      <c r="Y6" s="594"/>
      <c r="Z6" s="594"/>
      <c r="AA6" s="594"/>
      <c r="AB6" s="594"/>
      <c r="AC6" s="594"/>
      <c r="AD6" s="594"/>
      <c r="AE6" s="594"/>
      <c r="AF6" s="594"/>
      <c r="AG6" s="594"/>
      <c r="AH6" s="594"/>
      <c r="AI6" s="594"/>
      <c r="AJ6" s="594"/>
      <c r="AK6" s="596"/>
      <c r="AL6" s="596"/>
      <c r="AM6" s="596"/>
      <c r="AN6" s="596"/>
      <c r="AO6" s="596"/>
      <c r="AP6" s="596"/>
      <c r="AQ6" s="596"/>
      <c r="AR6" s="596"/>
      <c r="AS6" s="596"/>
      <c r="AT6" s="596"/>
      <c r="AU6" s="596"/>
      <c r="AV6" s="596"/>
      <c r="AW6" s="596"/>
      <c r="AX6" s="597"/>
      <c r="AY6" s="598"/>
      <c r="AZ6" s="598"/>
      <c r="BA6" s="598"/>
      <c r="BB6" s="598"/>
      <c r="BC6" s="598"/>
      <c r="BD6" s="598"/>
      <c r="BE6" s="598"/>
      <c r="BF6" s="598"/>
      <c r="BG6" s="598"/>
      <c r="BH6" s="598"/>
      <c r="BI6" s="598"/>
      <c r="BJ6" s="598"/>
      <c r="BK6" s="598"/>
      <c r="BY6" s="72"/>
    </row>
    <row r="7" spans="1:86" ht="18.75" customHeight="1" x14ac:dyDescent="0.25">
      <c r="A7" s="593"/>
      <c r="B7" s="594"/>
      <c r="C7" s="594"/>
      <c r="D7" s="594"/>
      <c r="E7" s="594"/>
      <c r="F7" s="700" t="s">
        <v>253</v>
      </c>
      <c r="G7" s="700"/>
      <c r="H7" s="700"/>
      <c r="I7" s="700"/>
      <c r="J7" s="700"/>
      <c r="K7" s="700"/>
      <c r="L7" s="700"/>
      <c r="M7" s="700"/>
      <c r="N7" s="700"/>
      <c r="O7" s="700"/>
      <c r="P7" s="700"/>
      <c r="Q7" s="700"/>
      <c r="R7" s="700"/>
      <c r="S7" s="700"/>
      <c r="T7" s="700"/>
      <c r="U7" s="700"/>
      <c r="V7" s="700"/>
      <c r="W7" s="700"/>
      <c r="X7" s="700"/>
      <c r="Y7" s="700"/>
      <c r="Z7" s="594"/>
      <c r="AA7" s="594"/>
      <c r="AB7" s="594"/>
      <c r="AC7" s="594"/>
      <c r="AD7" s="594"/>
      <c r="AE7" s="594"/>
      <c r="AF7" s="594"/>
      <c r="AG7" s="594"/>
      <c r="AH7" s="594"/>
      <c r="AI7" s="594"/>
      <c r="AJ7" s="594"/>
      <c r="AK7" s="596"/>
      <c r="AL7" s="596"/>
      <c r="AM7" s="596"/>
      <c r="AN7" s="596"/>
      <c r="AO7" s="596"/>
      <c r="AP7" s="596"/>
      <c r="AQ7" s="596"/>
      <c r="AR7" s="596"/>
      <c r="AS7" s="596"/>
      <c r="AT7" s="596"/>
      <c r="AU7" s="596"/>
      <c r="AV7" s="596"/>
      <c r="AW7" s="596"/>
      <c r="AX7" s="597"/>
      <c r="AY7" s="598"/>
      <c r="AZ7" s="598"/>
      <c r="BA7" s="598"/>
      <c r="BB7" s="598"/>
      <c r="BC7" s="598"/>
      <c r="BD7" s="598"/>
      <c r="BE7" s="598"/>
      <c r="BF7" s="598"/>
      <c r="BG7" s="598"/>
      <c r="BH7" s="598"/>
      <c r="BI7" s="598"/>
      <c r="BJ7" s="598"/>
      <c r="BK7" s="598"/>
      <c r="BY7" s="72"/>
    </row>
    <row r="8" spans="1:86" ht="18.75" customHeight="1" x14ac:dyDescent="0.25">
      <c r="A8" s="594"/>
      <c r="B8" s="594"/>
      <c r="C8" s="594"/>
      <c r="D8" s="594"/>
      <c r="E8" s="594"/>
      <c r="F8" s="807" t="s">
        <v>261</v>
      </c>
      <c r="G8" s="807"/>
      <c r="H8" s="807"/>
      <c r="I8" s="807"/>
      <c r="J8" s="807"/>
      <c r="K8" s="807"/>
      <c r="L8" s="807"/>
      <c r="M8" s="807"/>
      <c r="N8" s="807"/>
      <c r="O8" s="807"/>
      <c r="P8" s="807"/>
      <c r="Q8" s="807"/>
      <c r="R8" s="807"/>
      <c r="S8" s="807"/>
      <c r="T8" s="807"/>
      <c r="U8" s="807"/>
      <c r="V8" s="807"/>
      <c r="W8" s="807"/>
      <c r="X8" s="807"/>
      <c r="Y8" s="807"/>
      <c r="Z8" s="594"/>
      <c r="AA8" s="594"/>
      <c r="AB8" s="594"/>
      <c r="AC8" s="594"/>
      <c r="AD8" s="594"/>
      <c r="AE8" s="594"/>
      <c r="AF8" s="594"/>
      <c r="AG8" s="594"/>
      <c r="AH8" s="594"/>
      <c r="AI8" s="594"/>
      <c r="AJ8" s="594"/>
      <c r="AK8" s="596"/>
      <c r="AL8" s="596"/>
      <c r="AM8" s="596"/>
      <c r="AN8" s="596"/>
      <c r="AO8" s="596"/>
      <c r="AP8" s="596"/>
      <c r="AQ8" s="596"/>
      <c r="AR8" s="596"/>
      <c r="AS8" s="596"/>
      <c r="AT8" s="596"/>
      <c r="AU8" s="596"/>
      <c r="AV8" s="596"/>
      <c r="AW8" s="596"/>
      <c r="AX8" s="597"/>
      <c r="AY8" s="598"/>
      <c r="AZ8" s="598"/>
      <c r="BA8" s="598"/>
      <c r="BB8" s="598"/>
      <c r="BC8" s="598"/>
      <c r="BD8" s="598"/>
      <c r="BE8" s="598"/>
      <c r="BF8" s="598"/>
      <c r="BG8" s="598"/>
      <c r="BH8" s="598"/>
      <c r="BI8" s="598"/>
      <c r="BJ8" s="598"/>
      <c r="BK8" s="598"/>
      <c r="BY8" s="72"/>
    </row>
    <row r="9" spans="1:86" ht="17.25" customHeight="1" x14ac:dyDescent="0.25">
      <c r="A9" s="1"/>
      <c r="B9" s="1"/>
      <c r="C9" s="1"/>
      <c r="D9" s="1"/>
      <c r="E9" s="1"/>
      <c r="F9" s="490"/>
      <c r="G9" s="490"/>
      <c r="H9" s="490"/>
      <c r="I9" s="490"/>
      <c r="J9" s="490"/>
      <c r="K9" s="490"/>
      <c r="L9" s="490"/>
      <c r="M9" s="490"/>
      <c r="N9" s="490"/>
      <c r="O9" s="490"/>
      <c r="P9" s="490"/>
      <c r="Q9" s="490"/>
      <c r="R9" s="490"/>
      <c r="S9" s="490"/>
      <c r="T9" s="490"/>
      <c r="U9" s="499"/>
      <c r="V9" s="499"/>
      <c r="W9" s="499"/>
      <c r="X9" s="499"/>
      <c r="Y9" s="499"/>
      <c r="Z9" s="499"/>
      <c r="AA9" s="499"/>
      <c r="AB9" s="499"/>
      <c r="AC9" s="499"/>
      <c r="AD9" s="499"/>
      <c r="AE9" s="499"/>
      <c r="AF9" s="499"/>
      <c r="AG9" s="499"/>
      <c r="AH9" s="499"/>
      <c r="AI9" s="499"/>
      <c r="AJ9" s="499"/>
      <c r="AK9" s="499"/>
      <c r="AL9" s="499"/>
      <c r="AM9" s="499"/>
      <c r="AN9" s="499"/>
      <c r="AO9" s="499"/>
      <c r="AP9" s="499"/>
      <c r="AQ9" s="499"/>
      <c r="AR9" s="499"/>
      <c r="AS9" s="1"/>
      <c r="AT9" s="1"/>
      <c r="AU9" s="1"/>
      <c r="AV9" s="1"/>
      <c r="AW9" s="1"/>
      <c r="AX9" s="1"/>
      <c r="AY9" s="1"/>
      <c r="AZ9" s="1"/>
      <c r="BA9" s="1"/>
      <c r="BB9" s="1"/>
      <c r="BC9" s="1"/>
      <c r="BD9" s="1"/>
      <c r="BE9" s="1"/>
      <c r="BF9" s="1"/>
      <c r="BG9" s="1"/>
      <c r="BH9" s="1"/>
      <c r="BI9" s="1"/>
      <c r="BJ9" s="1"/>
      <c r="BK9" s="1"/>
      <c r="BL9" s="74"/>
      <c r="BM9" s="74"/>
      <c r="BN9" s="74"/>
      <c r="BO9" s="74"/>
      <c r="BP9" s="74"/>
      <c r="BQ9" s="74"/>
      <c r="BR9" s="74"/>
      <c r="BS9" s="74"/>
      <c r="BT9" s="74"/>
      <c r="BU9" s="74"/>
      <c r="BV9" s="74"/>
      <c r="BW9" s="74"/>
      <c r="BX9" s="74"/>
      <c r="BY9" s="73"/>
    </row>
    <row r="10" spans="1:86" ht="31.5" customHeight="1" thickBot="1" x14ac:dyDescent="0.3">
      <c r="A10" s="944" t="s">
        <v>182</v>
      </c>
      <c r="B10" s="944"/>
      <c r="C10" s="944"/>
      <c r="D10" s="944"/>
      <c r="E10" s="944"/>
      <c r="F10" s="944"/>
      <c r="G10" s="945"/>
      <c r="H10" s="945"/>
      <c r="I10" s="945"/>
      <c r="J10" s="945"/>
      <c r="K10" s="945"/>
      <c r="L10" s="945"/>
      <c r="M10" s="945"/>
      <c r="N10" s="945"/>
      <c r="O10" s="945"/>
      <c r="P10" s="945"/>
      <c r="Q10" s="945"/>
      <c r="R10" s="945"/>
      <c r="S10" s="945"/>
      <c r="T10" s="945"/>
      <c r="U10" s="945"/>
      <c r="V10" s="945"/>
      <c r="W10" s="944"/>
      <c r="X10" s="944"/>
      <c r="Y10" s="944"/>
      <c r="Z10" s="944"/>
      <c r="AA10" s="944"/>
      <c r="AB10" s="944"/>
      <c r="AC10" s="944"/>
      <c r="AD10" s="944"/>
      <c r="AE10" s="944"/>
      <c r="AF10" s="944"/>
      <c r="AG10" s="944"/>
      <c r="AH10" s="944"/>
      <c r="AI10" s="944"/>
      <c r="AJ10" s="944"/>
      <c r="AK10" s="944"/>
      <c r="AL10" s="944"/>
      <c r="AM10" s="944"/>
      <c r="AN10" s="944"/>
      <c r="AO10" s="944"/>
      <c r="AP10" s="944"/>
      <c r="AQ10" s="944"/>
      <c r="AR10" s="944"/>
      <c r="AS10" s="944"/>
      <c r="AT10" s="944"/>
      <c r="AU10" s="944"/>
      <c r="AV10" s="944"/>
      <c r="AW10" s="944"/>
      <c r="AX10" s="944"/>
      <c r="AY10" s="944"/>
      <c r="AZ10" s="944"/>
      <c r="BA10" s="944"/>
      <c r="BB10" s="944"/>
      <c r="BC10" s="944"/>
      <c r="BD10" s="944"/>
      <c r="BE10" s="944"/>
      <c r="BF10" s="944"/>
      <c r="BG10" s="944"/>
      <c r="BH10" s="944"/>
      <c r="BI10" s="944"/>
      <c r="BJ10" s="944"/>
      <c r="BK10" s="944"/>
      <c r="BL10" s="74"/>
      <c r="BM10" s="74"/>
      <c r="BN10" s="74"/>
      <c r="BO10" s="74"/>
      <c r="BP10" s="74"/>
      <c r="BQ10" s="74"/>
      <c r="BR10" s="74"/>
      <c r="BS10" s="74"/>
      <c r="BT10" s="74"/>
      <c r="BU10" s="74"/>
      <c r="BV10" s="74"/>
      <c r="BW10" s="74"/>
      <c r="BX10" s="75"/>
      <c r="BY10" s="73"/>
    </row>
    <row r="11" spans="1:86" s="76" customFormat="1" ht="24" customHeight="1" thickBot="1" x14ac:dyDescent="0.3">
      <c r="A11" s="847" t="s">
        <v>187</v>
      </c>
      <c r="B11" s="847" t="s">
        <v>4</v>
      </c>
      <c r="C11" s="850" t="s">
        <v>5</v>
      </c>
      <c r="D11" s="853" t="s">
        <v>144</v>
      </c>
      <c r="E11" s="827" t="s">
        <v>142</v>
      </c>
      <c r="F11" s="856" t="s">
        <v>6</v>
      </c>
      <c r="G11" s="858" t="s">
        <v>143</v>
      </c>
      <c r="H11" s="859"/>
      <c r="I11" s="859"/>
      <c r="J11" s="859"/>
      <c r="K11" s="859"/>
      <c r="L11" s="859"/>
      <c r="M11" s="859"/>
      <c r="N11" s="859"/>
      <c r="O11" s="859"/>
      <c r="P11" s="859"/>
      <c r="Q11" s="859"/>
      <c r="R11" s="859"/>
      <c r="S11" s="864" t="s">
        <v>7</v>
      </c>
      <c r="T11" s="864"/>
      <c r="U11" s="864"/>
      <c r="V11" s="865"/>
      <c r="W11" s="805" t="s">
        <v>8</v>
      </c>
      <c r="X11" s="801"/>
      <c r="Y11" s="801"/>
      <c r="Z11" s="801"/>
      <c r="AA11" s="801"/>
      <c r="AB11" s="801"/>
      <c r="AC11" s="801"/>
      <c r="AD11" s="801"/>
      <c r="AE11" s="801"/>
      <c r="AF11" s="801"/>
      <c r="AG11" s="801"/>
      <c r="AH11" s="801"/>
      <c r="AI11" s="801"/>
      <c r="AJ11" s="801"/>
      <c r="AK11" s="801"/>
      <c r="AL11" s="801"/>
      <c r="AM11" s="806"/>
      <c r="AN11" s="796" t="s">
        <v>9</v>
      </c>
      <c r="AO11" s="801"/>
      <c r="AP11" s="801"/>
      <c r="AQ11" s="801"/>
      <c r="AR11" s="801"/>
      <c r="AS11" s="801"/>
      <c r="AT11" s="801"/>
      <c r="AU11" s="801"/>
      <c r="AV11" s="801"/>
      <c r="AW11" s="801"/>
      <c r="AX11" s="801"/>
      <c r="AY11" s="801"/>
      <c r="AZ11" s="801"/>
      <c r="BA11" s="801"/>
      <c r="BB11" s="801"/>
      <c r="BC11" s="801"/>
      <c r="BD11" s="801"/>
      <c r="BE11" s="801"/>
      <c r="BF11" s="801"/>
      <c r="BG11" s="801"/>
      <c r="BH11" s="801"/>
      <c r="BI11" s="801"/>
      <c r="BJ11" s="801"/>
      <c r="BK11" s="801"/>
      <c r="BL11" s="801"/>
      <c r="BM11" s="801"/>
      <c r="BN11" s="801"/>
      <c r="BO11" s="801"/>
      <c r="BP11" s="801"/>
      <c r="BQ11" s="801"/>
      <c r="BR11" s="801"/>
      <c r="BS11" s="801"/>
      <c r="BT11" s="801"/>
      <c r="BU11" s="801"/>
      <c r="BV11" s="801"/>
      <c r="BW11" s="802"/>
      <c r="BX11" s="918" t="s">
        <v>201</v>
      </c>
      <c r="BY11" s="915" t="s">
        <v>159</v>
      </c>
      <c r="CB11" s="77"/>
      <c r="CC11" s="78"/>
      <c r="CD11" s="78"/>
      <c r="CE11" s="78"/>
      <c r="CF11" s="78"/>
      <c r="CG11" s="78"/>
      <c r="CH11" s="78"/>
    </row>
    <row r="12" spans="1:86" s="76" customFormat="1" ht="21.75" customHeight="1" thickBot="1" x14ac:dyDescent="0.3">
      <c r="A12" s="848"/>
      <c r="B12" s="848"/>
      <c r="C12" s="851"/>
      <c r="D12" s="854"/>
      <c r="E12" s="828"/>
      <c r="F12" s="857"/>
      <c r="G12" s="860"/>
      <c r="H12" s="861"/>
      <c r="I12" s="861"/>
      <c r="J12" s="861"/>
      <c r="K12" s="861"/>
      <c r="L12" s="861"/>
      <c r="M12" s="861"/>
      <c r="N12" s="861"/>
      <c r="O12" s="861"/>
      <c r="P12" s="861"/>
      <c r="Q12" s="861"/>
      <c r="R12" s="861"/>
      <c r="S12" s="866"/>
      <c r="T12" s="866"/>
      <c r="U12" s="866"/>
      <c r="V12" s="867"/>
      <c r="W12" s="805" t="s">
        <v>10</v>
      </c>
      <c r="X12" s="801"/>
      <c r="Y12" s="801"/>
      <c r="Z12" s="801"/>
      <c r="AA12" s="801"/>
      <c r="AB12" s="79"/>
      <c r="AC12" s="79"/>
      <c r="AD12" s="79"/>
      <c r="AE12" s="79"/>
      <c r="AF12" s="79"/>
      <c r="AG12" s="79"/>
      <c r="AH12" s="79"/>
      <c r="AI12" s="79"/>
      <c r="AJ12" s="79"/>
      <c r="AK12" s="824" t="s">
        <v>11</v>
      </c>
      <c r="AL12" s="825"/>
      <c r="AM12" s="826"/>
      <c r="AN12" s="787"/>
      <c r="AO12" s="790"/>
      <c r="AP12" s="790"/>
      <c r="AQ12" s="790"/>
      <c r="AR12" s="790"/>
      <c r="AS12" s="790"/>
      <c r="AT12" s="790"/>
      <c r="AU12" s="790"/>
      <c r="AV12" s="790"/>
      <c r="AW12" s="790"/>
      <c r="AX12" s="790"/>
      <c r="AY12" s="790"/>
      <c r="AZ12" s="790"/>
      <c r="BA12" s="790"/>
      <c r="BB12" s="790"/>
      <c r="BC12" s="790"/>
      <c r="BD12" s="790"/>
      <c r="BE12" s="790"/>
      <c r="BF12" s="790"/>
      <c r="BG12" s="790"/>
      <c r="BH12" s="790"/>
      <c r="BI12" s="790"/>
      <c r="BJ12" s="790"/>
      <c r="BK12" s="790"/>
      <c r="BL12" s="790"/>
      <c r="BM12" s="790"/>
      <c r="BN12" s="790"/>
      <c r="BO12" s="790"/>
      <c r="BP12" s="790"/>
      <c r="BQ12" s="790"/>
      <c r="BR12" s="790"/>
      <c r="BS12" s="790"/>
      <c r="BT12" s="790"/>
      <c r="BU12" s="790"/>
      <c r="BV12" s="790"/>
      <c r="BW12" s="803"/>
      <c r="BX12" s="919"/>
      <c r="BY12" s="916"/>
      <c r="CB12" s="77"/>
      <c r="CC12" s="78"/>
      <c r="CD12" s="78"/>
      <c r="CE12" s="78"/>
      <c r="CF12" s="78"/>
      <c r="CG12" s="78"/>
      <c r="CH12" s="78"/>
    </row>
    <row r="13" spans="1:86" s="76" customFormat="1" ht="31.5" customHeight="1" thickBot="1" x14ac:dyDescent="0.3">
      <c r="A13" s="848"/>
      <c r="B13" s="848"/>
      <c r="C13" s="851"/>
      <c r="D13" s="854"/>
      <c r="E13" s="828"/>
      <c r="F13" s="857"/>
      <c r="G13" s="862"/>
      <c r="H13" s="863"/>
      <c r="I13" s="863"/>
      <c r="J13" s="863"/>
      <c r="K13" s="863"/>
      <c r="L13" s="863"/>
      <c r="M13" s="863"/>
      <c r="N13" s="863"/>
      <c r="O13" s="863"/>
      <c r="P13" s="863"/>
      <c r="Q13" s="863"/>
      <c r="R13" s="863"/>
      <c r="S13" s="868"/>
      <c r="T13" s="868"/>
      <c r="U13" s="868"/>
      <c r="V13" s="869"/>
      <c r="W13" s="840" t="s">
        <v>12</v>
      </c>
      <c r="X13" s="820" t="s">
        <v>13</v>
      </c>
      <c r="Y13" s="843"/>
      <c r="Z13" s="843"/>
      <c r="AA13" s="844"/>
      <c r="AB13" s="814"/>
      <c r="AC13" s="815"/>
      <c r="AD13" s="815"/>
      <c r="AE13" s="815"/>
      <c r="AF13" s="815"/>
      <c r="AG13" s="815"/>
      <c r="AH13" s="815"/>
      <c r="AI13" s="815"/>
      <c r="AJ13" s="815"/>
      <c r="AK13" s="817" t="s">
        <v>14</v>
      </c>
      <c r="AL13" s="820"/>
      <c r="AM13" s="821"/>
      <c r="AN13" s="788"/>
      <c r="AO13" s="791"/>
      <c r="AP13" s="791"/>
      <c r="AQ13" s="791"/>
      <c r="AR13" s="791"/>
      <c r="AS13" s="791"/>
      <c r="AT13" s="791"/>
      <c r="AU13" s="791"/>
      <c r="AV13" s="791"/>
      <c r="AW13" s="791"/>
      <c r="AX13" s="791"/>
      <c r="AY13" s="791"/>
      <c r="AZ13" s="791"/>
      <c r="BA13" s="791"/>
      <c r="BB13" s="791"/>
      <c r="BC13" s="791"/>
      <c r="BD13" s="791"/>
      <c r="BE13" s="791"/>
      <c r="BF13" s="791"/>
      <c r="BG13" s="791"/>
      <c r="BH13" s="791"/>
      <c r="BI13" s="791"/>
      <c r="BJ13" s="791"/>
      <c r="BK13" s="791"/>
      <c r="BL13" s="791"/>
      <c r="BM13" s="791"/>
      <c r="BN13" s="791"/>
      <c r="BO13" s="791"/>
      <c r="BP13" s="791"/>
      <c r="BQ13" s="791"/>
      <c r="BR13" s="791"/>
      <c r="BS13" s="791"/>
      <c r="BT13" s="791"/>
      <c r="BU13" s="791"/>
      <c r="BV13" s="791"/>
      <c r="BW13" s="804"/>
      <c r="BX13" s="919"/>
      <c r="BY13" s="916"/>
      <c r="CB13" s="77"/>
      <c r="CC13" s="78"/>
      <c r="CD13" s="78"/>
      <c r="CE13" s="78"/>
      <c r="CF13" s="78"/>
      <c r="CG13" s="78"/>
      <c r="CH13" s="78"/>
    </row>
    <row r="14" spans="1:86" s="76" customFormat="1" ht="21.75" customHeight="1" thickBot="1" x14ac:dyDescent="0.3">
      <c r="A14" s="848"/>
      <c r="B14" s="848"/>
      <c r="C14" s="851"/>
      <c r="D14" s="854"/>
      <c r="E14" s="828"/>
      <c r="F14" s="831"/>
      <c r="G14" s="808" t="s">
        <v>0</v>
      </c>
      <c r="H14" s="827" t="s">
        <v>1</v>
      </c>
      <c r="I14" s="827" t="s">
        <v>16</v>
      </c>
      <c r="J14" s="827" t="s">
        <v>17</v>
      </c>
      <c r="K14" s="836" t="s">
        <v>18</v>
      </c>
      <c r="L14" s="836" t="s">
        <v>19</v>
      </c>
      <c r="M14" s="827" t="s">
        <v>20</v>
      </c>
      <c r="N14" s="827" t="s">
        <v>21</v>
      </c>
      <c r="O14" s="827" t="s">
        <v>22</v>
      </c>
      <c r="P14" s="827" t="s">
        <v>23</v>
      </c>
      <c r="Q14" s="827" t="s">
        <v>24</v>
      </c>
      <c r="R14" s="830" t="s">
        <v>25</v>
      </c>
      <c r="S14" s="808" t="s">
        <v>26</v>
      </c>
      <c r="T14" s="827" t="s">
        <v>148</v>
      </c>
      <c r="U14" s="827" t="s">
        <v>27</v>
      </c>
      <c r="V14" s="870" t="s">
        <v>28</v>
      </c>
      <c r="W14" s="841"/>
      <c r="X14" s="889" t="s">
        <v>29</v>
      </c>
      <c r="Y14" s="877" t="s">
        <v>15</v>
      </c>
      <c r="Z14" s="877"/>
      <c r="AA14" s="878"/>
      <c r="AB14" s="811"/>
      <c r="AC14" s="839"/>
      <c r="AD14" s="839"/>
      <c r="AE14" s="839"/>
      <c r="AF14" s="839"/>
      <c r="AG14" s="839"/>
      <c r="AH14" s="839"/>
      <c r="AI14" s="839"/>
      <c r="AJ14" s="839"/>
      <c r="AK14" s="818"/>
      <c r="AL14" s="811"/>
      <c r="AM14" s="834"/>
      <c r="AN14" s="880" t="s">
        <v>30</v>
      </c>
      <c r="AO14" s="880"/>
      <c r="AP14" s="880"/>
      <c r="AQ14" s="880"/>
      <c r="AR14" s="880"/>
      <c r="AS14" s="880"/>
      <c r="AT14" s="880" t="s">
        <v>31</v>
      </c>
      <c r="AU14" s="881"/>
      <c r="AV14" s="881"/>
      <c r="AW14" s="881"/>
      <c r="AX14" s="881"/>
      <c r="AY14" s="881"/>
      <c r="AZ14" s="880" t="s">
        <v>32</v>
      </c>
      <c r="BA14" s="880"/>
      <c r="BB14" s="880"/>
      <c r="BC14" s="880"/>
      <c r="BD14" s="880"/>
      <c r="BE14" s="880"/>
      <c r="BF14" s="880" t="s">
        <v>33</v>
      </c>
      <c r="BG14" s="880"/>
      <c r="BH14" s="880"/>
      <c r="BI14" s="880"/>
      <c r="BJ14" s="880"/>
      <c r="BK14" s="882"/>
      <c r="BL14" s="883" t="s">
        <v>34</v>
      </c>
      <c r="BM14" s="884"/>
      <c r="BN14" s="884"/>
      <c r="BO14" s="884"/>
      <c r="BP14" s="884"/>
      <c r="BQ14" s="885"/>
      <c r="BR14" s="954" t="s">
        <v>35</v>
      </c>
      <c r="BS14" s="955"/>
      <c r="BT14" s="955"/>
      <c r="BU14" s="955"/>
      <c r="BV14" s="955"/>
      <c r="BW14" s="956"/>
      <c r="BX14" s="919"/>
      <c r="BY14" s="916"/>
      <c r="CB14" s="77"/>
      <c r="CC14" s="78"/>
      <c r="CD14" s="78"/>
      <c r="CE14" s="78"/>
      <c r="CF14" s="78"/>
      <c r="CG14" s="78"/>
      <c r="CH14" s="78"/>
    </row>
    <row r="15" spans="1:86" s="76" customFormat="1" ht="30" customHeight="1" thickBot="1" x14ac:dyDescent="0.3">
      <c r="A15" s="848"/>
      <c r="B15" s="848"/>
      <c r="C15" s="851"/>
      <c r="D15" s="854"/>
      <c r="E15" s="828"/>
      <c r="F15" s="831"/>
      <c r="G15" s="809"/>
      <c r="H15" s="828"/>
      <c r="I15" s="828"/>
      <c r="J15" s="828"/>
      <c r="K15" s="837"/>
      <c r="L15" s="837"/>
      <c r="M15" s="828"/>
      <c r="N15" s="828"/>
      <c r="O15" s="828"/>
      <c r="P15" s="828"/>
      <c r="Q15" s="828"/>
      <c r="R15" s="831"/>
      <c r="S15" s="809"/>
      <c r="T15" s="828"/>
      <c r="U15" s="828"/>
      <c r="V15" s="871"/>
      <c r="W15" s="841"/>
      <c r="X15" s="890"/>
      <c r="Y15" s="834" t="s">
        <v>36</v>
      </c>
      <c r="Z15" s="822" t="s">
        <v>145</v>
      </c>
      <c r="AA15" s="818" t="s">
        <v>37</v>
      </c>
      <c r="AB15" s="812"/>
      <c r="AC15" s="834"/>
      <c r="AD15" s="834"/>
      <c r="AE15" s="834"/>
      <c r="AF15" s="834"/>
      <c r="AG15" s="834"/>
      <c r="AH15" s="822"/>
      <c r="AI15" s="822"/>
      <c r="AJ15" s="822"/>
      <c r="AK15" s="818"/>
      <c r="AL15" s="811"/>
      <c r="AM15" s="886"/>
      <c r="AN15" s="876" t="s">
        <v>38</v>
      </c>
      <c r="AO15" s="874"/>
      <c r="AP15" s="875"/>
      <c r="AQ15" s="873" t="s">
        <v>39</v>
      </c>
      <c r="AR15" s="874"/>
      <c r="AS15" s="879"/>
      <c r="AT15" s="876" t="s">
        <v>40</v>
      </c>
      <c r="AU15" s="874"/>
      <c r="AV15" s="875"/>
      <c r="AW15" s="873" t="s">
        <v>41</v>
      </c>
      <c r="AX15" s="874"/>
      <c r="AY15" s="879"/>
      <c r="AZ15" s="876" t="s">
        <v>42</v>
      </c>
      <c r="BA15" s="874"/>
      <c r="BB15" s="875"/>
      <c r="BC15" s="873" t="s">
        <v>43</v>
      </c>
      <c r="BD15" s="874"/>
      <c r="BE15" s="875"/>
      <c r="BF15" s="876" t="s">
        <v>44</v>
      </c>
      <c r="BG15" s="874"/>
      <c r="BH15" s="875"/>
      <c r="BI15" s="873" t="s">
        <v>45</v>
      </c>
      <c r="BJ15" s="874"/>
      <c r="BK15" s="875"/>
      <c r="BL15" s="876" t="s">
        <v>46</v>
      </c>
      <c r="BM15" s="874"/>
      <c r="BN15" s="875"/>
      <c r="BO15" s="873" t="s">
        <v>47</v>
      </c>
      <c r="BP15" s="874"/>
      <c r="BQ15" s="879"/>
      <c r="BR15" s="876" t="s">
        <v>48</v>
      </c>
      <c r="BS15" s="874"/>
      <c r="BT15" s="875"/>
      <c r="BU15" s="873" t="s">
        <v>49</v>
      </c>
      <c r="BV15" s="874"/>
      <c r="BW15" s="875"/>
      <c r="BX15" s="919"/>
      <c r="BY15" s="916"/>
      <c r="CB15" s="77"/>
      <c r="CC15" s="78"/>
      <c r="CD15" s="78"/>
      <c r="CE15" s="78"/>
      <c r="CF15" s="78"/>
      <c r="CG15" s="78"/>
      <c r="CH15" s="78"/>
    </row>
    <row r="16" spans="1:86" s="76" customFormat="1" ht="30" customHeight="1" x14ac:dyDescent="0.25">
      <c r="A16" s="848"/>
      <c r="B16" s="848"/>
      <c r="C16" s="851"/>
      <c r="D16" s="854"/>
      <c r="E16" s="828"/>
      <c r="F16" s="831"/>
      <c r="G16" s="809"/>
      <c r="H16" s="828"/>
      <c r="I16" s="828"/>
      <c r="J16" s="828"/>
      <c r="K16" s="837"/>
      <c r="L16" s="837"/>
      <c r="M16" s="828"/>
      <c r="N16" s="828"/>
      <c r="O16" s="828"/>
      <c r="P16" s="828"/>
      <c r="Q16" s="828"/>
      <c r="R16" s="831"/>
      <c r="S16" s="809"/>
      <c r="T16" s="828"/>
      <c r="U16" s="828"/>
      <c r="V16" s="871"/>
      <c r="W16" s="841"/>
      <c r="X16" s="890"/>
      <c r="Y16" s="834"/>
      <c r="Z16" s="822"/>
      <c r="AA16" s="818"/>
      <c r="AB16" s="812"/>
      <c r="AC16" s="834"/>
      <c r="AD16" s="834"/>
      <c r="AE16" s="834"/>
      <c r="AF16" s="834"/>
      <c r="AG16" s="834"/>
      <c r="AH16" s="822"/>
      <c r="AI16" s="822"/>
      <c r="AJ16" s="822"/>
      <c r="AK16" s="818"/>
      <c r="AL16" s="811"/>
      <c r="AM16" s="886"/>
      <c r="AN16" s="796" t="s">
        <v>146</v>
      </c>
      <c r="AO16" s="789" t="s">
        <v>50</v>
      </c>
      <c r="AP16" s="802" t="s">
        <v>51</v>
      </c>
      <c r="AQ16" s="773" t="s">
        <v>146</v>
      </c>
      <c r="AR16" s="792" t="s">
        <v>50</v>
      </c>
      <c r="AS16" s="783" t="s">
        <v>51</v>
      </c>
      <c r="AT16" s="786" t="s">
        <v>146</v>
      </c>
      <c r="AU16" s="789" t="s">
        <v>50</v>
      </c>
      <c r="AV16" s="802" t="s">
        <v>51</v>
      </c>
      <c r="AW16" s="776" t="s">
        <v>146</v>
      </c>
      <c r="AX16" s="777" t="s">
        <v>50</v>
      </c>
      <c r="AY16" s="783" t="s">
        <v>51</v>
      </c>
      <c r="AZ16" s="786" t="s">
        <v>146</v>
      </c>
      <c r="BA16" s="789" t="s">
        <v>50</v>
      </c>
      <c r="BB16" s="816" t="s">
        <v>51</v>
      </c>
      <c r="BC16" s="773" t="s">
        <v>146</v>
      </c>
      <c r="BD16" s="792" t="s">
        <v>50</v>
      </c>
      <c r="BE16" s="793" t="s">
        <v>51</v>
      </c>
      <c r="BF16" s="796" t="s">
        <v>146</v>
      </c>
      <c r="BG16" s="801" t="s">
        <v>50</v>
      </c>
      <c r="BH16" s="802" t="s">
        <v>51</v>
      </c>
      <c r="BI16" s="773" t="s">
        <v>146</v>
      </c>
      <c r="BJ16" s="792" t="s">
        <v>50</v>
      </c>
      <c r="BK16" s="793" t="s">
        <v>51</v>
      </c>
      <c r="BL16" s="786" t="s">
        <v>146</v>
      </c>
      <c r="BM16" s="789" t="s">
        <v>50</v>
      </c>
      <c r="BN16" s="816" t="s">
        <v>51</v>
      </c>
      <c r="BO16" s="776" t="s">
        <v>146</v>
      </c>
      <c r="BP16" s="777" t="s">
        <v>50</v>
      </c>
      <c r="BQ16" s="907" t="s">
        <v>51</v>
      </c>
      <c r="BR16" s="786" t="s">
        <v>146</v>
      </c>
      <c r="BS16" s="789" t="s">
        <v>50</v>
      </c>
      <c r="BT16" s="816" t="s">
        <v>51</v>
      </c>
      <c r="BU16" s="776" t="s">
        <v>146</v>
      </c>
      <c r="BV16" s="777" t="s">
        <v>50</v>
      </c>
      <c r="BW16" s="921" t="s">
        <v>51</v>
      </c>
      <c r="BX16" s="919"/>
      <c r="BY16" s="916"/>
      <c r="CB16" s="77"/>
      <c r="CC16" s="78"/>
      <c r="CD16" s="78"/>
      <c r="CE16" s="78"/>
      <c r="CF16" s="78"/>
      <c r="CG16" s="78"/>
      <c r="CH16" s="78"/>
    </row>
    <row r="17" spans="1:86" s="76" customFormat="1" ht="30" customHeight="1" x14ac:dyDescent="0.25">
      <c r="A17" s="848"/>
      <c r="B17" s="848"/>
      <c r="C17" s="851"/>
      <c r="D17" s="854"/>
      <c r="E17" s="828"/>
      <c r="F17" s="831"/>
      <c r="G17" s="809"/>
      <c r="H17" s="828"/>
      <c r="I17" s="828"/>
      <c r="J17" s="828"/>
      <c r="K17" s="837"/>
      <c r="L17" s="837"/>
      <c r="M17" s="828"/>
      <c r="N17" s="828"/>
      <c r="O17" s="828"/>
      <c r="P17" s="828"/>
      <c r="Q17" s="828"/>
      <c r="R17" s="831"/>
      <c r="S17" s="809"/>
      <c r="T17" s="828"/>
      <c r="U17" s="828"/>
      <c r="V17" s="871"/>
      <c r="W17" s="841"/>
      <c r="X17" s="890"/>
      <c r="Y17" s="834"/>
      <c r="Z17" s="822"/>
      <c r="AA17" s="818"/>
      <c r="AB17" s="812"/>
      <c r="AC17" s="834"/>
      <c r="AD17" s="834"/>
      <c r="AE17" s="834"/>
      <c r="AF17" s="834"/>
      <c r="AG17" s="834"/>
      <c r="AH17" s="822"/>
      <c r="AI17" s="822"/>
      <c r="AJ17" s="822"/>
      <c r="AK17" s="818"/>
      <c r="AL17" s="811"/>
      <c r="AM17" s="886"/>
      <c r="AN17" s="787"/>
      <c r="AO17" s="790"/>
      <c r="AP17" s="803"/>
      <c r="AQ17" s="774"/>
      <c r="AR17" s="778"/>
      <c r="AS17" s="784"/>
      <c r="AT17" s="787"/>
      <c r="AU17" s="790"/>
      <c r="AV17" s="803"/>
      <c r="AW17" s="774"/>
      <c r="AX17" s="778"/>
      <c r="AY17" s="784"/>
      <c r="AZ17" s="787"/>
      <c r="BA17" s="790"/>
      <c r="BB17" s="803"/>
      <c r="BC17" s="774"/>
      <c r="BD17" s="778"/>
      <c r="BE17" s="794"/>
      <c r="BF17" s="787"/>
      <c r="BG17" s="790"/>
      <c r="BH17" s="803"/>
      <c r="BI17" s="774"/>
      <c r="BJ17" s="778"/>
      <c r="BK17" s="794"/>
      <c r="BL17" s="787"/>
      <c r="BM17" s="790"/>
      <c r="BN17" s="803"/>
      <c r="BO17" s="774"/>
      <c r="BP17" s="778"/>
      <c r="BQ17" s="784"/>
      <c r="BR17" s="787"/>
      <c r="BS17" s="790"/>
      <c r="BT17" s="803"/>
      <c r="BU17" s="774"/>
      <c r="BV17" s="778"/>
      <c r="BW17" s="794"/>
      <c r="BX17" s="919"/>
      <c r="BY17" s="916"/>
      <c r="CB17" s="77"/>
      <c r="CC17" s="78"/>
      <c r="CD17" s="78"/>
      <c r="CE17" s="78"/>
      <c r="CF17" s="78"/>
      <c r="CG17" s="78"/>
      <c r="CH17" s="78"/>
    </row>
    <row r="18" spans="1:86" s="76" customFormat="1" ht="48" customHeight="1" thickBot="1" x14ac:dyDescent="0.3">
      <c r="A18" s="849"/>
      <c r="B18" s="849"/>
      <c r="C18" s="852"/>
      <c r="D18" s="855"/>
      <c r="E18" s="829"/>
      <c r="F18" s="832"/>
      <c r="G18" s="810"/>
      <c r="H18" s="829"/>
      <c r="I18" s="829"/>
      <c r="J18" s="829"/>
      <c r="K18" s="838"/>
      <c r="L18" s="838"/>
      <c r="M18" s="829"/>
      <c r="N18" s="829"/>
      <c r="O18" s="829"/>
      <c r="P18" s="829"/>
      <c r="Q18" s="829"/>
      <c r="R18" s="832"/>
      <c r="S18" s="810"/>
      <c r="T18" s="829"/>
      <c r="U18" s="829"/>
      <c r="V18" s="872"/>
      <c r="W18" s="842"/>
      <c r="X18" s="891"/>
      <c r="Y18" s="835"/>
      <c r="Z18" s="823"/>
      <c r="AA18" s="819"/>
      <c r="AB18" s="813"/>
      <c r="AC18" s="835"/>
      <c r="AD18" s="835"/>
      <c r="AE18" s="835"/>
      <c r="AF18" s="835"/>
      <c r="AG18" s="835"/>
      <c r="AH18" s="823"/>
      <c r="AI18" s="823"/>
      <c r="AJ18" s="823"/>
      <c r="AK18" s="819"/>
      <c r="AL18" s="888"/>
      <c r="AM18" s="887"/>
      <c r="AN18" s="788"/>
      <c r="AO18" s="791"/>
      <c r="AP18" s="804"/>
      <c r="AQ18" s="775"/>
      <c r="AR18" s="779"/>
      <c r="AS18" s="785"/>
      <c r="AT18" s="788"/>
      <c r="AU18" s="791"/>
      <c r="AV18" s="804"/>
      <c r="AW18" s="775"/>
      <c r="AX18" s="779"/>
      <c r="AY18" s="785"/>
      <c r="AZ18" s="788"/>
      <c r="BA18" s="791"/>
      <c r="BB18" s="804"/>
      <c r="BC18" s="775"/>
      <c r="BD18" s="779"/>
      <c r="BE18" s="795"/>
      <c r="BF18" s="788"/>
      <c r="BG18" s="791"/>
      <c r="BH18" s="804"/>
      <c r="BI18" s="775"/>
      <c r="BJ18" s="779"/>
      <c r="BK18" s="795"/>
      <c r="BL18" s="788"/>
      <c r="BM18" s="791"/>
      <c r="BN18" s="804"/>
      <c r="BO18" s="775"/>
      <c r="BP18" s="779"/>
      <c r="BQ18" s="785"/>
      <c r="BR18" s="788"/>
      <c r="BS18" s="791"/>
      <c r="BT18" s="804"/>
      <c r="BU18" s="775"/>
      <c r="BV18" s="779"/>
      <c r="BW18" s="795"/>
      <c r="BX18" s="920"/>
      <c r="BY18" s="917"/>
      <c r="CB18" s="77"/>
      <c r="CC18" s="78"/>
      <c r="CD18" s="78"/>
      <c r="CE18" s="78"/>
      <c r="CF18" s="78"/>
      <c r="CG18" s="78"/>
      <c r="CH18" s="78"/>
    </row>
    <row r="19" spans="1:86" s="101" customFormat="1" ht="12.75" hidden="1" customHeight="1" thickBot="1" x14ac:dyDescent="0.3">
      <c r="A19" s="80" t="s">
        <v>52</v>
      </c>
      <c r="B19" s="81" t="s">
        <v>52</v>
      </c>
      <c r="C19" s="82" t="s">
        <v>53</v>
      </c>
      <c r="D19" s="83" t="s">
        <v>3</v>
      </c>
      <c r="E19" s="84" t="s">
        <v>54</v>
      </c>
      <c r="F19" s="85" t="s">
        <v>55</v>
      </c>
      <c r="G19" s="86" t="s">
        <v>56</v>
      </c>
      <c r="H19" s="87" t="s">
        <v>57</v>
      </c>
      <c r="I19" s="87" t="s">
        <v>58</v>
      </c>
      <c r="J19" s="87" t="s">
        <v>59</v>
      </c>
      <c r="K19" s="518" t="s">
        <v>60</v>
      </c>
      <c r="L19" s="518" t="s">
        <v>61</v>
      </c>
      <c r="M19" s="87" t="s">
        <v>62</v>
      </c>
      <c r="N19" s="87" t="s">
        <v>63</v>
      </c>
      <c r="O19" s="87" t="s">
        <v>64</v>
      </c>
      <c r="P19" s="87" t="s">
        <v>65</v>
      </c>
      <c r="Q19" s="87" t="s">
        <v>66</v>
      </c>
      <c r="R19" s="88" t="s">
        <v>67</v>
      </c>
      <c r="S19" s="86" t="s">
        <v>68</v>
      </c>
      <c r="T19" s="87"/>
      <c r="U19" s="87" t="s">
        <v>69</v>
      </c>
      <c r="V19" s="88" t="s">
        <v>70</v>
      </c>
      <c r="W19" s="89" t="s">
        <v>71</v>
      </c>
      <c r="X19" s="90" t="s">
        <v>72</v>
      </c>
      <c r="Y19" s="90" t="s">
        <v>73</v>
      </c>
      <c r="Z19" s="90" t="s">
        <v>74</v>
      </c>
      <c r="AA19" s="90" t="s">
        <v>75</v>
      </c>
      <c r="AB19" s="90"/>
      <c r="AC19" s="90"/>
      <c r="AD19" s="90"/>
      <c r="AE19" s="90"/>
      <c r="AF19" s="90"/>
      <c r="AG19" s="90"/>
      <c r="AH19" s="90"/>
      <c r="AI19" s="90"/>
      <c r="AJ19" s="90"/>
      <c r="AK19" s="90" t="s">
        <v>76</v>
      </c>
      <c r="AL19" s="90"/>
      <c r="AM19" s="91"/>
      <c r="AN19" s="92" t="s">
        <v>77</v>
      </c>
      <c r="AO19" s="90" t="s">
        <v>78</v>
      </c>
      <c r="AP19" s="90" t="s">
        <v>79</v>
      </c>
      <c r="AQ19" s="82" t="s">
        <v>80</v>
      </c>
      <c r="AR19" s="82" t="s">
        <v>81</v>
      </c>
      <c r="AS19" s="82" t="s">
        <v>82</v>
      </c>
      <c r="AT19" s="90" t="s">
        <v>83</v>
      </c>
      <c r="AU19" s="90" t="s">
        <v>84</v>
      </c>
      <c r="AV19" s="90" t="s">
        <v>85</v>
      </c>
      <c r="AW19" s="82" t="s">
        <v>86</v>
      </c>
      <c r="AX19" s="82" t="s">
        <v>87</v>
      </c>
      <c r="AY19" s="82" t="s">
        <v>88</v>
      </c>
      <c r="AZ19" s="90" t="s">
        <v>89</v>
      </c>
      <c r="BA19" s="90" t="s">
        <v>90</v>
      </c>
      <c r="BB19" s="91" t="s">
        <v>91</v>
      </c>
      <c r="BC19" s="93" t="s">
        <v>92</v>
      </c>
      <c r="BD19" s="94" t="s">
        <v>93</v>
      </c>
      <c r="BE19" s="95" t="s">
        <v>94</v>
      </c>
      <c r="BF19" s="89" t="s">
        <v>95</v>
      </c>
      <c r="BG19" s="90" t="s">
        <v>96</v>
      </c>
      <c r="BH19" s="90" t="s">
        <v>97</v>
      </c>
      <c r="BI19" s="96" t="s">
        <v>98</v>
      </c>
      <c r="BJ19" s="96" t="s">
        <v>99</v>
      </c>
      <c r="BK19" s="96" t="s">
        <v>100</v>
      </c>
      <c r="BL19" s="97" t="s">
        <v>101</v>
      </c>
      <c r="BM19" s="97" t="s">
        <v>102</v>
      </c>
      <c r="BN19" s="97" t="s">
        <v>103</v>
      </c>
      <c r="BO19" s="96" t="s">
        <v>104</v>
      </c>
      <c r="BP19" s="96" t="s">
        <v>105</v>
      </c>
      <c r="BQ19" s="96" t="s">
        <v>106</v>
      </c>
      <c r="BR19" s="97" t="s">
        <v>107</v>
      </c>
      <c r="BS19" s="97" t="s">
        <v>108</v>
      </c>
      <c r="BT19" s="97" t="s">
        <v>109</v>
      </c>
      <c r="BU19" s="96" t="s">
        <v>110</v>
      </c>
      <c r="BV19" s="96" t="s">
        <v>111</v>
      </c>
      <c r="BW19" s="98" t="s">
        <v>112</v>
      </c>
      <c r="BX19" s="99" t="s">
        <v>113</v>
      </c>
      <c r="BY19" s="100" t="s">
        <v>114</v>
      </c>
    </row>
    <row r="20" spans="1:86" s="70" customFormat="1" ht="23.1" customHeight="1" x14ac:dyDescent="0.25">
      <c r="A20" s="102"/>
      <c r="B20" s="102"/>
      <c r="C20" s="102" t="s">
        <v>115</v>
      </c>
      <c r="D20" s="103" t="s">
        <v>121</v>
      </c>
      <c r="E20" s="104"/>
      <c r="F20" s="105"/>
      <c r="G20" s="106"/>
      <c r="H20" s="107"/>
      <c r="I20" s="107"/>
      <c r="J20" s="107"/>
      <c r="K20" s="134"/>
      <c r="L20" s="134"/>
      <c r="M20" s="107"/>
      <c r="N20" s="107"/>
      <c r="O20" s="107"/>
      <c r="P20" s="107"/>
      <c r="Q20" s="107"/>
      <c r="R20" s="108"/>
      <c r="S20" s="109"/>
      <c r="T20" s="110"/>
      <c r="U20" s="110"/>
      <c r="V20" s="111"/>
      <c r="W20" s="112"/>
      <c r="X20" s="113"/>
      <c r="Y20" s="114"/>
      <c r="Z20" s="114"/>
      <c r="AA20" s="115"/>
      <c r="AB20" s="116"/>
      <c r="AC20" s="106"/>
      <c r="AD20" s="117"/>
      <c r="AE20" s="117"/>
      <c r="AF20" s="117"/>
      <c r="AG20" s="118"/>
      <c r="AH20" s="107"/>
      <c r="AI20" s="107"/>
      <c r="AJ20" s="108"/>
      <c r="AK20" s="119"/>
      <c r="AL20" s="630"/>
      <c r="AM20" s="631"/>
      <c r="AN20" s="624"/>
      <c r="AO20" s="114"/>
      <c r="AP20" s="114"/>
      <c r="AQ20" s="114"/>
      <c r="AR20" s="114"/>
      <c r="AS20" s="114"/>
      <c r="AT20" s="114"/>
      <c r="AU20" s="114"/>
      <c r="AV20" s="114"/>
      <c r="AW20" s="114"/>
      <c r="AX20" s="114"/>
      <c r="AY20" s="114"/>
      <c r="AZ20" s="114"/>
      <c r="BA20" s="114"/>
      <c r="BB20" s="114"/>
      <c r="BC20" s="120"/>
      <c r="BD20" s="120"/>
      <c r="BE20" s="120"/>
      <c r="BF20" s="114"/>
      <c r="BG20" s="114"/>
      <c r="BH20" s="114"/>
      <c r="BI20" s="114"/>
      <c r="BJ20" s="114"/>
      <c r="BK20" s="114"/>
      <c r="BL20" s="114"/>
      <c r="BM20" s="114"/>
      <c r="BN20" s="114"/>
      <c r="BO20" s="114"/>
      <c r="BP20" s="114"/>
      <c r="BQ20" s="114"/>
      <c r="BR20" s="114"/>
      <c r="BS20" s="114"/>
      <c r="BT20" s="114"/>
      <c r="BU20" s="114"/>
      <c r="BV20" s="114"/>
      <c r="BW20" s="115"/>
      <c r="BX20" s="121"/>
      <c r="BY20" s="612" t="e">
        <f t="shared" ref="BY20:BY48" si="0">X20/F20*100</f>
        <v>#DIV/0!</v>
      </c>
    </row>
    <row r="21" spans="1:86" s="70" customFormat="1" ht="35.25" customHeight="1" x14ac:dyDescent="0.25">
      <c r="A21" s="102"/>
      <c r="B21" s="102"/>
      <c r="C21" s="102"/>
      <c r="D21" s="103" t="s">
        <v>122</v>
      </c>
      <c r="E21" s="104">
        <f>E22+E69</f>
        <v>113</v>
      </c>
      <c r="F21" s="105"/>
      <c r="G21" s="106"/>
      <c r="H21" s="107"/>
      <c r="I21" s="107"/>
      <c r="J21" s="107"/>
      <c r="K21" s="134"/>
      <c r="L21" s="134"/>
      <c r="M21" s="107"/>
      <c r="N21" s="107"/>
      <c r="O21" s="107"/>
      <c r="P21" s="107"/>
      <c r="Q21" s="107"/>
      <c r="R21" s="108"/>
      <c r="S21" s="109"/>
      <c r="T21" s="110"/>
      <c r="U21" s="110"/>
      <c r="V21" s="111"/>
      <c r="W21" s="112"/>
      <c r="X21" s="113"/>
      <c r="Y21" s="114"/>
      <c r="Z21" s="114"/>
      <c r="AA21" s="115"/>
      <c r="AB21" s="116"/>
      <c r="AC21" s="106"/>
      <c r="AD21" s="117"/>
      <c r="AE21" s="117"/>
      <c r="AF21" s="117"/>
      <c r="AG21" s="118"/>
      <c r="AH21" s="107"/>
      <c r="AI21" s="107"/>
      <c r="AJ21" s="108"/>
      <c r="AK21" s="119"/>
      <c r="AL21" s="632"/>
      <c r="AM21" s="296"/>
      <c r="AN21" s="62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5"/>
      <c r="BX21" s="121"/>
      <c r="BY21" s="612" t="e">
        <f t="shared" si="0"/>
        <v>#DIV/0!</v>
      </c>
    </row>
    <row r="22" spans="1:86" s="70" customFormat="1" ht="23.1" customHeight="1" x14ac:dyDescent="0.25">
      <c r="A22" s="102"/>
      <c r="B22" s="102"/>
      <c r="C22" s="123"/>
      <c r="D22" s="124" t="s">
        <v>123</v>
      </c>
      <c r="E22" s="125">
        <f>E23+E33+E50</f>
        <v>59</v>
      </c>
      <c r="F22" s="126">
        <f>E22*36</f>
        <v>2124</v>
      </c>
      <c r="G22" s="106"/>
      <c r="H22" s="107"/>
      <c r="I22" s="107"/>
      <c r="J22" s="107"/>
      <c r="K22" s="134"/>
      <c r="L22" s="134"/>
      <c r="M22" s="107"/>
      <c r="N22" s="107"/>
      <c r="O22" s="107"/>
      <c r="P22" s="107"/>
      <c r="Q22" s="107"/>
      <c r="R22" s="108"/>
      <c r="S22" s="109"/>
      <c r="T22" s="110"/>
      <c r="U22" s="110"/>
      <c r="V22" s="111"/>
      <c r="W22" s="112"/>
      <c r="X22" s="113"/>
      <c r="Y22" s="114"/>
      <c r="Z22" s="114"/>
      <c r="AA22" s="115"/>
      <c r="AB22" s="116"/>
      <c r="AC22" s="106"/>
      <c r="AD22" s="117"/>
      <c r="AE22" s="117"/>
      <c r="AF22" s="117"/>
      <c r="AG22" s="118"/>
      <c r="AH22" s="107"/>
      <c r="AI22" s="107"/>
      <c r="AJ22" s="108"/>
      <c r="AK22" s="119"/>
      <c r="AL22" s="632"/>
      <c r="AM22" s="296"/>
      <c r="AN22" s="62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5"/>
      <c r="BX22" s="121"/>
      <c r="BY22" s="612">
        <f t="shared" si="0"/>
        <v>0</v>
      </c>
    </row>
    <row r="23" spans="1:86" s="70" customFormat="1" ht="23.1" customHeight="1" x14ac:dyDescent="0.25">
      <c r="A23" s="102"/>
      <c r="B23" s="102"/>
      <c r="C23" s="123"/>
      <c r="D23" s="127" t="s">
        <v>124</v>
      </c>
      <c r="E23" s="128">
        <f>SUM(E25:E32)</f>
        <v>7</v>
      </c>
      <c r="F23" s="129">
        <f>E23*36</f>
        <v>252</v>
      </c>
      <c r="G23" s="106"/>
      <c r="H23" s="107"/>
      <c r="I23" s="107"/>
      <c r="J23" s="107"/>
      <c r="K23" s="134"/>
      <c r="L23" s="134"/>
      <c r="M23" s="107"/>
      <c r="N23" s="107"/>
      <c r="O23" s="107"/>
      <c r="P23" s="107"/>
      <c r="Q23" s="107"/>
      <c r="R23" s="108"/>
      <c r="S23" s="109"/>
      <c r="T23" s="110"/>
      <c r="U23" s="110"/>
      <c r="V23" s="111"/>
      <c r="W23" s="112"/>
      <c r="X23" s="113"/>
      <c r="Y23" s="114"/>
      <c r="Z23" s="114"/>
      <c r="AA23" s="115"/>
      <c r="AB23" s="116"/>
      <c r="AC23" s="106"/>
      <c r="AD23" s="117"/>
      <c r="AE23" s="117"/>
      <c r="AF23" s="117"/>
      <c r="AG23" s="118"/>
      <c r="AH23" s="107"/>
      <c r="AI23" s="107"/>
      <c r="AJ23" s="108"/>
      <c r="AK23" s="119"/>
      <c r="AL23" s="632"/>
      <c r="AM23" s="296"/>
      <c r="AN23" s="62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5"/>
      <c r="BX23" s="121"/>
      <c r="BY23" s="612">
        <f t="shared" si="0"/>
        <v>0</v>
      </c>
    </row>
    <row r="24" spans="1:86" s="101" customFormat="1" ht="34.5" customHeight="1" x14ac:dyDescent="0.25">
      <c r="A24" s="130"/>
      <c r="B24" s="130"/>
      <c r="C24" s="131"/>
      <c r="D24" s="132" t="s">
        <v>192</v>
      </c>
      <c r="E24" s="209">
        <v>3</v>
      </c>
      <c r="F24" s="210">
        <f>E24*36</f>
        <v>108</v>
      </c>
      <c r="G24" s="133"/>
      <c r="H24" s="134"/>
      <c r="I24" s="134"/>
      <c r="J24" s="134"/>
      <c r="K24" s="134"/>
      <c r="L24" s="134"/>
      <c r="M24" s="134"/>
      <c r="N24" s="134"/>
      <c r="O24" s="134"/>
      <c r="P24" s="134"/>
      <c r="Q24" s="134"/>
      <c r="R24" s="135"/>
      <c r="S24" s="109"/>
      <c r="T24" s="110"/>
      <c r="U24" s="110"/>
      <c r="V24" s="111"/>
      <c r="W24" s="112"/>
      <c r="X24" s="113"/>
      <c r="Y24" s="114"/>
      <c r="Z24" s="114"/>
      <c r="AA24" s="115"/>
      <c r="AB24" s="116"/>
      <c r="AC24" s="136"/>
      <c r="AD24" s="117"/>
      <c r="AE24" s="117"/>
      <c r="AF24" s="117"/>
      <c r="AG24" s="118"/>
      <c r="AH24" s="137"/>
      <c r="AI24" s="137"/>
      <c r="AJ24" s="138"/>
      <c r="AK24" s="119"/>
      <c r="AL24" s="632"/>
      <c r="AM24" s="296"/>
      <c r="AN24" s="62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5"/>
      <c r="BX24" s="139"/>
      <c r="BY24" s="612"/>
    </row>
    <row r="25" spans="1:86" s="101" customFormat="1" ht="35.25" customHeight="1" x14ac:dyDescent="0.25">
      <c r="A25" s="140"/>
      <c r="B25" s="130" t="s">
        <v>203</v>
      </c>
      <c r="C25" s="904">
        <v>1</v>
      </c>
      <c r="D25" s="692" t="s">
        <v>335</v>
      </c>
      <c r="E25" s="701">
        <f>G25+H25+I25+J25+K25+L25+M25</f>
        <v>3</v>
      </c>
      <c r="F25" s="703">
        <f>E25*36</f>
        <v>108</v>
      </c>
      <c r="G25" s="705"/>
      <c r="H25" s="693"/>
      <c r="I25" s="693"/>
      <c r="J25" s="693"/>
      <c r="K25" s="709">
        <v>3</v>
      </c>
      <c r="L25" s="709"/>
      <c r="M25" s="693"/>
      <c r="N25" s="695" t="s">
        <v>183</v>
      </c>
      <c r="O25" s="936"/>
      <c r="P25" s="693"/>
      <c r="Q25" s="693"/>
      <c r="R25" s="695"/>
      <c r="S25" s="936"/>
      <c r="T25" s="936">
        <v>5</v>
      </c>
      <c r="U25" s="693"/>
      <c r="V25" s="695"/>
      <c r="W25" s="939">
        <f>X25+X25*0.1</f>
        <v>35.200000000000003</v>
      </c>
      <c r="X25" s="931">
        <f>Y25+Z25+AA25</f>
        <v>32</v>
      </c>
      <c r="Y25" s="931">
        <f>AN25+AQ25+AT25+AW25+AZ25+BC25+BF25+BI25</f>
        <v>16</v>
      </c>
      <c r="Z25" s="931">
        <f>AO25+AR25+AU25+AX25+BA25+BD25+BG25+BJ25</f>
        <v>0</v>
      </c>
      <c r="AA25" s="925">
        <f>AP25+AS25+AV25+AY25+BB25+BE25+BH25+BK25</f>
        <v>16</v>
      </c>
      <c r="AB25" s="931"/>
      <c r="AC25" s="780"/>
      <c r="AD25" s="780"/>
      <c r="AE25" s="780"/>
      <c r="AF25" s="780"/>
      <c r="AG25" s="780"/>
      <c r="AH25" s="780"/>
      <c r="AI25" s="780"/>
      <c r="AJ25" s="780"/>
      <c r="AK25" s="894">
        <f>F25-W25</f>
        <v>72.8</v>
      </c>
      <c r="AL25" s="897"/>
      <c r="AM25" s="925"/>
      <c r="AN25" s="928"/>
      <c r="AO25" s="780"/>
      <c r="AP25" s="780"/>
      <c r="AQ25" s="693"/>
      <c r="AR25" s="693"/>
      <c r="AS25" s="693"/>
      <c r="AT25" s="780"/>
      <c r="AU25" s="780"/>
      <c r="AV25" s="780"/>
      <c r="AW25" s="693"/>
      <c r="AX25" s="693"/>
      <c r="AY25" s="693"/>
      <c r="AZ25" s="780">
        <v>16</v>
      </c>
      <c r="BA25" s="780"/>
      <c r="BB25" s="780">
        <v>16</v>
      </c>
      <c r="BC25" s="693"/>
      <c r="BD25" s="693"/>
      <c r="BE25" s="693"/>
      <c r="BF25" s="780"/>
      <c r="BG25" s="780"/>
      <c r="BH25" s="780"/>
      <c r="BI25" s="693"/>
      <c r="BJ25" s="693"/>
      <c r="BK25" s="693"/>
      <c r="BL25" s="780"/>
      <c r="BM25" s="780"/>
      <c r="BN25" s="780"/>
      <c r="BO25" s="693"/>
      <c r="BP25" s="693"/>
      <c r="BQ25" s="693"/>
      <c r="BR25" s="780"/>
      <c r="BS25" s="780"/>
      <c r="BT25" s="780"/>
      <c r="BU25" s="693"/>
      <c r="BV25" s="693"/>
      <c r="BW25" s="922"/>
      <c r="BX25" s="705" t="s">
        <v>282</v>
      </c>
      <c r="BY25" s="912">
        <v>29.629629629629626</v>
      </c>
    </row>
    <row r="26" spans="1:86" s="101" customFormat="1" ht="35.25" customHeight="1" x14ac:dyDescent="0.25">
      <c r="A26" s="140"/>
      <c r="B26" s="130" t="s">
        <v>203</v>
      </c>
      <c r="C26" s="758"/>
      <c r="D26" s="692" t="s">
        <v>336</v>
      </c>
      <c r="E26" s="761"/>
      <c r="F26" s="762"/>
      <c r="G26" s="763"/>
      <c r="H26" s="747"/>
      <c r="I26" s="747"/>
      <c r="J26" s="747"/>
      <c r="K26" s="749"/>
      <c r="L26" s="749"/>
      <c r="M26" s="747"/>
      <c r="N26" s="934"/>
      <c r="O26" s="937"/>
      <c r="P26" s="747"/>
      <c r="Q26" s="747"/>
      <c r="R26" s="934"/>
      <c r="S26" s="937"/>
      <c r="T26" s="937"/>
      <c r="U26" s="747"/>
      <c r="V26" s="934"/>
      <c r="W26" s="940"/>
      <c r="X26" s="932"/>
      <c r="Y26" s="932"/>
      <c r="Z26" s="932"/>
      <c r="AA26" s="926"/>
      <c r="AB26" s="932"/>
      <c r="AC26" s="781"/>
      <c r="AD26" s="781"/>
      <c r="AE26" s="781"/>
      <c r="AF26" s="781"/>
      <c r="AG26" s="781"/>
      <c r="AH26" s="781"/>
      <c r="AI26" s="781"/>
      <c r="AJ26" s="781"/>
      <c r="AK26" s="895"/>
      <c r="AL26" s="898"/>
      <c r="AM26" s="926"/>
      <c r="AN26" s="929"/>
      <c r="AO26" s="781"/>
      <c r="AP26" s="781"/>
      <c r="AQ26" s="747"/>
      <c r="AR26" s="747"/>
      <c r="AS26" s="747"/>
      <c r="AT26" s="781"/>
      <c r="AU26" s="781"/>
      <c r="AV26" s="781"/>
      <c r="AW26" s="747"/>
      <c r="AX26" s="747"/>
      <c r="AY26" s="747"/>
      <c r="AZ26" s="781"/>
      <c r="BA26" s="781"/>
      <c r="BB26" s="781"/>
      <c r="BC26" s="747"/>
      <c r="BD26" s="747"/>
      <c r="BE26" s="747"/>
      <c r="BF26" s="781"/>
      <c r="BG26" s="781"/>
      <c r="BH26" s="781"/>
      <c r="BI26" s="747"/>
      <c r="BJ26" s="747"/>
      <c r="BK26" s="747"/>
      <c r="BL26" s="781"/>
      <c r="BM26" s="781"/>
      <c r="BN26" s="781"/>
      <c r="BO26" s="747"/>
      <c r="BP26" s="747"/>
      <c r="BQ26" s="747"/>
      <c r="BR26" s="781"/>
      <c r="BS26" s="781"/>
      <c r="BT26" s="781"/>
      <c r="BU26" s="747"/>
      <c r="BV26" s="747"/>
      <c r="BW26" s="923"/>
      <c r="BX26" s="763"/>
      <c r="BY26" s="913"/>
    </row>
    <row r="27" spans="1:86" s="101" customFormat="1" ht="35.25" customHeight="1" x14ac:dyDescent="0.25">
      <c r="A27" s="140"/>
      <c r="B27" s="130" t="s">
        <v>203</v>
      </c>
      <c r="C27" s="758"/>
      <c r="D27" s="692" t="s">
        <v>337</v>
      </c>
      <c r="E27" s="761"/>
      <c r="F27" s="762"/>
      <c r="G27" s="763"/>
      <c r="H27" s="747"/>
      <c r="I27" s="747"/>
      <c r="J27" s="747"/>
      <c r="K27" s="749"/>
      <c r="L27" s="749"/>
      <c r="M27" s="747"/>
      <c r="N27" s="934"/>
      <c r="O27" s="937"/>
      <c r="P27" s="747"/>
      <c r="Q27" s="747"/>
      <c r="R27" s="934"/>
      <c r="S27" s="937"/>
      <c r="T27" s="937"/>
      <c r="U27" s="747"/>
      <c r="V27" s="934"/>
      <c r="W27" s="940"/>
      <c r="X27" s="932"/>
      <c r="Y27" s="932"/>
      <c r="Z27" s="932"/>
      <c r="AA27" s="926"/>
      <c r="AB27" s="932"/>
      <c r="AC27" s="781"/>
      <c r="AD27" s="781"/>
      <c r="AE27" s="781"/>
      <c r="AF27" s="781"/>
      <c r="AG27" s="781"/>
      <c r="AH27" s="781"/>
      <c r="AI27" s="781"/>
      <c r="AJ27" s="781"/>
      <c r="AK27" s="895"/>
      <c r="AL27" s="898"/>
      <c r="AM27" s="926"/>
      <c r="AN27" s="929"/>
      <c r="AO27" s="781"/>
      <c r="AP27" s="781"/>
      <c r="AQ27" s="747"/>
      <c r="AR27" s="747"/>
      <c r="AS27" s="747"/>
      <c r="AT27" s="781"/>
      <c r="AU27" s="781"/>
      <c r="AV27" s="781"/>
      <c r="AW27" s="747"/>
      <c r="AX27" s="747"/>
      <c r="AY27" s="747"/>
      <c r="AZ27" s="781"/>
      <c r="BA27" s="781"/>
      <c r="BB27" s="781"/>
      <c r="BC27" s="747"/>
      <c r="BD27" s="747"/>
      <c r="BE27" s="747"/>
      <c r="BF27" s="781"/>
      <c r="BG27" s="781"/>
      <c r="BH27" s="781"/>
      <c r="BI27" s="747"/>
      <c r="BJ27" s="747"/>
      <c r="BK27" s="747"/>
      <c r="BL27" s="781"/>
      <c r="BM27" s="781"/>
      <c r="BN27" s="781"/>
      <c r="BO27" s="747"/>
      <c r="BP27" s="747"/>
      <c r="BQ27" s="747"/>
      <c r="BR27" s="781"/>
      <c r="BS27" s="781"/>
      <c r="BT27" s="781"/>
      <c r="BU27" s="747"/>
      <c r="BV27" s="747"/>
      <c r="BW27" s="923"/>
      <c r="BX27" s="763"/>
      <c r="BY27" s="913"/>
    </row>
    <row r="28" spans="1:86" s="101" customFormat="1" ht="48" customHeight="1" x14ac:dyDescent="0.25">
      <c r="A28" s="140"/>
      <c r="B28" s="130" t="s">
        <v>203</v>
      </c>
      <c r="C28" s="758"/>
      <c r="D28" s="692" t="s">
        <v>338</v>
      </c>
      <c r="E28" s="761"/>
      <c r="F28" s="762"/>
      <c r="G28" s="763"/>
      <c r="H28" s="747"/>
      <c r="I28" s="747"/>
      <c r="J28" s="747"/>
      <c r="K28" s="749"/>
      <c r="L28" s="749"/>
      <c r="M28" s="747"/>
      <c r="N28" s="934"/>
      <c r="O28" s="937"/>
      <c r="P28" s="747"/>
      <c r="Q28" s="747"/>
      <c r="R28" s="934"/>
      <c r="S28" s="937"/>
      <c r="T28" s="937"/>
      <c r="U28" s="747"/>
      <c r="V28" s="934"/>
      <c r="W28" s="940"/>
      <c r="X28" s="932"/>
      <c r="Y28" s="932"/>
      <c r="Z28" s="932"/>
      <c r="AA28" s="926"/>
      <c r="AB28" s="932"/>
      <c r="AC28" s="781"/>
      <c r="AD28" s="781"/>
      <c r="AE28" s="781"/>
      <c r="AF28" s="781"/>
      <c r="AG28" s="781"/>
      <c r="AH28" s="781"/>
      <c r="AI28" s="781"/>
      <c r="AJ28" s="781"/>
      <c r="AK28" s="895"/>
      <c r="AL28" s="898"/>
      <c r="AM28" s="926"/>
      <c r="AN28" s="929"/>
      <c r="AO28" s="781"/>
      <c r="AP28" s="781"/>
      <c r="AQ28" s="747"/>
      <c r="AR28" s="747"/>
      <c r="AS28" s="747"/>
      <c r="AT28" s="781"/>
      <c r="AU28" s="781"/>
      <c r="AV28" s="781"/>
      <c r="AW28" s="747"/>
      <c r="AX28" s="747"/>
      <c r="AY28" s="747"/>
      <c r="AZ28" s="781"/>
      <c r="BA28" s="781"/>
      <c r="BB28" s="781"/>
      <c r="BC28" s="747"/>
      <c r="BD28" s="747"/>
      <c r="BE28" s="747"/>
      <c r="BF28" s="781"/>
      <c r="BG28" s="781"/>
      <c r="BH28" s="781"/>
      <c r="BI28" s="747"/>
      <c r="BJ28" s="747"/>
      <c r="BK28" s="747"/>
      <c r="BL28" s="781"/>
      <c r="BM28" s="781"/>
      <c r="BN28" s="781"/>
      <c r="BO28" s="747"/>
      <c r="BP28" s="747"/>
      <c r="BQ28" s="747"/>
      <c r="BR28" s="781"/>
      <c r="BS28" s="781"/>
      <c r="BT28" s="781"/>
      <c r="BU28" s="747"/>
      <c r="BV28" s="747"/>
      <c r="BW28" s="923"/>
      <c r="BX28" s="763"/>
      <c r="BY28" s="913"/>
    </row>
    <row r="29" spans="1:86" s="101" customFormat="1" ht="35.25" customHeight="1" x14ac:dyDescent="0.25">
      <c r="A29" s="140"/>
      <c r="B29" s="130" t="s">
        <v>203</v>
      </c>
      <c r="C29" s="758"/>
      <c r="D29" s="692" t="s">
        <v>339</v>
      </c>
      <c r="E29" s="761"/>
      <c r="F29" s="762"/>
      <c r="G29" s="763"/>
      <c r="H29" s="747"/>
      <c r="I29" s="747"/>
      <c r="J29" s="747"/>
      <c r="K29" s="749"/>
      <c r="L29" s="749"/>
      <c r="M29" s="747"/>
      <c r="N29" s="934"/>
      <c r="O29" s="937"/>
      <c r="P29" s="747"/>
      <c r="Q29" s="747"/>
      <c r="R29" s="934"/>
      <c r="S29" s="937"/>
      <c r="T29" s="937"/>
      <c r="U29" s="747"/>
      <c r="V29" s="934"/>
      <c r="W29" s="940"/>
      <c r="X29" s="932"/>
      <c r="Y29" s="932"/>
      <c r="Z29" s="932"/>
      <c r="AA29" s="926"/>
      <c r="AB29" s="932"/>
      <c r="AC29" s="781"/>
      <c r="AD29" s="781"/>
      <c r="AE29" s="781"/>
      <c r="AF29" s="781"/>
      <c r="AG29" s="781"/>
      <c r="AH29" s="781"/>
      <c r="AI29" s="781"/>
      <c r="AJ29" s="781"/>
      <c r="AK29" s="895"/>
      <c r="AL29" s="898"/>
      <c r="AM29" s="926"/>
      <c r="AN29" s="929"/>
      <c r="AO29" s="781"/>
      <c r="AP29" s="781"/>
      <c r="AQ29" s="747"/>
      <c r="AR29" s="747"/>
      <c r="AS29" s="747"/>
      <c r="AT29" s="781"/>
      <c r="AU29" s="781"/>
      <c r="AV29" s="781"/>
      <c r="AW29" s="747"/>
      <c r="AX29" s="747"/>
      <c r="AY29" s="747"/>
      <c r="AZ29" s="781"/>
      <c r="BA29" s="781"/>
      <c r="BB29" s="781"/>
      <c r="BC29" s="747"/>
      <c r="BD29" s="747"/>
      <c r="BE29" s="747"/>
      <c r="BF29" s="781"/>
      <c r="BG29" s="781"/>
      <c r="BH29" s="781"/>
      <c r="BI29" s="747"/>
      <c r="BJ29" s="747"/>
      <c r="BK29" s="747"/>
      <c r="BL29" s="781"/>
      <c r="BM29" s="781"/>
      <c r="BN29" s="781"/>
      <c r="BO29" s="747"/>
      <c r="BP29" s="747"/>
      <c r="BQ29" s="747"/>
      <c r="BR29" s="781"/>
      <c r="BS29" s="781"/>
      <c r="BT29" s="781"/>
      <c r="BU29" s="747"/>
      <c r="BV29" s="747"/>
      <c r="BW29" s="923"/>
      <c r="BX29" s="763"/>
      <c r="BY29" s="913"/>
    </row>
    <row r="30" spans="1:86" s="101" customFormat="1" ht="62.25" customHeight="1" x14ac:dyDescent="0.25">
      <c r="A30" s="140"/>
      <c r="B30" s="130" t="s">
        <v>203</v>
      </c>
      <c r="C30" s="759"/>
      <c r="D30" s="692" t="s">
        <v>340</v>
      </c>
      <c r="E30" s="702"/>
      <c r="F30" s="704"/>
      <c r="G30" s="706"/>
      <c r="H30" s="699"/>
      <c r="I30" s="699"/>
      <c r="J30" s="699"/>
      <c r="K30" s="710"/>
      <c r="L30" s="710"/>
      <c r="M30" s="699"/>
      <c r="N30" s="935"/>
      <c r="O30" s="938"/>
      <c r="P30" s="699"/>
      <c r="Q30" s="699"/>
      <c r="R30" s="935"/>
      <c r="S30" s="938"/>
      <c r="T30" s="938"/>
      <c r="U30" s="699"/>
      <c r="V30" s="935"/>
      <c r="W30" s="941"/>
      <c r="X30" s="933"/>
      <c r="Y30" s="933"/>
      <c r="Z30" s="933"/>
      <c r="AA30" s="927"/>
      <c r="AB30" s="933"/>
      <c r="AC30" s="782"/>
      <c r="AD30" s="782"/>
      <c r="AE30" s="782"/>
      <c r="AF30" s="782"/>
      <c r="AG30" s="782"/>
      <c r="AH30" s="782"/>
      <c r="AI30" s="782"/>
      <c r="AJ30" s="782"/>
      <c r="AK30" s="896"/>
      <c r="AL30" s="899"/>
      <c r="AM30" s="927"/>
      <c r="AN30" s="930"/>
      <c r="AO30" s="782"/>
      <c r="AP30" s="782"/>
      <c r="AQ30" s="699"/>
      <c r="AR30" s="699"/>
      <c r="AS30" s="699"/>
      <c r="AT30" s="782"/>
      <c r="AU30" s="782"/>
      <c r="AV30" s="782"/>
      <c r="AW30" s="699"/>
      <c r="AX30" s="699"/>
      <c r="AY30" s="699"/>
      <c r="AZ30" s="782"/>
      <c r="BA30" s="782"/>
      <c r="BB30" s="782"/>
      <c r="BC30" s="699"/>
      <c r="BD30" s="699"/>
      <c r="BE30" s="699"/>
      <c r="BF30" s="782"/>
      <c r="BG30" s="782"/>
      <c r="BH30" s="782"/>
      <c r="BI30" s="699"/>
      <c r="BJ30" s="699"/>
      <c r="BK30" s="699"/>
      <c r="BL30" s="782"/>
      <c r="BM30" s="782"/>
      <c r="BN30" s="782"/>
      <c r="BO30" s="699"/>
      <c r="BP30" s="699"/>
      <c r="BQ30" s="699"/>
      <c r="BR30" s="782"/>
      <c r="BS30" s="782"/>
      <c r="BT30" s="782"/>
      <c r="BU30" s="699"/>
      <c r="BV30" s="699"/>
      <c r="BW30" s="924"/>
      <c r="BX30" s="706"/>
      <c r="BY30" s="914"/>
    </row>
    <row r="31" spans="1:86" s="101" customFormat="1" ht="42.75" customHeight="1" x14ac:dyDescent="0.25">
      <c r="A31" s="140"/>
      <c r="B31" s="130" t="s">
        <v>302</v>
      </c>
      <c r="C31" s="131">
        <v>2</v>
      </c>
      <c r="D31" s="141" t="s">
        <v>273</v>
      </c>
      <c r="E31" s="147">
        <f>G31+H31+I31+J31+K31+L31+M31+N31+O31+P31+Q31+R31</f>
        <v>2</v>
      </c>
      <c r="F31" s="148">
        <f>E31*36</f>
        <v>72</v>
      </c>
      <c r="G31" s="149"/>
      <c r="H31" s="140"/>
      <c r="I31" s="140">
        <v>2</v>
      </c>
      <c r="J31" s="140"/>
      <c r="K31" s="519"/>
      <c r="L31" s="519"/>
      <c r="M31" s="140"/>
      <c r="N31" s="140"/>
      <c r="O31" s="140"/>
      <c r="P31" s="140"/>
      <c r="Q31" s="140"/>
      <c r="R31" s="150"/>
      <c r="S31" s="151"/>
      <c r="T31" s="152"/>
      <c r="U31" s="152">
        <v>3</v>
      </c>
      <c r="V31" s="153"/>
      <c r="W31" s="112">
        <f>X31+X31*0.1</f>
        <v>35.200000000000003</v>
      </c>
      <c r="X31" s="113">
        <f>SUM(Y31:AA31)</f>
        <v>32</v>
      </c>
      <c r="Y31" s="114">
        <f t="shared" ref="Y31:AA32" si="1">AN31+AQ31+AT31+AW31+AZ31+BC31+BF31+BI31+BL31+BO31+BR31+BU31</f>
        <v>16</v>
      </c>
      <c r="Z31" s="114">
        <f>AO31+AR31+AU31+AX31+BA31+BD31+BG31+BJ31+BM31+BP31+BS31+BV31</f>
        <v>16</v>
      </c>
      <c r="AA31" s="115">
        <f t="shared" si="1"/>
        <v>0</v>
      </c>
      <c r="AB31" s="433"/>
      <c r="AC31" s="136"/>
      <c r="AD31" s="434"/>
      <c r="AE31" s="434"/>
      <c r="AF31" s="434"/>
      <c r="AG31" s="435"/>
      <c r="AH31" s="137"/>
      <c r="AI31" s="137"/>
      <c r="AJ31" s="138"/>
      <c r="AK31" s="119">
        <f>F31-W31</f>
        <v>36.799999999999997</v>
      </c>
      <c r="AL31" s="632"/>
      <c r="AM31" s="296"/>
      <c r="AN31" s="625"/>
      <c r="AO31" s="444"/>
      <c r="AP31" s="444"/>
      <c r="AQ31" s="154"/>
      <c r="AR31" s="154"/>
      <c r="AS31" s="154"/>
      <c r="AT31" s="444">
        <v>16</v>
      </c>
      <c r="AU31" s="444">
        <v>16</v>
      </c>
      <c r="AV31" s="444"/>
      <c r="AW31" s="154"/>
      <c r="AX31" s="154"/>
      <c r="AY31" s="154"/>
      <c r="AZ31" s="444"/>
      <c r="BA31" s="444"/>
      <c r="BB31" s="444"/>
      <c r="BC31" s="154"/>
      <c r="BD31" s="154"/>
      <c r="BE31" s="154"/>
      <c r="BF31" s="444"/>
      <c r="BG31" s="444"/>
      <c r="BH31" s="444"/>
      <c r="BI31" s="154"/>
      <c r="BJ31" s="154"/>
      <c r="BK31" s="154"/>
      <c r="BL31" s="643"/>
      <c r="BM31" s="643"/>
      <c r="BN31" s="643"/>
      <c r="BO31" s="154"/>
      <c r="BP31" s="154"/>
      <c r="BQ31" s="154"/>
      <c r="BR31" s="643"/>
      <c r="BS31" s="643"/>
      <c r="BT31" s="643"/>
      <c r="BU31" s="154"/>
      <c r="BV31" s="154"/>
      <c r="BW31" s="155"/>
      <c r="BX31" s="156" t="s">
        <v>332</v>
      </c>
      <c r="BY31" s="122">
        <f>X31/F31*100</f>
        <v>44.444444444444443</v>
      </c>
    </row>
    <row r="32" spans="1:86" s="101" customFormat="1" ht="23.1" customHeight="1" x14ac:dyDescent="0.25">
      <c r="A32" s="140"/>
      <c r="B32" s="130"/>
      <c r="C32" s="131">
        <v>3</v>
      </c>
      <c r="D32" s="141" t="s">
        <v>117</v>
      </c>
      <c r="E32" s="147">
        <f>G32+H32+I32+J32+K32+L32+M32+N32+O32+P32+Q32+R32</f>
        <v>2</v>
      </c>
      <c r="F32" s="148">
        <v>72</v>
      </c>
      <c r="G32" s="149">
        <v>1</v>
      </c>
      <c r="H32" s="140">
        <v>1</v>
      </c>
      <c r="I32" s="140"/>
      <c r="J32" s="140"/>
      <c r="K32" s="519"/>
      <c r="L32" s="519"/>
      <c r="M32" s="140"/>
      <c r="N32" s="140"/>
      <c r="O32" s="140"/>
      <c r="P32" s="140"/>
      <c r="Q32" s="140"/>
      <c r="R32" s="150"/>
      <c r="S32" s="151"/>
      <c r="T32" s="152"/>
      <c r="U32" s="152">
        <v>12</v>
      </c>
      <c r="V32" s="153"/>
      <c r="W32" s="112">
        <v>72</v>
      </c>
      <c r="X32" s="113">
        <f>SUM(Y32:AA32)</f>
        <v>72</v>
      </c>
      <c r="Y32" s="114">
        <f t="shared" si="1"/>
        <v>0</v>
      </c>
      <c r="Z32" s="114">
        <f t="shared" si="1"/>
        <v>0</v>
      </c>
      <c r="AA32" s="115">
        <f>AP32+AS32+AV32+AY32+BB32+BE32+BH32+BK32+BN32+BQ32+BT32+BW32</f>
        <v>72</v>
      </c>
      <c r="AB32" s="433"/>
      <c r="AC32" s="136"/>
      <c r="AD32" s="434"/>
      <c r="AE32" s="434"/>
      <c r="AF32" s="434"/>
      <c r="AG32" s="435"/>
      <c r="AH32" s="137"/>
      <c r="AI32" s="137"/>
      <c r="AJ32" s="138"/>
      <c r="AK32" s="119"/>
      <c r="AL32" s="632"/>
      <c r="AM32" s="296"/>
      <c r="AN32" s="625"/>
      <c r="AO32" s="444"/>
      <c r="AP32" s="444">
        <v>36</v>
      </c>
      <c r="AQ32" s="154"/>
      <c r="AR32" s="154"/>
      <c r="AS32" s="154">
        <v>36</v>
      </c>
      <c r="AT32" s="444"/>
      <c r="AU32" s="444"/>
      <c r="AV32" s="444"/>
      <c r="AW32" s="154"/>
      <c r="AX32" s="154"/>
      <c r="AY32" s="154"/>
      <c r="AZ32" s="444"/>
      <c r="BA32" s="444"/>
      <c r="BB32" s="444"/>
      <c r="BC32" s="154"/>
      <c r="BD32" s="154"/>
      <c r="BE32" s="154"/>
      <c r="BF32" s="444"/>
      <c r="BG32" s="444"/>
      <c r="BH32" s="444"/>
      <c r="BI32" s="154"/>
      <c r="BJ32" s="154"/>
      <c r="BK32" s="154"/>
      <c r="BL32" s="643"/>
      <c r="BM32" s="643"/>
      <c r="BN32" s="643"/>
      <c r="BO32" s="154"/>
      <c r="BP32" s="154"/>
      <c r="BQ32" s="154"/>
      <c r="BR32" s="643"/>
      <c r="BS32" s="643"/>
      <c r="BT32" s="643"/>
      <c r="BU32" s="154"/>
      <c r="BV32" s="154"/>
      <c r="BW32" s="155"/>
      <c r="BX32" s="156" t="s">
        <v>307</v>
      </c>
      <c r="BY32" s="122">
        <f t="shared" si="0"/>
        <v>100</v>
      </c>
    </row>
    <row r="33" spans="1:77" s="70" customFormat="1" ht="42.75" customHeight="1" x14ac:dyDescent="0.25">
      <c r="A33" s="130"/>
      <c r="B33" s="130"/>
      <c r="C33" s="131"/>
      <c r="D33" s="127" t="s">
        <v>125</v>
      </c>
      <c r="E33" s="128">
        <f>E34+E36+E43+E46</f>
        <v>46</v>
      </c>
      <c r="F33" s="129">
        <f>E33*36</f>
        <v>1656</v>
      </c>
      <c r="G33" s="133"/>
      <c r="H33" s="134"/>
      <c r="I33" s="134"/>
      <c r="J33" s="134"/>
      <c r="K33" s="134"/>
      <c r="L33" s="134"/>
      <c r="M33" s="134"/>
      <c r="N33" s="134"/>
      <c r="O33" s="134"/>
      <c r="P33" s="134"/>
      <c r="Q33" s="134"/>
      <c r="R33" s="135"/>
      <c r="S33" s="109"/>
      <c r="T33" s="110"/>
      <c r="U33" s="110"/>
      <c r="V33" s="111"/>
      <c r="W33" s="112"/>
      <c r="X33" s="113"/>
      <c r="Y33" s="114"/>
      <c r="Z33" s="114"/>
      <c r="AA33" s="115"/>
      <c r="AB33" s="116"/>
      <c r="AC33" s="136"/>
      <c r="AD33" s="117"/>
      <c r="AE33" s="117"/>
      <c r="AF33" s="117"/>
      <c r="AG33" s="118"/>
      <c r="AH33" s="137"/>
      <c r="AI33" s="137"/>
      <c r="AJ33" s="138"/>
      <c r="AK33" s="119"/>
      <c r="AL33" s="632"/>
      <c r="AM33" s="296"/>
      <c r="AN33" s="62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5"/>
      <c r="BX33" s="139"/>
      <c r="BY33" s="612"/>
    </row>
    <row r="34" spans="1:77" s="101" customFormat="1" ht="30" customHeight="1" x14ac:dyDescent="0.25">
      <c r="A34" s="130"/>
      <c r="B34" s="130"/>
      <c r="C34" s="131"/>
      <c r="D34" s="127" t="s">
        <v>126</v>
      </c>
      <c r="E34" s="128">
        <f>SUM(E35:E35)</f>
        <v>3</v>
      </c>
      <c r="F34" s="129">
        <f t="shared" ref="F34:F130" si="2">E34*36</f>
        <v>108</v>
      </c>
      <c r="G34" s="133"/>
      <c r="H34" s="134"/>
      <c r="I34" s="134"/>
      <c r="J34" s="134"/>
      <c r="K34" s="134"/>
      <c r="L34" s="134"/>
      <c r="M34" s="134"/>
      <c r="N34" s="134"/>
      <c r="O34" s="134"/>
      <c r="P34" s="134"/>
      <c r="Q34" s="134"/>
      <c r="R34" s="135"/>
      <c r="S34" s="109"/>
      <c r="T34" s="110"/>
      <c r="U34" s="110"/>
      <c r="V34" s="111"/>
      <c r="W34" s="112"/>
      <c r="X34" s="113"/>
      <c r="Y34" s="114"/>
      <c r="Z34" s="114"/>
      <c r="AA34" s="115"/>
      <c r="AB34" s="116"/>
      <c r="AC34" s="136"/>
      <c r="AD34" s="117"/>
      <c r="AE34" s="117"/>
      <c r="AF34" s="117"/>
      <c r="AG34" s="118"/>
      <c r="AH34" s="137"/>
      <c r="AI34" s="137"/>
      <c r="AJ34" s="138"/>
      <c r="AK34" s="119"/>
      <c r="AL34" s="632"/>
      <c r="AM34" s="296"/>
      <c r="AN34" s="62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5"/>
      <c r="BX34" s="139"/>
      <c r="BY34" s="612"/>
    </row>
    <row r="35" spans="1:77" s="101" customFormat="1" ht="23.1" customHeight="1" x14ac:dyDescent="0.25">
      <c r="A35" s="157"/>
      <c r="B35" s="158" t="s">
        <v>203</v>
      </c>
      <c r="C35" s="674">
        <v>4</v>
      </c>
      <c r="D35" s="160" t="s">
        <v>189</v>
      </c>
      <c r="E35" s="501">
        <v>3</v>
      </c>
      <c r="F35" s="502">
        <v>108</v>
      </c>
      <c r="G35" s="503"/>
      <c r="H35" s="504"/>
      <c r="I35" s="504"/>
      <c r="J35" s="504"/>
      <c r="K35" s="520"/>
      <c r="L35" s="520">
        <v>3</v>
      </c>
      <c r="M35" s="504"/>
      <c r="N35" s="504"/>
      <c r="O35" s="504"/>
      <c r="P35" s="504"/>
      <c r="Q35" s="504"/>
      <c r="R35" s="505"/>
      <c r="S35" s="506"/>
      <c r="T35" s="507"/>
      <c r="U35" s="507">
        <v>6</v>
      </c>
      <c r="V35" s="508"/>
      <c r="W35" s="179">
        <f>X35+X35*0.1</f>
        <v>35.200000000000003</v>
      </c>
      <c r="X35" s="113">
        <v>32</v>
      </c>
      <c r="Y35" s="612">
        <v>16</v>
      </c>
      <c r="Z35" s="612">
        <v>0</v>
      </c>
      <c r="AA35" s="115">
        <v>16</v>
      </c>
      <c r="AB35" s="509"/>
      <c r="AC35" s="510"/>
      <c r="AD35" s="511"/>
      <c r="AE35" s="511"/>
      <c r="AF35" s="511"/>
      <c r="AG35" s="512"/>
      <c r="AH35" s="513"/>
      <c r="AI35" s="513"/>
      <c r="AJ35" s="514"/>
      <c r="AK35" s="119">
        <f>F35-W35</f>
        <v>72.8</v>
      </c>
      <c r="AL35" s="632"/>
      <c r="AM35" s="296"/>
      <c r="AN35" s="625"/>
      <c r="AO35" s="618"/>
      <c r="AP35" s="618"/>
      <c r="AQ35" s="515"/>
      <c r="AR35" s="515"/>
      <c r="AS35" s="515"/>
      <c r="AT35" s="625"/>
      <c r="AU35" s="618"/>
      <c r="AV35" s="618"/>
      <c r="AW35" s="515"/>
      <c r="AX35" s="515"/>
      <c r="AY35" s="515"/>
      <c r="AZ35" s="625"/>
      <c r="BA35" s="618"/>
      <c r="BB35" s="618"/>
      <c r="BC35" s="515">
        <v>16</v>
      </c>
      <c r="BD35" s="515"/>
      <c r="BE35" s="515">
        <v>16</v>
      </c>
      <c r="BF35" s="585"/>
      <c r="BG35" s="585"/>
      <c r="BH35" s="585"/>
      <c r="BI35" s="586"/>
      <c r="BJ35" s="586"/>
      <c r="BK35" s="586"/>
      <c r="BL35" s="625"/>
      <c r="BM35" s="618"/>
      <c r="BN35" s="618"/>
      <c r="BO35" s="668"/>
      <c r="BP35" s="668"/>
      <c r="BQ35" s="668"/>
      <c r="BR35" s="625"/>
      <c r="BS35" s="618"/>
      <c r="BT35" s="618"/>
      <c r="BU35" s="668"/>
      <c r="BV35" s="668"/>
      <c r="BW35" s="155"/>
      <c r="BX35" s="669" t="s">
        <v>308</v>
      </c>
      <c r="BY35" s="161" t="s">
        <v>183</v>
      </c>
    </row>
    <row r="36" spans="1:77" s="101" customFormat="1" ht="35.25" customHeight="1" x14ac:dyDescent="0.25">
      <c r="A36" s="130"/>
      <c r="B36" s="130"/>
      <c r="C36" s="163"/>
      <c r="D36" s="127" t="s">
        <v>127</v>
      </c>
      <c r="E36" s="171">
        <f>SUM(E37:E42)</f>
        <v>25</v>
      </c>
      <c r="F36" s="172">
        <f t="shared" si="2"/>
        <v>900</v>
      </c>
      <c r="G36" s="173"/>
      <c r="H36" s="174"/>
      <c r="I36" s="174"/>
      <c r="J36" s="174"/>
      <c r="K36" s="134"/>
      <c r="L36" s="134"/>
      <c r="M36" s="174"/>
      <c r="N36" s="174"/>
      <c r="O36" s="174"/>
      <c r="P36" s="174"/>
      <c r="Q36" s="174"/>
      <c r="R36" s="175"/>
      <c r="S36" s="176"/>
      <c r="T36" s="177"/>
      <c r="U36" s="177"/>
      <c r="V36" s="178"/>
      <c r="W36" s="179"/>
      <c r="X36" s="180"/>
      <c r="Y36" s="120"/>
      <c r="Z36" s="120"/>
      <c r="AA36" s="181"/>
      <c r="AB36" s="182"/>
      <c r="AC36" s="183"/>
      <c r="AD36" s="184"/>
      <c r="AE36" s="184"/>
      <c r="AF36" s="184"/>
      <c r="AG36" s="185"/>
      <c r="AH36" s="186"/>
      <c r="AI36" s="186"/>
      <c r="AJ36" s="187"/>
      <c r="AK36" s="167"/>
      <c r="AL36" s="633"/>
      <c r="AM36" s="634"/>
      <c r="AN36" s="626"/>
      <c r="AO36" s="120"/>
      <c r="AP36" s="120"/>
      <c r="AQ36" s="120"/>
      <c r="AR36" s="120"/>
      <c r="AS36" s="120"/>
      <c r="AT36" s="120"/>
      <c r="AU36" s="120"/>
      <c r="AV36" s="120"/>
      <c r="AW36" s="120"/>
      <c r="AX36" s="120"/>
      <c r="AY36" s="120"/>
      <c r="AZ36" s="120"/>
      <c r="BA36" s="120"/>
      <c r="BB36" s="120"/>
      <c r="BC36" s="120"/>
      <c r="BD36" s="120"/>
      <c r="BE36" s="120"/>
      <c r="BF36" s="612"/>
      <c r="BG36" s="612"/>
      <c r="BH36" s="612"/>
      <c r="BI36" s="612"/>
      <c r="BJ36" s="612"/>
      <c r="BK36" s="612"/>
      <c r="BL36" s="612"/>
      <c r="BM36" s="612"/>
      <c r="BN36" s="612"/>
      <c r="BO36" s="120"/>
      <c r="BP36" s="120"/>
      <c r="BQ36" s="120"/>
      <c r="BR36" s="120"/>
      <c r="BS36" s="120"/>
      <c r="BT36" s="120"/>
      <c r="BU36" s="120"/>
      <c r="BV36" s="120"/>
      <c r="BW36" s="115"/>
      <c r="BX36" s="134"/>
      <c r="BY36" s="612"/>
    </row>
    <row r="37" spans="1:77" s="101" customFormat="1" ht="34.5" customHeight="1" x14ac:dyDescent="0.25">
      <c r="A37" s="140"/>
      <c r="B37" s="130" t="s">
        <v>302</v>
      </c>
      <c r="C37" s="131">
        <v>5</v>
      </c>
      <c r="D37" s="141" t="s">
        <v>303</v>
      </c>
      <c r="E37" s="147">
        <f t="shared" ref="E37:E42" si="3">G37+H37+I37+J37+K37+L37+M37+N37+O37+P37+Q37+R37</f>
        <v>3</v>
      </c>
      <c r="F37" s="148">
        <f t="shared" si="2"/>
        <v>108</v>
      </c>
      <c r="G37" s="149">
        <v>3</v>
      </c>
      <c r="H37" s="140"/>
      <c r="I37" s="140"/>
      <c r="J37" s="140"/>
      <c r="K37" s="519"/>
      <c r="L37" s="519"/>
      <c r="M37" s="140"/>
      <c r="N37" s="140"/>
      <c r="O37" s="140"/>
      <c r="P37" s="140"/>
      <c r="Q37" s="140"/>
      <c r="R37" s="150"/>
      <c r="S37" s="151"/>
      <c r="T37" s="152"/>
      <c r="U37" s="152">
        <v>1</v>
      </c>
      <c r="V37" s="153"/>
      <c r="W37" s="112">
        <f t="shared" ref="W37:W42" si="4">X37+X37*0.1</f>
        <v>52.8</v>
      </c>
      <c r="X37" s="113">
        <v>48</v>
      </c>
      <c r="Y37" s="114">
        <v>32</v>
      </c>
      <c r="Z37" s="114">
        <f t="shared" ref="Y37:AA40" si="5">AO37+AR37+AU37+AX37+BA37+BD37+BG37+BJ37+BM37+BP37+BS37+BV37</f>
        <v>0</v>
      </c>
      <c r="AA37" s="115">
        <f t="shared" si="5"/>
        <v>16</v>
      </c>
      <c r="AB37" s="116"/>
      <c r="AC37" s="136"/>
      <c r="AD37" s="117"/>
      <c r="AE37" s="117"/>
      <c r="AF37" s="117"/>
      <c r="AG37" s="118"/>
      <c r="AH37" s="137"/>
      <c r="AI37" s="137"/>
      <c r="AJ37" s="138"/>
      <c r="AK37" s="119">
        <f t="shared" ref="AK37:AK42" si="6">F37-W37</f>
        <v>55.2</v>
      </c>
      <c r="AL37" s="632"/>
      <c r="AM37" s="296"/>
      <c r="AN37" s="625">
        <v>32</v>
      </c>
      <c r="AO37" s="444"/>
      <c r="AP37" s="444">
        <v>16</v>
      </c>
      <c r="AQ37" s="154"/>
      <c r="AR37" s="154"/>
      <c r="AS37" s="154"/>
      <c r="AT37" s="444"/>
      <c r="AU37" s="444"/>
      <c r="AV37" s="444"/>
      <c r="AW37" s="154"/>
      <c r="AX37" s="154"/>
      <c r="AY37" s="154"/>
      <c r="AZ37" s="444"/>
      <c r="BA37" s="444"/>
      <c r="BB37" s="444"/>
      <c r="BC37" s="154"/>
      <c r="BD37" s="154"/>
      <c r="BE37" s="154"/>
      <c r="BF37" s="444"/>
      <c r="BG37" s="444"/>
      <c r="BH37" s="444"/>
      <c r="BI37" s="154"/>
      <c r="BJ37" s="154"/>
      <c r="BK37" s="154"/>
      <c r="BL37" s="643"/>
      <c r="BM37" s="643"/>
      <c r="BN37" s="643"/>
      <c r="BO37" s="154"/>
      <c r="BP37" s="154"/>
      <c r="BQ37" s="154"/>
      <c r="BR37" s="643"/>
      <c r="BS37" s="643"/>
      <c r="BT37" s="643"/>
      <c r="BU37" s="154"/>
      <c r="BV37" s="154"/>
      <c r="BW37" s="155"/>
      <c r="BX37" s="156" t="s">
        <v>323</v>
      </c>
      <c r="BY37" s="122">
        <f t="shared" si="0"/>
        <v>44.444444444444443</v>
      </c>
    </row>
    <row r="38" spans="1:77" s="101" customFormat="1" ht="24.75" customHeight="1" x14ac:dyDescent="0.25">
      <c r="A38" s="140"/>
      <c r="B38" s="130"/>
      <c r="C38" s="131">
        <v>6</v>
      </c>
      <c r="D38" s="189" t="s">
        <v>216</v>
      </c>
      <c r="E38" s="147">
        <f t="shared" si="3"/>
        <v>4</v>
      </c>
      <c r="F38" s="148">
        <f t="shared" si="2"/>
        <v>144</v>
      </c>
      <c r="G38" s="149"/>
      <c r="H38" s="140"/>
      <c r="I38" s="140"/>
      <c r="J38" s="140"/>
      <c r="K38" s="519"/>
      <c r="L38" s="519"/>
      <c r="M38" s="140">
        <v>4</v>
      </c>
      <c r="N38" s="140"/>
      <c r="O38" s="140"/>
      <c r="P38" s="140"/>
      <c r="Q38" s="140"/>
      <c r="R38" s="150"/>
      <c r="S38" s="151">
        <v>7</v>
      </c>
      <c r="T38" s="152"/>
      <c r="U38" s="152"/>
      <c r="V38" s="153"/>
      <c r="W38" s="112">
        <f t="shared" si="4"/>
        <v>70.400000000000006</v>
      </c>
      <c r="X38" s="113">
        <f>SUM(Y38:AA38)</f>
        <v>64</v>
      </c>
      <c r="Y38" s="114">
        <f t="shared" si="5"/>
        <v>32</v>
      </c>
      <c r="Z38" s="114">
        <f t="shared" si="5"/>
        <v>32</v>
      </c>
      <c r="AA38" s="115">
        <f t="shared" si="5"/>
        <v>0</v>
      </c>
      <c r="AB38" s="116"/>
      <c r="AC38" s="136"/>
      <c r="AD38" s="117"/>
      <c r="AE38" s="117"/>
      <c r="AF38" s="117"/>
      <c r="AG38" s="118"/>
      <c r="AH38" s="137"/>
      <c r="AI38" s="137"/>
      <c r="AJ38" s="138"/>
      <c r="AK38" s="119">
        <f t="shared" si="6"/>
        <v>73.599999999999994</v>
      </c>
      <c r="AL38" s="632"/>
      <c r="AM38" s="296"/>
      <c r="AN38" s="625"/>
      <c r="AO38" s="444"/>
      <c r="AP38" s="444"/>
      <c r="AQ38" s="154"/>
      <c r="AR38" s="154"/>
      <c r="AS38" s="154"/>
      <c r="AT38" s="444"/>
      <c r="AU38" s="444"/>
      <c r="AV38" s="444"/>
      <c r="AW38" s="154"/>
      <c r="AX38" s="154"/>
      <c r="AY38" s="154"/>
      <c r="AZ38" s="444"/>
      <c r="BA38" s="444"/>
      <c r="BB38" s="444"/>
      <c r="BC38" s="154"/>
      <c r="BD38" s="154"/>
      <c r="BE38" s="154"/>
      <c r="BF38" s="444">
        <v>32</v>
      </c>
      <c r="BG38" s="444">
        <v>32</v>
      </c>
      <c r="BH38" s="444"/>
      <c r="BI38" s="154"/>
      <c r="BJ38" s="154"/>
      <c r="BK38" s="154"/>
      <c r="BL38" s="643"/>
      <c r="BM38" s="643"/>
      <c r="BN38" s="643"/>
      <c r="BO38" s="154"/>
      <c r="BP38" s="154"/>
      <c r="BQ38" s="154"/>
      <c r="BR38" s="643"/>
      <c r="BS38" s="643"/>
      <c r="BT38" s="643"/>
      <c r="BU38" s="154"/>
      <c r="BV38" s="154"/>
      <c r="BW38" s="155"/>
      <c r="BX38" s="156" t="s">
        <v>323</v>
      </c>
      <c r="BY38" s="122">
        <f t="shared" si="0"/>
        <v>44.444444444444443</v>
      </c>
    </row>
    <row r="39" spans="1:77" s="101" customFormat="1" ht="24.75" customHeight="1" x14ac:dyDescent="0.25">
      <c r="A39" s="140"/>
      <c r="B39" s="130"/>
      <c r="C39" s="131">
        <v>7</v>
      </c>
      <c r="D39" s="189" t="s">
        <v>217</v>
      </c>
      <c r="E39" s="147">
        <f t="shared" si="3"/>
        <v>4</v>
      </c>
      <c r="F39" s="148">
        <f t="shared" si="2"/>
        <v>144</v>
      </c>
      <c r="G39" s="149"/>
      <c r="H39" s="140"/>
      <c r="I39" s="140"/>
      <c r="J39" s="140">
        <v>4</v>
      </c>
      <c r="K39" s="519"/>
      <c r="L39" s="519"/>
      <c r="M39" s="140"/>
      <c r="N39" s="140"/>
      <c r="O39" s="140"/>
      <c r="P39" s="140"/>
      <c r="Q39" s="140"/>
      <c r="R39" s="150"/>
      <c r="S39" s="151">
        <v>4</v>
      </c>
      <c r="T39" s="152"/>
      <c r="U39" s="152"/>
      <c r="V39" s="153"/>
      <c r="W39" s="112">
        <f t="shared" si="4"/>
        <v>70.400000000000006</v>
      </c>
      <c r="X39" s="113">
        <v>64</v>
      </c>
      <c r="Y39" s="114">
        <v>32</v>
      </c>
      <c r="Z39" s="114">
        <f t="shared" si="5"/>
        <v>0</v>
      </c>
      <c r="AA39" s="115">
        <v>32</v>
      </c>
      <c r="AB39" s="116"/>
      <c r="AC39" s="136"/>
      <c r="AD39" s="117"/>
      <c r="AE39" s="117"/>
      <c r="AF39" s="117"/>
      <c r="AG39" s="118"/>
      <c r="AH39" s="137"/>
      <c r="AI39" s="137"/>
      <c r="AJ39" s="138"/>
      <c r="AK39" s="119">
        <f t="shared" si="6"/>
        <v>73.599999999999994</v>
      </c>
      <c r="AL39" s="632"/>
      <c r="AM39" s="296"/>
      <c r="AN39" s="625"/>
      <c r="AO39" s="444"/>
      <c r="AP39" s="444"/>
      <c r="AQ39" s="154"/>
      <c r="AR39" s="154"/>
      <c r="AS39" s="154"/>
      <c r="AT39" s="444"/>
      <c r="AU39" s="444"/>
      <c r="AV39" s="444"/>
      <c r="AW39" s="154">
        <v>32</v>
      </c>
      <c r="AX39" s="154"/>
      <c r="AY39" s="154">
        <v>32</v>
      </c>
      <c r="AZ39" s="444"/>
      <c r="BA39" s="444"/>
      <c r="BB39" s="444"/>
      <c r="BC39" s="154"/>
      <c r="BD39" s="154"/>
      <c r="BE39" s="154"/>
      <c r="BF39" s="444"/>
      <c r="BG39" s="444"/>
      <c r="BH39" s="444"/>
      <c r="BI39" s="154"/>
      <c r="BJ39" s="154"/>
      <c r="BK39" s="154"/>
      <c r="BL39" s="643"/>
      <c r="BM39" s="643"/>
      <c r="BN39" s="643"/>
      <c r="BO39" s="154"/>
      <c r="BP39" s="154"/>
      <c r="BQ39" s="154"/>
      <c r="BR39" s="643"/>
      <c r="BS39" s="643"/>
      <c r="BT39" s="643"/>
      <c r="BU39" s="154"/>
      <c r="BV39" s="154"/>
      <c r="BW39" s="155"/>
      <c r="BX39" s="156" t="s">
        <v>319</v>
      </c>
      <c r="BY39" s="122">
        <f t="shared" si="0"/>
        <v>44.444444444444443</v>
      </c>
    </row>
    <row r="40" spans="1:77" s="101" customFormat="1" ht="24.75" customHeight="1" x14ac:dyDescent="0.25">
      <c r="A40" s="140"/>
      <c r="B40" s="130"/>
      <c r="C40" s="131">
        <v>8</v>
      </c>
      <c r="D40" s="141" t="s">
        <v>218</v>
      </c>
      <c r="E40" s="147">
        <f t="shared" si="3"/>
        <v>4</v>
      </c>
      <c r="F40" s="148">
        <f t="shared" si="2"/>
        <v>144</v>
      </c>
      <c r="G40" s="149"/>
      <c r="H40" s="140"/>
      <c r="I40" s="140"/>
      <c r="J40" s="140"/>
      <c r="K40" s="519">
        <v>4</v>
      </c>
      <c r="L40" s="519"/>
      <c r="M40" s="140"/>
      <c r="N40" s="140"/>
      <c r="O40" s="140"/>
      <c r="P40" s="140"/>
      <c r="Q40" s="140"/>
      <c r="R40" s="150"/>
      <c r="S40" s="151">
        <v>5</v>
      </c>
      <c r="T40" s="152"/>
      <c r="U40" s="152"/>
      <c r="V40" s="153"/>
      <c r="W40" s="112">
        <f t="shared" si="4"/>
        <v>70.400000000000006</v>
      </c>
      <c r="X40" s="113">
        <f>SUM(Y40:AA40)</f>
        <v>64</v>
      </c>
      <c r="Y40" s="114">
        <f t="shared" si="5"/>
        <v>32</v>
      </c>
      <c r="Z40" s="114">
        <f t="shared" si="5"/>
        <v>32</v>
      </c>
      <c r="AA40" s="115">
        <f t="shared" si="5"/>
        <v>0</v>
      </c>
      <c r="AB40" s="116"/>
      <c r="AC40" s="136"/>
      <c r="AD40" s="117"/>
      <c r="AE40" s="117"/>
      <c r="AF40" s="117"/>
      <c r="AG40" s="118"/>
      <c r="AH40" s="137"/>
      <c r="AI40" s="137"/>
      <c r="AJ40" s="138"/>
      <c r="AK40" s="119">
        <f t="shared" si="6"/>
        <v>73.599999999999994</v>
      </c>
      <c r="AL40" s="632"/>
      <c r="AM40" s="296"/>
      <c r="AN40" s="625"/>
      <c r="AO40" s="444"/>
      <c r="AP40" s="444"/>
      <c r="AQ40" s="154"/>
      <c r="AR40" s="154"/>
      <c r="AS40" s="154"/>
      <c r="AT40" s="444"/>
      <c r="AU40" s="444"/>
      <c r="AV40" s="444"/>
      <c r="AW40" s="154"/>
      <c r="AX40" s="154"/>
      <c r="AY40" s="154"/>
      <c r="AZ40" s="444">
        <v>32</v>
      </c>
      <c r="BA40" s="444">
        <v>32</v>
      </c>
      <c r="BB40" s="444"/>
      <c r="BC40" s="154"/>
      <c r="BD40" s="154"/>
      <c r="BE40" s="154"/>
      <c r="BF40" s="444"/>
      <c r="BG40" s="444"/>
      <c r="BH40" s="444"/>
      <c r="BI40" s="154"/>
      <c r="BJ40" s="154"/>
      <c r="BK40" s="154"/>
      <c r="BL40" s="643"/>
      <c r="BM40" s="643"/>
      <c r="BN40" s="643"/>
      <c r="BO40" s="154"/>
      <c r="BP40" s="154"/>
      <c r="BQ40" s="154"/>
      <c r="BR40" s="643"/>
      <c r="BS40" s="643"/>
      <c r="BT40" s="643"/>
      <c r="BU40" s="154"/>
      <c r="BV40" s="154"/>
      <c r="BW40" s="155"/>
      <c r="BX40" s="156" t="s">
        <v>323</v>
      </c>
      <c r="BY40" s="122">
        <f t="shared" si="0"/>
        <v>44.444444444444443</v>
      </c>
    </row>
    <row r="41" spans="1:77" s="101" customFormat="1" ht="37.5" customHeight="1" x14ac:dyDescent="0.25">
      <c r="A41" s="140"/>
      <c r="B41" s="130" t="s">
        <v>302</v>
      </c>
      <c r="C41" s="131">
        <v>9</v>
      </c>
      <c r="D41" s="141" t="s">
        <v>326</v>
      </c>
      <c r="E41" s="147">
        <f t="shared" si="3"/>
        <v>6</v>
      </c>
      <c r="F41" s="148">
        <f>E41*36</f>
        <v>216</v>
      </c>
      <c r="G41" s="149"/>
      <c r="H41" s="140"/>
      <c r="I41" s="140"/>
      <c r="J41" s="140"/>
      <c r="K41" s="519"/>
      <c r="L41" s="519"/>
      <c r="M41" s="140">
        <v>6</v>
      </c>
      <c r="N41" s="140"/>
      <c r="O41" s="480"/>
      <c r="P41" s="478"/>
      <c r="Q41" s="478"/>
      <c r="R41" s="478"/>
      <c r="S41" s="151">
        <v>7</v>
      </c>
      <c r="T41" s="152"/>
      <c r="U41" s="152"/>
      <c r="V41" s="153"/>
      <c r="W41" s="112">
        <f t="shared" si="4"/>
        <v>70.400000000000006</v>
      </c>
      <c r="X41" s="113">
        <f>SUM(Y41:AA41)</f>
        <v>64</v>
      </c>
      <c r="Y41" s="114">
        <f>AN41+AQ41+AT41+AW41+AZ41+BC41+BF41+BI41+BL41+BO41+BR41+BU41</f>
        <v>32</v>
      </c>
      <c r="Z41" s="114"/>
      <c r="AA41" s="114">
        <v>32</v>
      </c>
      <c r="AB41" s="116"/>
      <c r="AC41" s="136"/>
      <c r="AD41" s="117"/>
      <c r="AE41" s="117"/>
      <c r="AF41" s="117"/>
      <c r="AG41" s="118"/>
      <c r="AH41" s="137"/>
      <c r="AI41" s="137"/>
      <c r="AJ41" s="138"/>
      <c r="AK41" s="119">
        <f t="shared" si="6"/>
        <v>145.6</v>
      </c>
      <c r="AL41" s="635"/>
      <c r="AM41" s="636"/>
      <c r="AN41" s="625"/>
      <c r="AO41" s="444"/>
      <c r="AP41" s="444"/>
      <c r="AQ41" s="154"/>
      <c r="AR41" s="154"/>
      <c r="AS41" s="154"/>
      <c r="AT41" s="444"/>
      <c r="AU41" s="444"/>
      <c r="AV41" s="444"/>
      <c r="AW41" s="154"/>
      <c r="AX41" s="154"/>
      <c r="AY41" s="154"/>
      <c r="AZ41" s="444"/>
      <c r="BA41" s="444"/>
      <c r="BB41" s="444"/>
      <c r="BC41" s="154"/>
      <c r="BD41" s="154"/>
      <c r="BE41" s="154"/>
      <c r="BF41" s="444">
        <v>32</v>
      </c>
      <c r="BG41" s="444">
        <v>32</v>
      </c>
      <c r="BH41" s="444"/>
      <c r="BI41" s="154"/>
      <c r="BJ41" s="154"/>
      <c r="BK41" s="154"/>
      <c r="BL41" s="643"/>
      <c r="BM41" s="643"/>
      <c r="BN41" s="643"/>
      <c r="BO41" s="644"/>
      <c r="BP41" s="644"/>
      <c r="BQ41" s="644"/>
      <c r="BR41" s="643"/>
      <c r="BS41" s="643"/>
      <c r="BT41" s="643"/>
      <c r="BU41" s="644"/>
      <c r="BV41" s="644"/>
      <c r="BW41" s="155"/>
      <c r="BX41" s="156" t="s">
        <v>323</v>
      </c>
      <c r="BY41" s="122">
        <f t="shared" si="0"/>
        <v>29.629629629629626</v>
      </c>
    </row>
    <row r="42" spans="1:77" s="101" customFormat="1" ht="33" customHeight="1" x14ac:dyDescent="0.25">
      <c r="A42" s="140"/>
      <c r="B42" s="130"/>
      <c r="C42" s="131">
        <v>10</v>
      </c>
      <c r="D42" s="141" t="s">
        <v>219</v>
      </c>
      <c r="E42" s="147">
        <f t="shared" si="3"/>
        <v>4</v>
      </c>
      <c r="F42" s="148">
        <f>E42*36</f>
        <v>144</v>
      </c>
      <c r="G42" s="149"/>
      <c r="H42" s="140"/>
      <c r="I42" s="140"/>
      <c r="J42" s="140"/>
      <c r="K42" s="519"/>
      <c r="L42" s="519"/>
      <c r="M42" s="140"/>
      <c r="N42" s="140">
        <v>4</v>
      </c>
      <c r="O42" s="480"/>
      <c r="P42" s="478"/>
      <c r="Q42" s="478"/>
      <c r="R42" s="478"/>
      <c r="S42" s="151"/>
      <c r="T42" s="152">
        <v>8</v>
      </c>
      <c r="U42" s="152"/>
      <c r="V42" s="153"/>
      <c r="W42" s="112">
        <f t="shared" si="4"/>
        <v>35.200000000000003</v>
      </c>
      <c r="X42" s="113">
        <v>32</v>
      </c>
      <c r="Y42" s="114">
        <v>16</v>
      </c>
      <c r="Z42" s="114">
        <f>AO42+AR42+AU42+AX42+BA42+BD42+BG42+BJ42+BM42+BP42+BS42+BV42</f>
        <v>16</v>
      </c>
      <c r="AA42" s="115">
        <v>16</v>
      </c>
      <c r="AB42" s="116"/>
      <c r="AC42" s="136"/>
      <c r="AD42" s="117"/>
      <c r="AE42" s="117"/>
      <c r="AF42" s="117"/>
      <c r="AG42" s="118"/>
      <c r="AH42" s="137"/>
      <c r="AI42" s="137"/>
      <c r="AJ42" s="138"/>
      <c r="AK42" s="119">
        <f t="shared" si="6"/>
        <v>108.8</v>
      </c>
      <c r="AL42" s="635"/>
      <c r="AM42" s="636"/>
      <c r="AN42" s="625"/>
      <c r="AO42" s="444"/>
      <c r="AP42" s="444"/>
      <c r="AQ42" s="154"/>
      <c r="AR42" s="154"/>
      <c r="AS42" s="154"/>
      <c r="AT42" s="444"/>
      <c r="AU42" s="444"/>
      <c r="AV42" s="444"/>
      <c r="AW42" s="154"/>
      <c r="AX42" s="154"/>
      <c r="AY42" s="154"/>
      <c r="AZ42" s="444"/>
      <c r="BA42" s="444"/>
      <c r="BB42" s="444"/>
      <c r="BC42" s="154"/>
      <c r="BD42" s="154"/>
      <c r="BE42" s="154"/>
      <c r="BF42" s="444"/>
      <c r="BG42" s="444"/>
      <c r="BH42" s="444"/>
      <c r="BI42" s="154">
        <v>16</v>
      </c>
      <c r="BJ42" s="154">
        <v>16</v>
      </c>
      <c r="BK42" s="154"/>
      <c r="BL42" s="643"/>
      <c r="BM42" s="643"/>
      <c r="BN42" s="643"/>
      <c r="BO42" s="644"/>
      <c r="BP42" s="644"/>
      <c r="BQ42" s="644"/>
      <c r="BR42" s="643"/>
      <c r="BS42" s="643"/>
      <c r="BT42" s="643"/>
      <c r="BU42" s="644"/>
      <c r="BV42" s="644"/>
      <c r="BW42" s="155"/>
      <c r="BX42" s="156" t="s">
        <v>323</v>
      </c>
      <c r="BY42" s="122">
        <f t="shared" si="0"/>
        <v>22.222222222222221</v>
      </c>
    </row>
    <row r="43" spans="1:77" s="101" customFormat="1" ht="52.5" customHeight="1" x14ac:dyDescent="0.25">
      <c r="A43" s="130"/>
      <c r="B43" s="130"/>
      <c r="C43" s="131"/>
      <c r="D43" s="127" t="s">
        <v>191</v>
      </c>
      <c r="E43" s="128">
        <f>SUM(E44:E45)</f>
        <v>3</v>
      </c>
      <c r="F43" s="129">
        <f t="shared" si="2"/>
        <v>108</v>
      </c>
      <c r="G43" s="133"/>
      <c r="H43" s="134"/>
      <c r="I43" s="134"/>
      <c r="J43" s="134"/>
      <c r="K43" s="134"/>
      <c r="L43" s="134"/>
      <c r="M43" s="134"/>
      <c r="N43" s="134"/>
      <c r="O43" s="134"/>
      <c r="P43" s="134"/>
      <c r="Q43" s="134"/>
      <c r="R43" s="135"/>
      <c r="S43" s="109"/>
      <c r="T43" s="110"/>
      <c r="U43" s="110"/>
      <c r="V43" s="178"/>
      <c r="W43" s="112"/>
      <c r="X43" s="113"/>
      <c r="Y43" s="114"/>
      <c r="Z43" s="114"/>
      <c r="AA43" s="115"/>
      <c r="AB43" s="116"/>
      <c r="AC43" s="136"/>
      <c r="AD43" s="117"/>
      <c r="AE43" s="117"/>
      <c r="AF43" s="117"/>
      <c r="AG43" s="118"/>
      <c r="AH43" s="137"/>
      <c r="AI43" s="137"/>
      <c r="AJ43" s="138"/>
      <c r="AK43" s="119"/>
      <c r="AL43" s="632"/>
      <c r="AM43" s="296"/>
      <c r="AN43" s="62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5"/>
      <c r="BX43" s="139"/>
      <c r="BY43" s="120"/>
    </row>
    <row r="44" spans="1:77" s="101" customFormat="1" ht="38.25" customHeight="1" x14ac:dyDescent="0.25">
      <c r="A44" s="140"/>
      <c r="B44" s="130" t="s">
        <v>206</v>
      </c>
      <c r="C44" s="904">
        <v>11</v>
      </c>
      <c r="D44" s="141" t="s">
        <v>331</v>
      </c>
      <c r="E44" s="701">
        <f>G44+H44+I44+J44+K44+L44+M44+N44+O44+P44+Q44+R44</f>
        <v>3</v>
      </c>
      <c r="F44" s="703">
        <f t="shared" si="2"/>
        <v>108</v>
      </c>
      <c r="G44" s="705"/>
      <c r="H44" s="693"/>
      <c r="I44" s="693"/>
      <c r="J44" s="693"/>
      <c r="K44" s="709"/>
      <c r="L44" s="709">
        <v>3</v>
      </c>
      <c r="M44" s="693"/>
      <c r="N44" s="693"/>
      <c r="O44" s="140"/>
      <c r="P44" s="140"/>
      <c r="Q44" s="140"/>
      <c r="R44" s="150"/>
      <c r="S44" s="750"/>
      <c r="T44" s="753">
        <v>6</v>
      </c>
      <c r="U44" s="753"/>
      <c r="V44" s="731"/>
      <c r="W44" s="717">
        <f>X44+X44*0.1</f>
        <v>35.200000000000003</v>
      </c>
      <c r="X44" s="892">
        <v>32</v>
      </c>
      <c r="Y44" s="845">
        <v>16</v>
      </c>
      <c r="Z44" s="845">
        <f>AO44+AR44+AU44+AX44+BA44+BD44+BG44+BJ44+BM44+BP44+BS44+BV44</f>
        <v>0</v>
      </c>
      <c r="AA44" s="723">
        <v>16</v>
      </c>
      <c r="AB44" s="116"/>
      <c r="AC44" s="136"/>
      <c r="AD44" s="117"/>
      <c r="AE44" s="117"/>
      <c r="AF44" s="117"/>
      <c r="AG44" s="118"/>
      <c r="AH44" s="137"/>
      <c r="AI44" s="137"/>
      <c r="AJ44" s="138"/>
      <c r="AK44" s="717">
        <f>F44-W44</f>
        <v>72.8</v>
      </c>
      <c r="AL44" s="946"/>
      <c r="AM44" s="948"/>
      <c r="AN44" s="739"/>
      <c r="AO44" s="736"/>
      <c r="AP44" s="736"/>
      <c r="AQ44" s="744"/>
      <c r="AR44" s="744"/>
      <c r="AS44" s="744"/>
      <c r="AT44" s="736"/>
      <c r="AU44" s="736"/>
      <c r="AV44" s="736"/>
      <c r="AW44" s="744"/>
      <c r="AX44" s="744"/>
      <c r="AY44" s="744"/>
      <c r="AZ44" s="736"/>
      <c r="BA44" s="736"/>
      <c r="BB44" s="736"/>
      <c r="BC44" s="744">
        <v>16</v>
      </c>
      <c r="BD44" s="744"/>
      <c r="BE44" s="744">
        <v>16</v>
      </c>
      <c r="BF44" s="736"/>
      <c r="BG44" s="736"/>
      <c r="BH44" s="736"/>
      <c r="BI44" s="744"/>
      <c r="BJ44" s="744"/>
      <c r="BK44" s="744"/>
      <c r="BL44" s="736"/>
      <c r="BM44" s="736"/>
      <c r="BN44" s="736"/>
      <c r="BO44" s="744"/>
      <c r="BP44" s="744"/>
      <c r="BQ44" s="744"/>
      <c r="BR44" s="736"/>
      <c r="BS44" s="736"/>
      <c r="BT44" s="736"/>
      <c r="BU44" s="744"/>
      <c r="BV44" s="744"/>
      <c r="BW44" s="744"/>
      <c r="BX44" s="705" t="s">
        <v>309</v>
      </c>
      <c r="BY44" s="122">
        <f t="shared" si="0"/>
        <v>29.629629629629626</v>
      </c>
    </row>
    <row r="45" spans="1:77" s="101" customFormat="1" ht="53.25" customHeight="1" x14ac:dyDescent="0.25">
      <c r="A45" s="140"/>
      <c r="B45" s="130" t="s">
        <v>206</v>
      </c>
      <c r="C45" s="759"/>
      <c r="D45" s="141" t="s">
        <v>158</v>
      </c>
      <c r="E45" s="702"/>
      <c r="F45" s="704"/>
      <c r="G45" s="706"/>
      <c r="H45" s="699"/>
      <c r="I45" s="699"/>
      <c r="J45" s="699"/>
      <c r="K45" s="710"/>
      <c r="L45" s="710"/>
      <c r="M45" s="699"/>
      <c r="N45" s="699"/>
      <c r="O45" s="140"/>
      <c r="P45" s="140"/>
      <c r="Q45" s="140"/>
      <c r="R45" s="150"/>
      <c r="S45" s="752"/>
      <c r="T45" s="755"/>
      <c r="U45" s="755"/>
      <c r="V45" s="733"/>
      <c r="W45" s="718"/>
      <c r="X45" s="893"/>
      <c r="Y45" s="846"/>
      <c r="Z45" s="846"/>
      <c r="AA45" s="724"/>
      <c r="AB45" s="116"/>
      <c r="AC45" s="136"/>
      <c r="AD45" s="117"/>
      <c r="AE45" s="117"/>
      <c r="AF45" s="117"/>
      <c r="AG45" s="118"/>
      <c r="AH45" s="137"/>
      <c r="AI45" s="137"/>
      <c r="AJ45" s="138"/>
      <c r="AK45" s="718"/>
      <c r="AL45" s="947"/>
      <c r="AM45" s="949"/>
      <c r="AN45" s="741"/>
      <c r="AO45" s="738"/>
      <c r="AP45" s="738"/>
      <c r="AQ45" s="746"/>
      <c r="AR45" s="746"/>
      <c r="AS45" s="746"/>
      <c r="AT45" s="738"/>
      <c r="AU45" s="738"/>
      <c r="AV45" s="738"/>
      <c r="AW45" s="746"/>
      <c r="AX45" s="746"/>
      <c r="AY45" s="746"/>
      <c r="AZ45" s="738"/>
      <c r="BA45" s="738"/>
      <c r="BB45" s="738"/>
      <c r="BC45" s="746"/>
      <c r="BD45" s="746"/>
      <c r="BE45" s="746"/>
      <c r="BF45" s="738"/>
      <c r="BG45" s="738"/>
      <c r="BH45" s="738"/>
      <c r="BI45" s="746"/>
      <c r="BJ45" s="746"/>
      <c r="BK45" s="746"/>
      <c r="BL45" s="738"/>
      <c r="BM45" s="738"/>
      <c r="BN45" s="738"/>
      <c r="BO45" s="746"/>
      <c r="BP45" s="746"/>
      <c r="BQ45" s="746"/>
      <c r="BR45" s="738"/>
      <c r="BS45" s="738"/>
      <c r="BT45" s="738"/>
      <c r="BU45" s="746"/>
      <c r="BV45" s="746"/>
      <c r="BW45" s="746"/>
      <c r="BX45" s="706"/>
      <c r="BY45" s="122">
        <f>X44/F44*100</f>
        <v>29.629629629629626</v>
      </c>
    </row>
    <row r="46" spans="1:77" s="101" customFormat="1" ht="23.1" customHeight="1" x14ac:dyDescent="0.25">
      <c r="A46" s="130"/>
      <c r="B46" s="130"/>
      <c r="C46" s="131"/>
      <c r="D46" s="127" t="s">
        <v>128</v>
      </c>
      <c r="E46" s="128">
        <f>SUM(E47:E49)</f>
        <v>15</v>
      </c>
      <c r="F46" s="129">
        <f t="shared" si="2"/>
        <v>540</v>
      </c>
      <c r="G46" s="133"/>
      <c r="H46" s="134"/>
      <c r="I46" s="134"/>
      <c r="J46" s="134"/>
      <c r="K46" s="134"/>
      <c r="L46" s="134"/>
      <c r="M46" s="134"/>
      <c r="N46" s="134"/>
      <c r="O46" s="134"/>
      <c r="P46" s="134"/>
      <c r="Q46" s="134"/>
      <c r="R46" s="135"/>
      <c r="S46" s="109"/>
      <c r="T46" s="110"/>
      <c r="U46" s="110"/>
      <c r="V46" s="111"/>
      <c r="W46" s="112"/>
      <c r="X46" s="113"/>
      <c r="Y46" s="612"/>
      <c r="Z46" s="612"/>
      <c r="AA46" s="115"/>
      <c r="AB46" s="116"/>
      <c r="AC46" s="136"/>
      <c r="AD46" s="117"/>
      <c r="AE46" s="117"/>
      <c r="AF46" s="117"/>
      <c r="AG46" s="118"/>
      <c r="AH46" s="137"/>
      <c r="AI46" s="137"/>
      <c r="AJ46" s="138"/>
      <c r="AK46" s="119"/>
      <c r="AL46" s="632"/>
      <c r="AM46" s="296"/>
      <c r="AN46" s="62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5"/>
      <c r="BX46" s="139"/>
      <c r="BY46" s="120"/>
    </row>
    <row r="47" spans="1:77" s="101" customFormat="1" ht="34.5" customHeight="1" x14ac:dyDescent="0.25">
      <c r="A47" s="140"/>
      <c r="B47" s="130" t="s">
        <v>302</v>
      </c>
      <c r="C47" s="131">
        <v>12</v>
      </c>
      <c r="D47" s="141" t="s">
        <v>274</v>
      </c>
      <c r="E47" s="147">
        <f>G47+H47+I47+J47+K47+L47+M47+N47+O47+P47+Q47+R47</f>
        <v>12</v>
      </c>
      <c r="F47" s="148">
        <f t="shared" si="2"/>
        <v>432</v>
      </c>
      <c r="G47" s="191">
        <v>3</v>
      </c>
      <c r="H47" s="192">
        <v>3</v>
      </c>
      <c r="I47" s="192">
        <v>3</v>
      </c>
      <c r="J47" s="192">
        <v>3</v>
      </c>
      <c r="K47" s="521"/>
      <c r="L47" s="521"/>
      <c r="M47" s="192"/>
      <c r="N47" s="192"/>
      <c r="O47" s="192"/>
      <c r="P47" s="192"/>
      <c r="Q47" s="192"/>
      <c r="R47" s="193"/>
      <c r="S47" s="151">
        <v>4</v>
      </c>
      <c r="T47" s="152"/>
      <c r="U47" s="152">
        <v>123</v>
      </c>
      <c r="V47" s="153"/>
      <c r="W47" s="112">
        <f>X47+X47*0.1</f>
        <v>281.60000000000002</v>
      </c>
      <c r="X47" s="113">
        <f>SUM(Y47:AA47)</f>
        <v>256</v>
      </c>
      <c r="Y47" s="612">
        <f t="shared" ref="Y47:AA48" si="7">AN47+AQ47+AT47+AW47+AZ47+BC47+BF47+BI47+BL47+BO47+BR47+BU47</f>
        <v>0</v>
      </c>
      <c r="Z47" s="612">
        <f t="shared" si="7"/>
        <v>0</v>
      </c>
      <c r="AA47" s="115">
        <f t="shared" si="7"/>
        <v>256</v>
      </c>
      <c r="AB47" s="116"/>
      <c r="AC47" s="136"/>
      <c r="AD47" s="117"/>
      <c r="AE47" s="117"/>
      <c r="AF47" s="117"/>
      <c r="AG47" s="118"/>
      <c r="AH47" s="137"/>
      <c r="AI47" s="137"/>
      <c r="AJ47" s="138"/>
      <c r="AK47" s="119">
        <f>F47-W47</f>
        <v>150.39999999999998</v>
      </c>
      <c r="AL47" s="632"/>
      <c r="AM47" s="296"/>
      <c r="AN47" s="625"/>
      <c r="AO47" s="444"/>
      <c r="AP47" s="444">
        <v>64</v>
      </c>
      <c r="AQ47" s="154"/>
      <c r="AR47" s="154"/>
      <c r="AS47" s="154">
        <v>64</v>
      </c>
      <c r="AT47" s="444"/>
      <c r="AU47" s="444"/>
      <c r="AV47" s="444">
        <v>64</v>
      </c>
      <c r="AW47" s="154"/>
      <c r="AX47" s="154"/>
      <c r="AY47" s="154">
        <v>64</v>
      </c>
      <c r="AZ47" s="444"/>
      <c r="BA47" s="444"/>
      <c r="BB47" s="444"/>
      <c r="BC47" s="154"/>
      <c r="BD47" s="154"/>
      <c r="BE47" s="154"/>
      <c r="BF47" s="444"/>
      <c r="BG47" s="444"/>
      <c r="BH47" s="444"/>
      <c r="BI47" s="154"/>
      <c r="BJ47" s="154"/>
      <c r="BK47" s="154"/>
      <c r="BL47" s="618"/>
      <c r="BM47" s="618"/>
      <c r="BN47" s="618"/>
      <c r="BO47" s="611"/>
      <c r="BP47" s="611"/>
      <c r="BQ47" s="611"/>
      <c r="BR47" s="618"/>
      <c r="BS47" s="618"/>
      <c r="BT47" s="618"/>
      <c r="BU47" s="611"/>
      <c r="BV47" s="611"/>
      <c r="BW47" s="611"/>
      <c r="BX47" s="156" t="s">
        <v>281</v>
      </c>
      <c r="BY47" s="122">
        <f t="shared" si="0"/>
        <v>59.259259259259252</v>
      </c>
    </row>
    <row r="48" spans="1:77" s="101" customFormat="1" ht="34.5" customHeight="1" x14ac:dyDescent="0.25">
      <c r="A48" s="140"/>
      <c r="B48" s="130" t="s">
        <v>206</v>
      </c>
      <c r="C48" s="904">
        <v>13</v>
      </c>
      <c r="D48" s="141" t="s">
        <v>333</v>
      </c>
      <c r="E48" s="701">
        <f>G48+H48+I48+J48+K48+L48+M48+N48+O48+P48+Q48+R48</f>
        <v>3</v>
      </c>
      <c r="F48" s="703">
        <f t="shared" si="2"/>
        <v>108</v>
      </c>
      <c r="G48" s="905"/>
      <c r="H48" s="900"/>
      <c r="I48" s="900"/>
      <c r="J48" s="900"/>
      <c r="K48" s="902"/>
      <c r="L48" s="902"/>
      <c r="M48" s="900">
        <v>3</v>
      </c>
      <c r="N48" s="900"/>
      <c r="O48" s="192"/>
      <c r="P48" s="192"/>
      <c r="Q48" s="192"/>
      <c r="R48" s="193"/>
      <c r="S48" s="750"/>
      <c r="T48" s="753"/>
      <c r="U48" s="753">
        <v>7</v>
      </c>
      <c r="V48" s="731"/>
      <c r="W48" s="717">
        <f>X48+X48*0.1</f>
        <v>52.8</v>
      </c>
      <c r="X48" s="892">
        <f>SUM(Y48:AA48)</f>
        <v>48</v>
      </c>
      <c r="Y48" s="845">
        <f t="shared" si="7"/>
        <v>16</v>
      </c>
      <c r="Z48" s="845">
        <f t="shared" si="7"/>
        <v>0</v>
      </c>
      <c r="AA48" s="723">
        <f t="shared" si="7"/>
        <v>32</v>
      </c>
      <c r="AB48" s="116"/>
      <c r="AC48" s="136"/>
      <c r="AD48" s="117"/>
      <c r="AE48" s="117"/>
      <c r="AF48" s="117"/>
      <c r="AG48" s="118"/>
      <c r="AH48" s="137"/>
      <c r="AI48" s="137"/>
      <c r="AJ48" s="138"/>
      <c r="AK48" s="717">
        <f>F48-W48</f>
        <v>55.2</v>
      </c>
      <c r="AL48" s="946"/>
      <c r="AM48" s="948"/>
      <c r="AN48" s="739"/>
      <c r="AO48" s="736"/>
      <c r="AP48" s="736"/>
      <c r="AQ48" s="744"/>
      <c r="AR48" s="744"/>
      <c r="AS48" s="744"/>
      <c r="AT48" s="736"/>
      <c r="AU48" s="736"/>
      <c r="AV48" s="736"/>
      <c r="AW48" s="744"/>
      <c r="AX48" s="744"/>
      <c r="AY48" s="744"/>
      <c r="AZ48" s="736"/>
      <c r="BA48" s="736"/>
      <c r="BB48" s="736"/>
      <c r="BC48" s="744"/>
      <c r="BD48" s="744"/>
      <c r="BE48" s="744"/>
      <c r="BF48" s="736">
        <v>16</v>
      </c>
      <c r="BG48" s="736"/>
      <c r="BH48" s="736">
        <v>32</v>
      </c>
      <c r="BI48" s="744"/>
      <c r="BJ48" s="744"/>
      <c r="BK48" s="744"/>
      <c r="BL48" s="736"/>
      <c r="BM48" s="736"/>
      <c r="BN48" s="736"/>
      <c r="BO48" s="744"/>
      <c r="BP48" s="744"/>
      <c r="BQ48" s="744"/>
      <c r="BR48" s="736"/>
      <c r="BS48" s="736"/>
      <c r="BT48" s="736"/>
      <c r="BU48" s="744"/>
      <c r="BV48" s="744"/>
      <c r="BW48" s="744"/>
      <c r="BX48" s="705" t="s">
        <v>316</v>
      </c>
      <c r="BY48" s="122">
        <f t="shared" si="0"/>
        <v>44.444444444444443</v>
      </c>
    </row>
    <row r="49" spans="1:77" s="101" customFormat="1" ht="36" customHeight="1" x14ac:dyDescent="0.25">
      <c r="A49" s="140"/>
      <c r="B49" s="130" t="s">
        <v>206</v>
      </c>
      <c r="C49" s="759"/>
      <c r="D49" s="141" t="s">
        <v>334</v>
      </c>
      <c r="E49" s="702">
        <f>G49+H49+I49+J49+K49+L49+M49+N49+O49+P49+Q49+R49</f>
        <v>0</v>
      </c>
      <c r="F49" s="704"/>
      <c r="G49" s="906"/>
      <c r="H49" s="901"/>
      <c r="I49" s="901"/>
      <c r="J49" s="901"/>
      <c r="K49" s="903"/>
      <c r="L49" s="903"/>
      <c r="M49" s="901"/>
      <c r="N49" s="901"/>
      <c r="O49" s="192"/>
      <c r="P49" s="192"/>
      <c r="Q49" s="192"/>
      <c r="R49" s="193"/>
      <c r="S49" s="752"/>
      <c r="T49" s="755"/>
      <c r="U49" s="755"/>
      <c r="V49" s="733"/>
      <c r="W49" s="718"/>
      <c r="X49" s="893"/>
      <c r="Y49" s="846"/>
      <c r="Z49" s="846"/>
      <c r="AA49" s="724"/>
      <c r="AB49" s="116"/>
      <c r="AC49" s="136"/>
      <c r="AD49" s="117"/>
      <c r="AE49" s="117"/>
      <c r="AF49" s="117"/>
      <c r="AG49" s="118"/>
      <c r="AH49" s="137"/>
      <c r="AI49" s="137"/>
      <c r="AJ49" s="138"/>
      <c r="AK49" s="718"/>
      <c r="AL49" s="947"/>
      <c r="AM49" s="949"/>
      <c r="AN49" s="741"/>
      <c r="AO49" s="738"/>
      <c r="AP49" s="738"/>
      <c r="AQ49" s="746"/>
      <c r="AR49" s="746"/>
      <c r="AS49" s="746"/>
      <c r="AT49" s="738"/>
      <c r="AU49" s="738"/>
      <c r="AV49" s="738"/>
      <c r="AW49" s="746"/>
      <c r="AX49" s="746"/>
      <c r="AY49" s="746"/>
      <c r="AZ49" s="738"/>
      <c r="BA49" s="738"/>
      <c r="BB49" s="738"/>
      <c r="BC49" s="746"/>
      <c r="BD49" s="746"/>
      <c r="BE49" s="746"/>
      <c r="BF49" s="738"/>
      <c r="BG49" s="738"/>
      <c r="BH49" s="738"/>
      <c r="BI49" s="746"/>
      <c r="BJ49" s="746"/>
      <c r="BK49" s="746"/>
      <c r="BL49" s="738"/>
      <c r="BM49" s="738"/>
      <c r="BN49" s="738"/>
      <c r="BO49" s="746"/>
      <c r="BP49" s="746"/>
      <c r="BQ49" s="746"/>
      <c r="BR49" s="738"/>
      <c r="BS49" s="738"/>
      <c r="BT49" s="738"/>
      <c r="BU49" s="746"/>
      <c r="BV49" s="746"/>
      <c r="BW49" s="746"/>
      <c r="BX49" s="706"/>
      <c r="BY49" s="122">
        <f>X48/F48*100</f>
        <v>44.444444444444443</v>
      </c>
    </row>
    <row r="50" spans="1:77" s="70" customFormat="1" ht="32.25" customHeight="1" x14ac:dyDescent="0.25">
      <c r="A50" s="130"/>
      <c r="B50" s="130"/>
      <c r="C50" s="131"/>
      <c r="D50" s="195" t="s">
        <v>129</v>
      </c>
      <c r="E50" s="196">
        <f>SUM(E61:E62)</f>
        <v>6</v>
      </c>
      <c r="F50" s="197">
        <f t="shared" si="2"/>
        <v>216</v>
      </c>
      <c r="G50" s="133"/>
      <c r="H50" s="134"/>
      <c r="I50" s="134"/>
      <c r="J50" s="134"/>
      <c r="K50" s="134"/>
      <c r="L50" s="134"/>
      <c r="M50" s="134"/>
      <c r="N50" s="134"/>
      <c r="O50" s="134"/>
      <c r="P50" s="134"/>
      <c r="Q50" s="134"/>
      <c r="R50" s="135"/>
      <c r="S50" s="109"/>
      <c r="T50" s="110"/>
      <c r="U50" s="110"/>
      <c r="V50" s="111"/>
      <c r="W50" s="112"/>
      <c r="X50" s="113"/>
      <c r="Y50" s="114"/>
      <c r="Z50" s="114"/>
      <c r="AA50" s="115"/>
      <c r="AB50" s="116"/>
      <c r="AC50" s="136"/>
      <c r="AD50" s="117"/>
      <c r="AE50" s="117"/>
      <c r="AF50" s="117"/>
      <c r="AG50" s="118"/>
      <c r="AH50" s="137"/>
      <c r="AI50" s="137"/>
      <c r="AJ50" s="138"/>
      <c r="AK50" s="119"/>
      <c r="AL50" s="632"/>
      <c r="AM50" s="296"/>
      <c r="AN50" s="62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5"/>
      <c r="BX50" s="139"/>
      <c r="BY50" s="120"/>
    </row>
    <row r="51" spans="1:77" s="70" customFormat="1" ht="32.1" customHeight="1" x14ac:dyDescent="0.25">
      <c r="A51" s="130"/>
      <c r="B51" s="130"/>
      <c r="C51" s="131"/>
      <c r="D51" s="436" t="s">
        <v>288</v>
      </c>
      <c r="E51" s="198">
        <f>SUM(E52:E53)</f>
        <v>6</v>
      </c>
      <c r="F51" s="199">
        <f t="shared" si="2"/>
        <v>216</v>
      </c>
      <c r="G51" s="133"/>
      <c r="H51" s="134"/>
      <c r="I51" s="134"/>
      <c r="J51" s="134"/>
      <c r="K51" s="134"/>
      <c r="L51" s="134"/>
      <c r="M51" s="134"/>
      <c r="N51" s="134"/>
      <c r="O51" s="134"/>
      <c r="P51" s="134"/>
      <c r="Q51" s="134"/>
      <c r="R51" s="135"/>
      <c r="S51" s="109"/>
      <c r="T51" s="110"/>
      <c r="U51" s="110"/>
      <c r="V51" s="111"/>
      <c r="W51" s="112"/>
      <c r="X51" s="113"/>
      <c r="Y51" s="114"/>
      <c r="Z51" s="114"/>
      <c r="AA51" s="115"/>
      <c r="AB51" s="116"/>
      <c r="AC51" s="136"/>
      <c r="AD51" s="117"/>
      <c r="AE51" s="117"/>
      <c r="AF51" s="117"/>
      <c r="AG51" s="118"/>
      <c r="AH51" s="137"/>
      <c r="AI51" s="137"/>
      <c r="AJ51" s="138"/>
      <c r="AK51" s="119"/>
      <c r="AL51" s="632"/>
      <c r="AM51" s="296"/>
      <c r="AN51" s="62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5"/>
      <c r="BX51" s="139"/>
      <c r="BY51" s="120"/>
    </row>
    <row r="52" spans="1:77" s="70" customFormat="1" ht="32.1" customHeight="1" x14ac:dyDescent="0.25">
      <c r="A52" s="140"/>
      <c r="B52" s="130" t="s">
        <v>205</v>
      </c>
      <c r="C52" s="131">
        <v>14</v>
      </c>
      <c r="D52" s="194" t="s">
        <v>289</v>
      </c>
      <c r="E52" s="147">
        <f>G52+H52+I52+J52+K52+L52+M52+N52+O52+P52+Q52+R52</f>
        <v>3</v>
      </c>
      <c r="F52" s="148">
        <f t="shared" si="2"/>
        <v>108</v>
      </c>
      <c r="G52" s="149"/>
      <c r="H52" s="140"/>
      <c r="I52" s="140">
        <v>3</v>
      </c>
      <c r="J52" s="140"/>
      <c r="K52" s="519"/>
      <c r="L52" s="519"/>
      <c r="M52" s="140"/>
      <c r="N52" s="140"/>
      <c r="O52" s="140"/>
      <c r="P52" s="140"/>
      <c r="Q52" s="140"/>
      <c r="R52" s="150"/>
      <c r="S52" s="151"/>
      <c r="T52" s="152"/>
      <c r="U52" s="152">
        <v>3</v>
      </c>
      <c r="V52" s="153"/>
      <c r="W52" s="112">
        <f>X52+X52*0.1</f>
        <v>52.8</v>
      </c>
      <c r="X52" s="113">
        <f>SUM(Y52:AA52)</f>
        <v>48</v>
      </c>
      <c r="Y52" s="114">
        <v>16</v>
      </c>
      <c r="Z52" s="114">
        <f>AO52+AR52+AU52+AX52+BA52+BD52+BG52+BJ52+BM52+BP52+BS52+BV52</f>
        <v>0</v>
      </c>
      <c r="AA52" s="115">
        <v>32</v>
      </c>
      <c r="AB52" s="116"/>
      <c r="AC52" s="136"/>
      <c r="AD52" s="117"/>
      <c r="AE52" s="117"/>
      <c r="AF52" s="117"/>
      <c r="AG52" s="118"/>
      <c r="AH52" s="137"/>
      <c r="AI52" s="137"/>
      <c r="AJ52" s="138"/>
      <c r="AK52" s="119">
        <f>F52-W52</f>
        <v>55.2</v>
      </c>
      <c r="AL52" s="632"/>
      <c r="AM52" s="296"/>
      <c r="AN52" s="625"/>
      <c r="AO52" s="444"/>
      <c r="AP52" s="444"/>
      <c r="AQ52" s="154"/>
      <c r="AR52" s="154"/>
      <c r="AS52" s="154"/>
      <c r="AT52" s="444">
        <v>16</v>
      </c>
      <c r="AU52" s="444"/>
      <c r="AV52" s="444">
        <v>32</v>
      </c>
      <c r="AW52" s="154"/>
      <c r="AX52" s="154"/>
      <c r="AY52" s="154"/>
      <c r="AZ52" s="444"/>
      <c r="BA52" s="444"/>
      <c r="BB52" s="444"/>
      <c r="BC52" s="154"/>
      <c r="BD52" s="154"/>
      <c r="BE52" s="154"/>
      <c r="BF52" s="444"/>
      <c r="BG52" s="444"/>
      <c r="BH52" s="444"/>
      <c r="BI52" s="154"/>
      <c r="BJ52" s="154"/>
      <c r="BK52" s="154"/>
      <c r="BL52" s="450"/>
      <c r="BM52" s="450"/>
      <c r="BN52" s="450"/>
      <c r="BO52" s="154"/>
      <c r="BP52" s="154"/>
      <c r="BQ52" s="154"/>
      <c r="BR52" s="450"/>
      <c r="BS52" s="450"/>
      <c r="BT52" s="450"/>
      <c r="BU52" s="154"/>
      <c r="BV52" s="154"/>
      <c r="BW52" s="155"/>
      <c r="BX52" s="200" t="s">
        <v>317</v>
      </c>
      <c r="BY52" s="122">
        <f>X52/F52*100</f>
        <v>44.444444444444443</v>
      </c>
    </row>
    <row r="53" spans="1:77" s="70" customFormat="1" ht="35.25" customHeight="1" x14ac:dyDescent="0.25">
      <c r="A53" s="140"/>
      <c r="B53" s="130" t="s">
        <v>205</v>
      </c>
      <c r="C53" s="131">
        <v>15</v>
      </c>
      <c r="D53" s="194" t="s">
        <v>290</v>
      </c>
      <c r="E53" s="147">
        <f>G53+H53+I53+J53+K53+L53+M53+N53+O53+P53+Q53+R53</f>
        <v>3</v>
      </c>
      <c r="F53" s="148">
        <f t="shared" si="2"/>
        <v>108</v>
      </c>
      <c r="G53" s="149"/>
      <c r="H53" s="140"/>
      <c r="I53" s="140">
        <v>3</v>
      </c>
      <c r="J53" s="140"/>
      <c r="K53" s="519"/>
      <c r="L53" s="519"/>
      <c r="M53" s="140"/>
      <c r="N53" s="140"/>
      <c r="O53" s="140"/>
      <c r="P53" s="140"/>
      <c r="Q53" s="140"/>
      <c r="R53" s="150"/>
      <c r="S53" s="151"/>
      <c r="T53" s="152"/>
      <c r="U53" s="152">
        <v>3</v>
      </c>
      <c r="V53" s="153"/>
      <c r="W53" s="112">
        <f>X53+X53*0.1</f>
        <v>52.8</v>
      </c>
      <c r="X53" s="113">
        <f>SUM(Y53:AA53)</f>
        <v>48</v>
      </c>
      <c r="Y53" s="114">
        <v>16</v>
      </c>
      <c r="Z53" s="114">
        <f>AO53+AR53+AU53+AX53+BA53+BD53+BG53+BJ53+BM53+BP53+BS53+BV53</f>
        <v>0</v>
      </c>
      <c r="AA53" s="115">
        <v>32</v>
      </c>
      <c r="AB53" s="116"/>
      <c r="AC53" s="136"/>
      <c r="AD53" s="117"/>
      <c r="AE53" s="117"/>
      <c r="AF53" s="117"/>
      <c r="AG53" s="118"/>
      <c r="AH53" s="137"/>
      <c r="AI53" s="137"/>
      <c r="AJ53" s="138"/>
      <c r="AK53" s="119">
        <f>F53-W53</f>
        <v>55.2</v>
      </c>
      <c r="AL53" s="632"/>
      <c r="AM53" s="296"/>
      <c r="AN53" s="625"/>
      <c r="AO53" s="500"/>
      <c r="AP53" s="500"/>
      <c r="AQ53" s="154"/>
      <c r="AR53" s="154"/>
      <c r="AS53" s="154"/>
      <c r="AT53" s="556">
        <v>16</v>
      </c>
      <c r="AU53" s="556"/>
      <c r="AV53" s="556">
        <v>32</v>
      </c>
      <c r="AW53" s="154"/>
      <c r="AX53" s="154"/>
      <c r="AY53" s="154"/>
      <c r="AZ53" s="444"/>
      <c r="BA53" s="444"/>
      <c r="BB53" s="444"/>
      <c r="BC53" s="154"/>
      <c r="BD53" s="154"/>
      <c r="BE53" s="154"/>
      <c r="BF53" s="444"/>
      <c r="BG53" s="444"/>
      <c r="BH53" s="444"/>
      <c r="BI53" s="154"/>
      <c r="BJ53" s="154"/>
      <c r="BK53" s="154"/>
      <c r="BL53" s="450"/>
      <c r="BM53" s="450"/>
      <c r="BN53" s="450"/>
      <c r="BO53" s="154"/>
      <c r="BP53" s="154"/>
      <c r="BQ53" s="154"/>
      <c r="BR53" s="450"/>
      <c r="BS53" s="450"/>
      <c r="BT53" s="450"/>
      <c r="BU53" s="154"/>
      <c r="BV53" s="154"/>
      <c r="BW53" s="155"/>
      <c r="BX53" s="200" t="s">
        <v>318</v>
      </c>
      <c r="BY53" s="122">
        <f>X53/F53*100</f>
        <v>44.444444444444443</v>
      </c>
    </row>
    <row r="54" spans="1:77" s="70" customFormat="1" ht="32.1" customHeight="1" x14ac:dyDescent="0.25">
      <c r="A54" s="130"/>
      <c r="B54" s="130"/>
      <c r="C54" s="131"/>
      <c r="D54" s="436" t="s">
        <v>291</v>
      </c>
      <c r="E54" s="198">
        <f>SUM(E55:E56)</f>
        <v>6</v>
      </c>
      <c r="F54" s="199">
        <f t="shared" si="2"/>
        <v>216</v>
      </c>
      <c r="G54" s="133"/>
      <c r="H54" s="134"/>
      <c r="I54" s="134"/>
      <c r="J54" s="134"/>
      <c r="K54" s="134"/>
      <c r="L54" s="134"/>
      <c r="M54" s="134"/>
      <c r="N54" s="134"/>
      <c r="O54" s="134"/>
      <c r="P54" s="134"/>
      <c r="Q54" s="134"/>
      <c r="R54" s="135"/>
      <c r="S54" s="109"/>
      <c r="T54" s="110"/>
      <c r="U54" s="110"/>
      <c r="V54" s="111"/>
      <c r="W54" s="112"/>
      <c r="X54" s="113"/>
      <c r="Y54" s="114"/>
      <c r="Z54" s="114"/>
      <c r="AA54" s="115"/>
      <c r="AB54" s="116"/>
      <c r="AC54" s="136"/>
      <c r="AD54" s="117"/>
      <c r="AE54" s="117"/>
      <c r="AF54" s="117"/>
      <c r="AG54" s="118"/>
      <c r="AH54" s="137"/>
      <c r="AI54" s="137"/>
      <c r="AJ54" s="138"/>
      <c r="AK54" s="119"/>
      <c r="AL54" s="632"/>
      <c r="AM54" s="296"/>
      <c r="AN54" s="62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5"/>
      <c r="BX54" s="139"/>
      <c r="BY54" s="120"/>
    </row>
    <row r="55" spans="1:77" s="70" customFormat="1" ht="46.5" customHeight="1" x14ac:dyDescent="0.25">
      <c r="A55" s="140"/>
      <c r="B55" s="130" t="s">
        <v>205</v>
      </c>
      <c r="C55" s="674">
        <v>14</v>
      </c>
      <c r="D55" s="194" t="s">
        <v>292</v>
      </c>
      <c r="E55" s="147">
        <f>G55+H55+I55+J55+K55+L55+M55+N55+O55+P55+Q55+R55</f>
        <v>3</v>
      </c>
      <c r="F55" s="148">
        <f t="shared" si="2"/>
        <v>108</v>
      </c>
      <c r="G55" s="149"/>
      <c r="H55" s="140"/>
      <c r="I55" s="140">
        <v>3</v>
      </c>
      <c r="J55" s="140"/>
      <c r="K55" s="519"/>
      <c r="L55" s="519"/>
      <c r="M55" s="140"/>
      <c r="N55" s="140"/>
      <c r="O55" s="140"/>
      <c r="P55" s="140"/>
      <c r="Q55" s="140"/>
      <c r="R55" s="150"/>
      <c r="S55" s="151"/>
      <c r="T55" s="152"/>
      <c r="U55" s="152">
        <v>3</v>
      </c>
      <c r="V55" s="153"/>
      <c r="W55" s="112">
        <f>X55+X55*0.1</f>
        <v>52.8</v>
      </c>
      <c r="X55" s="113">
        <f>SUM(Y55:AA55)</f>
        <v>48</v>
      </c>
      <c r="Y55" s="114">
        <v>16</v>
      </c>
      <c r="Z55" s="114">
        <f>AO55+AR55+AU55+AX55+BA55+BD55+BG55+BJ55+BM55+BP55+BS55+BV55</f>
        <v>0</v>
      </c>
      <c r="AA55" s="115">
        <v>32</v>
      </c>
      <c r="AB55" s="116"/>
      <c r="AC55" s="136"/>
      <c r="AD55" s="117"/>
      <c r="AE55" s="117"/>
      <c r="AF55" s="117"/>
      <c r="AG55" s="118"/>
      <c r="AH55" s="137"/>
      <c r="AI55" s="137"/>
      <c r="AJ55" s="138"/>
      <c r="AK55" s="119">
        <f>F55-W55</f>
        <v>55.2</v>
      </c>
      <c r="AL55" s="632"/>
      <c r="AM55" s="296"/>
      <c r="AN55" s="625"/>
      <c r="AO55" s="500"/>
      <c r="AP55" s="500"/>
      <c r="AQ55" s="154"/>
      <c r="AR55" s="154"/>
      <c r="AS55" s="154"/>
      <c r="AT55" s="556">
        <v>16</v>
      </c>
      <c r="AU55" s="556"/>
      <c r="AV55" s="556">
        <v>32</v>
      </c>
      <c r="AW55" s="154"/>
      <c r="AX55" s="154"/>
      <c r="AY55" s="154"/>
      <c r="AZ55" s="444"/>
      <c r="BA55" s="444"/>
      <c r="BB55" s="444"/>
      <c r="BC55" s="154"/>
      <c r="BD55" s="154"/>
      <c r="BE55" s="154"/>
      <c r="BF55" s="444"/>
      <c r="BG55" s="444"/>
      <c r="BH55" s="444"/>
      <c r="BI55" s="154"/>
      <c r="BJ55" s="154"/>
      <c r="BK55" s="154"/>
      <c r="BL55" s="450"/>
      <c r="BM55" s="450"/>
      <c r="BN55" s="450"/>
      <c r="BO55" s="154"/>
      <c r="BP55" s="154"/>
      <c r="BQ55" s="154"/>
      <c r="BR55" s="450"/>
      <c r="BS55" s="450"/>
      <c r="BT55" s="450"/>
      <c r="BU55" s="154"/>
      <c r="BV55" s="154"/>
      <c r="BW55" s="155"/>
      <c r="BX55" s="200" t="s">
        <v>319</v>
      </c>
      <c r="BY55" s="122">
        <f>X55/F55*100</f>
        <v>44.444444444444443</v>
      </c>
    </row>
    <row r="56" spans="1:77" s="70" customFormat="1" ht="46.5" customHeight="1" x14ac:dyDescent="0.25">
      <c r="A56" s="140"/>
      <c r="B56" s="130" t="s">
        <v>205</v>
      </c>
      <c r="C56" s="674">
        <v>15</v>
      </c>
      <c r="D56" s="194" t="s">
        <v>293</v>
      </c>
      <c r="E56" s="147">
        <f>G56+H56+I56+J56+K56+L56+M56+N56+O56+P56+Q56+R56</f>
        <v>3</v>
      </c>
      <c r="F56" s="148">
        <f t="shared" si="2"/>
        <v>108</v>
      </c>
      <c r="G56" s="149"/>
      <c r="H56" s="140"/>
      <c r="I56" s="140">
        <v>3</v>
      </c>
      <c r="J56" s="140"/>
      <c r="K56" s="519"/>
      <c r="L56" s="519"/>
      <c r="M56" s="140"/>
      <c r="N56" s="140"/>
      <c r="O56" s="140"/>
      <c r="P56" s="140"/>
      <c r="Q56" s="140"/>
      <c r="R56" s="150"/>
      <c r="S56" s="151"/>
      <c r="T56" s="152"/>
      <c r="U56" s="152">
        <v>3</v>
      </c>
      <c r="V56" s="153"/>
      <c r="W56" s="112">
        <f>X56+X56*0.1</f>
        <v>52.8</v>
      </c>
      <c r="X56" s="113">
        <f>SUM(Y56:AA56)</f>
        <v>48</v>
      </c>
      <c r="Y56" s="114">
        <v>16</v>
      </c>
      <c r="Z56" s="114">
        <f>AO56+AR56+AU56+AX56+BA56+BD56+BG56+BJ56+BM56+BP56+BS56+BV56</f>
        <v>0</v>
      </c>
      <c r="AA56" s="115">
        <v>32</v>
      </c>
      <c r="AB56" s="116"/>
      <c r="AC56" s="136"/>
      <c r="AD56" s="117"/>
      <c r="AE56" s="117"/>
      <c r="AF56" s="117"/>
      <c r="AG56" s="118"/>
      <c r="AH56" s="137"/>
      <c r="AI56" s="137"/>
      <c r="AJ56" s="138"/>
      <c r="AK56" s="119">
        <f>F56-W56</f>
        <v>55.2</v>
      </c>
      <c r="AL56" s="632"/>
      <c r="AM56" s="296"/>
      <c r="AN56" s="625"/>
      <c r="AO56" s="500"/>
      <c r="AP56" s="500"/>
      <c r="AQ56" s="154"/>
      <c r="AR56" s="154"/>
      <c r="AS56" s="154"/>
      <c r="AT56" s="556">
        <v>16</v>
      </c>
      <c r="AU56" s="556"/>
      <c r="AV56" s="556">
        <v>32</v>
      </c>
      <c r="AW56" s="154"/>
      <c r="AX56" s="154"/>
      <c r="AY56" s="154"/>
      <c r="AZ56" s="444"/>
      <c r="BA56" s="444"/>
      <c r="BB56" s="444"/>
      <c r="BC56" s="154"/>
      <c r="BD56" s="154"/>
      <c r="BE56" s="154"/>
      <c r="BF56" s="444"/>
      <c r="BG56" s="444"/>
      <c r="BH56" s="444"/>
      <c r="BI56" s="154"/>
      <c r="BJ56" s="154"/>
      <c r="BK56" s="154"/>
      <c r="BL56" s="450"/>
      <c r="BM56" s="450"/>
      <c r="BN56" s="450"/>
      <c r="BO56" s="154"/>
      <c r="BP56" s="154"/>
      <c r="BQ56" s="154"/>
      <c r="BR56" s="450"/>
      <c r="BS56" s="450"/>
      <c r="BT56" s="450"/>
      <c r="BU56" s="154"/>
      <c r="BV56" s="154"/>
      <c r="BW56" s="155"/>
      <c r="BX56" s="200" t="s">
        <v>319</v>
      </c>
      <c r="BY56" s="122">
        <f>X56/F56*100</f>
        <v>44.444444444444443</v>
      </c>
    </row>
    <row r="57" spans="1:77" s="70" customFormat="1" ht="32.1" customHeight="1" x14ac:dyDescent="0.25">
      <c r="A57" s="130"/>
      <c r="B57" s="130"/>
      <c r="C57" s="131"/>
      <c r="D57" s="436" t="s">
        <v>294</v>
      </c>
      <c r="E57" s="198">
        <f>SUM(E58:E59)</f>
        <v>6</v>
      </c>
      <c r="F57" s="199">
        <f t="shared" si="2"/>
        <v>216</v>
      </c>
      <c r="G57" s="133"/>
      <c r="H57" s="134"/>
      <c r="I57" s="134"/>
      <c r="J57" s="134"/>
      <c r="K57" s="134"/>
      <c r="L57" s="134"/>
      <c r="M57" s="134"/>
      <c r="N57" s="134"/>
      <c r="O57" s="134"/>
      <c r="P57" s="134"/>
      <c r="Q57" s="134"/>
      <c r="R57" s="135"/>
      <c r="S57" s="109"/>
      <c r="T57" s="110"/>
      <c r="U57" s="110"/>
      <c r="V57" s="111"/>
      <c r="W57" s="112"/>
      <c r="X57" s="113"/>
      <c r="Y57" s="114"/>
      <c r="Z57" s="114"/>
      <c r="AA57" s="115"/>
      <c r="AB57" s="116"/>
      <c r="AC57" s="136"/>
      <c r="AD57" s="117"/>
      <c r="AE57" s="117"/>
      <c r="AF57" s="117"/>
      <c r="AG57" s="118"/>
      <c r="AH57" s="137"/>
      <c r="AI57" s="137"/>
      <c r="AJ57" s="138"/>
      <c r="AK57" s="119"/>
      <c r="AL57" s="632"/>
      <c r="AM57" s="296"/>
      <c r="AN57" s="62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5"/>
      <c r="BX57" s="139"/>
      <c r="BY57" s="120"/>
    </row>
    <row r="58" spans="1:77" s="70" customFormat="1" ht="32.1" customHeight="1" x14ac:dyDescent="0.25">
      <c r="A58" s="140"/>
      <c r="B58" s="130" t="s">
        <v>205</v>
      </c>
      <c r="C58" s="674">
        <v>14</v>
      </c>
      <c r="D58" s="194" t="s">
        <v>295</v>
      </c>
      <c r="E58" s="147">
        <f>G58+H58+I58+J58+K58+L58+M58+N58+O58+P58+Q58+R58</f>
        <v>3</v>
      </c>
      <c r="F58" s="148">
        <f t="shared" si="2"/>
        <v>108</v>
      </c>
      <c r="G58" s="149"/>
      <c r="H58" s="140"/>
      <c r="I58" s="140">
        <v>3</v>
      </c>
      <c r="J58" s="140"/>
      <c r="K58" s="519"/>
      <c r="L58" s="519"/>
      <c r="M58" s="140"/>
      <c r="N58" s="140"/>
      <c r="O58" s="140"/>
      <c r="P58" s="140"/>
      <c r="Q58" s="140"/>
      <c r="R58" s="150"/>
      <c r="S58" s="151"/>
      <c r="T58" s="152"/>
      <c r="U58" s="152">
        <v>3</v>
      </c>
      <c r="V58" s="153"/>
      <c r="W58" s="112">
        <f>X58+X58*0.1</f>
        <v>52.8</v>
      </c>
      <c r="X58" s="113">
        <f>SUM(Y58:AA58)</f>
        <v>48</v>
      </c>
      <c r="Y58" s="114">
        <v>16</v>
      </c>
      <c r="Z58" s="114">
        <f>AO58+AR58+AU58+AX58+BA58+BD58+BG58+BJ58+BM58+BP58+BS58+BV58</f>
        <v>0</v>
      </c>
      <c r="AA58" s="115">
        <v>32</v>
      </c>
      <c r="AB58" s="116"/>
      <c r="AC58" s="136"/>
      <c r="AD58" s="117"/>
      <c r="AE58" s="117"/>
      <c r="AF58" s="117"/>
      <c r="AG58" s="118"/>
      <c r="AH58" s="137"/>
      <c r="AI58" s="137"/>
      <c r="AJ58" s="138"/>
      <c r="AK58" s="119">
        <f>F58-W58</f>
        <v>55.2</v>
      </c>
      <c r="AL58" s="632"/>
      <c r="AM58" s="296"/>
      <c r="AN58" s="625"/>
      <c r="AO58" s="500"/>
      <c r="AP58" s="500"/>
      <c r="AQ58" s="154"/>
      <c r="AR58" s="154"/>
      <c r="AS58" s="154"/>
      <c r="AT58" s="556">
        <v>16</v>
      </c>
      <c r="AU58" s="556"/>
      <c r="AV58" s="556">
        <v>32</v>
      </c>
      <c r="AW58" s="154"/>
      <c r="AX58" s="154"/>
      <c r="AY58" s="154"/>
      <c r="AZ58" s="444"/>
      <c r="BA58" s="444"/>
      <c r="BB58" s="444"/>
      <c r="BC58" s="154"/>
      <c r="BD58" s="154"/>
      <c r="BE58" s="154"/>
      <c r="BF58" s="444"/>
      <c r="BG58" s="444"/>
      <c r="BH58" s="444"/>
      <c r="BI58" s="154"/>
      <c r="BJ58" s="154"/>
      <c r="BK58" s="154"/>
      <c r="BL58" s="450"/>
      <c r="BM58" s="450"/>
      <c r="BN58" s="450"/>
      <c r="BO58" s="154"/>
      <c r="BP58" s="154"/>
      <c r="BQ58" s="154"/>
      <c r="BR58" s="450"/>
      <c r="BS58" s="450"/>
      <c r="BT58" s="450"/>
      <c r="BU58" s="154"/>
      <c r="BV58" s="154"/>
      <c r="BW58" s="155"/>
      <c r="BX58" s="200" t="s">
        <v>320</v>
      </c>
      <c r="BY58" s="122">
        <f>X58/F58*100</f>
        <v>44.444444444444443</v>
      </c>
    </row>
    <row r="59" spans="1:77" s="70" customFormat="1" ht="32.1" customHeight="1" x14ac:dyDescent="0.25">
      <c r="A59" s="140"/>
      <c r="B59" s="130" t="s">
        <v>205</v>
      </c>
      <c r="C59" s="674">
        <v>15</v>
      </c>
      <c r="D59" s="194" t="s">
        <v>296</v>
      </c>
      <c r="E59" s="147">
        <f>G59+H59+I59+J59+K59+L59+M59+N59+O59+P59+Q59+R59</f>
        <v>3</v>
      </c>
      <c r="F59" s="148">
        <f t="shared" si="2"/>
        <v>108</v>
      </c>
      <c r="G59" s="149"/>
      <c r="H59" s="140"/>
      <c r="I59" s="140">
        <v>3</v>
      </c>
      <c r="J59" s="140"/>
      <c r="K59" s="519"/>
      <c r="L59" s="519"/>
      <c r="M59" s="140"/>
      <c r="N59" s="140"/>
      <c r="O59" s="140"/>
      <c r="P59" s="140"/>
      <c r="Q59" s="140"/>
      <c r="R59" s="150"/>
      <c r="S59" s="151"/>
      <c r="T59" s="152"/>
      <c r="U59" s="152">
        <v>3</v>
      </c>
      <c r="V59" s="153"/>
      <c r="W59" s="112">
        <f>X59+X59*0.1</f>
        <v>52.8</v>
      </c>
      <c r="X59" s="113">
        <f>SUM(Y59:AA59)</f>
        <v>48</v>
      </c>
      <c r="Y59" s="114">
        <v>16</v>
      </c>
      <c r="Z59" s="114">
        <f>AO59+AR59+AU59+AX59+BA59+BD59+BG59+BJ59+BM59+BP59+BS59+BV59</f>
        <v>0</v>
      </c>
      <c r="AA59" s="115">
        <v>32</v>
      </c>
      <c r="AB59" s="116"/>
      <c r="AC59" s="136"/>
      <c r="AD59" s="117"/>
      <c r="AE59" s="117"/>
      <c r="AF59" s="117"/>
      <c r="AG59" s="118"/>
      <c r="AH59" s="137"/>
      <c r="AI59" s="137"/>
      <c r="AJ59" s="138"/>
      <c r="AK59" s="119">
        <f>F59-W59</f>
        <v>55.2</v>
      </c>
      <c r="AL59" s="632"/>
      <c r="AM59" s="296"/>
      <c r="AN59" s="625"/>
      <c r="AO59" s="500"/>
      <c r="AP59" s="500"/>
      <c r="AQ59" s="154"/>
      <c r="AR59" s="154"/>
      <c r="AS59" s="154"/>
      <c r="AT59" s="556">
        <v>16</v>
      </c>
      <c r="AU59" s="556"/>
      <c r="AV59" s="556">
        <v>32</v>
      </c>
      <c r="AW59" s="154"/>
      <c r="AX59" s="154"/>
      <c r="AY59" s="154"/>
      <c r="AZ59" s="444"/>
      <c r="BA59" s="444"/>
      <c r="BB59" s="444"/>
      <c r="BC59" s="154"/>
      <c r="BD59" s="154"/>
      <c r="BE59" s="154"/>
      <c r="BF59" s="444"/>
      <c r="BG59" s="444"/>
      <c r="BH59" s="444"/>
      <c r="BI59" s="154"/>
      <c r="BJ59" s="154"/>
      <c r="BK59" s="154"/>
      <c r="BL59" s="450"/>
      <c r="BM59" s="450"/>
      <c r="BN59" s="450"/>
      <c r="BO59" s="154"/>
      <c r="BP59" s="154"/>
      <c r="BQ59" s="154"/>
      <c r="BR59" s="450"/>
      <c r="BS59" s="450"/>
      <c r="BT59" s="450"/>
      <c r="BU59" s="154"/>
      <c r="BV59" s="154"/>
      <c r="BW59" s="155"/>
      <c r="BX59" s="200" t="s">
        <v>321</v>
      </c>
      <c r="BY59" s="122">
        <f>X59/F59*100</f>
        <v>44.444444444444443</v>
      </c>
    </row>
    <row r="60" spans="1:77" s="70" customFormat="1" ht="32.1" customHeight="1" x14ac:dyDescent="0.25">
      <c r="A60" s="130"/>
      <c r="B60" s="130"/>
      <c r="C60" s="131"/>
      <c r="D60" s="436" t="s">
        <v>297</v>
      </c>
      <c r="E60" s="198">
        <f>SUM(E61:E62)</f>
        <v>6</v>
      </c>
      <c r="F60" s="199">
        <f t="shared" si="2"/>
        <v>216</v>
      </c>
      <c r="G60" s="133"/>
      <c r="H60" s="134"/>
      <c r="I60" s="134"/>
      <c r="J60" s="134"/>
      <c r="K60" s="134"/>
      <c r="L60" s="134"/>
      <c r="M60" s="134"/>
      <c r="N60" s="134"/>
      <c r="O60" s="134"/>
      <c r="P60" s="134"/>
      <c r="Q60" s="134"/>
      <c r="R60" s="135"/>
      <c r="S60" s="109"/>
      <c r="T60" s="110"/>
      <c r="U60" s="110"/>
      <c r="V60" s="111"/>
      <c r="W60" s="112"/>
      <c r="X60" s="113"/>
      <c r="Y60" s="114"/>
      <c r="Z60" s="114"/>
      <c r="AA60" s="115"/>
      <c r="AB60" s="116"/>
      <c r="AC60" s="136"/>
      <c r="AD60" s="117"/>
      <c r="AE60" s="117"/>
      <c r="AF60" s="117"/>
      <c r="AG60" s="118"/>
      <c r="AH60" s="137"/>
      <c r="AI60" s="137"/>
      <c r="AJ60" s="138"/>
      <c r="AK60" s="119"/>
      <c r="AL60" s="632"/>
      <c r="AM60" s="296"/>
      <c r="AN60" s="62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5"/>
      <c r="BX60" s="139"/>
      <c r="BY60" s="120"/>
    </row>
    <row r="61" spans="1:77" s="70" customFormat="1" ht="32.1" customHeight="1" x14ac:dyDescent="0.25">
      <c r="A61" s="140"/>
      <c r="B61" s="130" t="s">
        <v>205</v>
      </c>
      <c r="C61" s="674">
        <v>14</v>
      </c>
      <c r="D61" s="194" t="s">
        <v>298</v>
      </c>
      <c r="E61" s="147">
        <f>G61+H61+I61+J61+K61+L61+M61+N61+O61+P61+Q61+R61</f>
        <v>3</v>
      </c>
      <c r="F61" s="148">
        <f t="shared" si="2"/>
        <v>108</v>
      </c>
      <c r="G61" s="149"/>
      <c r="H61" s="140"/>
      <c r="I61" s="140">
        <v>3</v>
      </c>
      <c r="J61" s="140"/>
      <c r="K61" s="519"/>
      <c r="L61" s="519"/>
      <c r="M61" s="140"/>
      <c r="N61" s="140"/>
      <c r="O61" s="140"/>
      <c r="P61" s="140"/>
      <c r="Q61" s="140"/>
      <c r="R61" s="150"/>
      <c r="S61" s="151"/>
      <c r="T61" s="152"/>
      <c r="U61" s="152">
        <v>3</v>
      </c>
      <c r="V61" s="153"/>
      <c r="W61" s="112">
        <f>X61+X61*0.1</f>
        <v>52.8</v>
      </c>
      <c r="X61" s="113">
        <f>SUM(Y61:AA61)</f>
        <v>48</v>
      </c>
      <c r="Y61" s="114">
        <v>16</v>
      </c>
      <c r="Z61" s="114">
        <f>AO61+AR61+AU61+AX61+BA61+BD61+BG61+BJ61+BM61+BP61+BS61+BV61</f>
        <v>0</v>
      </c>
      <c r="AA61" s="115">
        <v>32</v>
      </c>
      <c r="AB61" s="116"/>
      <c r="AC61" s="136"/>
      <c r="AD61" s="117"/>
      <c r="AE61" s="117"/>
      <c r="AF61" s="117"/>
      <c r="AG61" s="118"/>
      <c r="AH61" s="137"/>
      <c r="AI61" s="137"/>
      <c r="AJ61" s="138"/>
      <c r="AK61" s="119">
        <f>F61-W61</f>
        <v>55.2</v>
      </c>
      <c r="AL61" s="632"/>
      <c r="AM61" s="296"/>
      <c r="AN61" s="625"/>
      <c r="AO61" s="500"/>
      <c r="AP61" s="500"/>
      <c r="AQ61" s="154"/>
      <c r="AR61" s="154"/>
      <c r="AS61" s="154"/>
      <c r="AT61" s="556">
        <v>16</v>
      </c>
      <c r="AU61" s="556"/>
      <c r="AV61" s="556">
        <v>32</v>
      </c>
      <c r="AW61" s="154"/>
      <c r="AX61" s="154"/>
      <c r="AY61" s="154"/>
      <c r="AZ61" s="444"/>
      <c r="BA61" s="444"/>
      <c r="BB61" s="444"/>
      <c r="BC61" s="154"/>
      <c r="BD61" s="154"/>
      <c r="BE61" s="154"/>
      <c r="BF61" s="444"/>
      <c r="BG61" s="444"/>
      <c r="BH61" s="444"/>
      <c r="BI61" s="154"/>
      <c r="BJ61" s="154"/>
      <c r="BK61" s="154"/>
      <c r="BL61" s="450"/>
      <c r="BM61" s="450"/>
      <c r="BN61" s="450"/>
      <c r="BO61" s="154"/>
      <c r="BP61" s="154"/>
      <c r="BQ61" s="154"/>
      <c r="BR61" s="450"/>
      <c r="BS61" s="450"/>
      <c r="BT61" s="450"/>
      <c r="BU61" s="154"/>
      <c r="BV61" s="154"/>
      <c r="BW61" s="155"/>
      <c r="BX61" s="200" t="s">
        <v>282</v>
      </c>
      <c r="BY61" s="122">
        <f>X61/F61*100</f>
        <v>44.444444444444443</v>
      </c>
    </row>
    <row r="62" spans="1:77" s="70" customFormat="1" ht="32.1" customHeight="1" x14ac:dyDescent="0.25">
      <c r="A62" s="140"/>
      <c r="B62" s="130" t="s">
        <v>205</v>
      </c>
      <c r="C62" s="674">
        <v>15</v>
      </c>
      <c r="D62" s="194" t="s">
        <v>299</v>
      </c>
      <c r="E62" s="147">
        <f>G62+H62+I62+J62+K62+L62+M62+N62+O62+P62+Q62+R62</f>
        <v>3</v>
      </c>
      <c r="F62" s="148">
        <f t="shared" si="2"/>
        <v>108</v>
      </c>
      <c r="G62" s="149"/>
      <c r="H62" s="140"/>
      <c r="I62" s="140">
        <v>3</v>
      </c>
      <c r="J62" s="140"/>
      <c r="K62" s="519"/>
      <c r="L62" s="519"/>
      <c r="M62" s="140"/>
      <c r="N62" s="140"/>
      <c r="O62" s="140"/>
      <c r="P62" s="140"/>
      <c r="Q62" s="140"/>
      <c r="R62" s="150"/>
      <c r="S62" s="151"/>
      <c r="T62" s="152"/>
      <c r="U62" s="152">
        <v>3</v>
      </c>
      <c r="V62" s="153"/>
      <c r="W62" s="112">
        <f>X62+X62*0.1</f>
        <v>52.8</v>
      </c>
      <c r="X62" s="113">
        <f>SUM(Y62:AA62)</f>
        <v>48</v>
      </c>
      <c r="Y62" s="114">
        <v>16</v>
      </c>
      <c r="Z62" s="114">
        <f>AO62+AR62+AU62+AX62+BA62+BD62+BG62+BJ62+BM62+BP62+BS62+BV62</f>
        <v>0</v>
      </c>
      <c r="AA62" s="115">
        <v>32</v>
      </c>
      <c r="AB62" s="116"/>
      <c r="AC62" s="136"/>
      <c r="AD62" s="117"/>
      <c r="AE62" s="117"/>
      <c r="AF62" s="117"/>
      <c r="AG62" s="118"/>
      <c r="AH62" s="137"/>
      <c r="AI62" s="137"/>
      <c r="AJ62" s="138"/>
      <c r="AK62" s="119">
        <f>F62-W62</f>
        <v>55.2</v>
      </c>
      <c r="AL62" s="632"/>
      <c r="AM62" s="296"/>
      <c r="AN62" s="625"/>
      <c r="AO62" s="500"/>
      <c r="AP62" s="500"/>
      <c r="AQ62" s="154"/>
      <c r="AR62" s="154"/>
      <c r="AS62" s="154"/>
      <c r="AT62" s="556">
        <v>16</v>
      </c>
      <c r="AU62" s="556"/>
      <c r="AV62" s="556">
        <v>32</v>
      </c>
      <c r="AW62" s="154"/>
      <c r="AX62" s="154"/>
      <c r="AY62" s="154"/>
      <c r="AZ62" s="444"/>
      <c r="BA62" s="444"/>
      <c r="BB62" s="444"/>
      <c r="BC62" s="154"/>
      <c r="BD62" s="154"/>
      <c r="BE62" s="154"/>
      <c r="BF62" s="444"/>
      <c r="BG62" s="444"/>
      <c r="BH62" s="444"/>
      <c r="BI62" s="154"/>
      <c r="BJ62" s="154"/>
      <c r="BK62" s="154"/>
      <c r="BL62" s="450"/>
      <c r="BM62" s="450"/>
      <c r="BN62" s="450"/>
      <c r="BO62" s="154"/>
      <c r="BP62" s="154"/>
      <c r="BQ62" s="154"/>
      <c r="BR62" s="450"/>
      <c r="BS62" s="450"/>
      <c r="BT62" s="450"/>
      <c r="BU62" s="154"/>
      <c r="BV62" s="154"/>
      <c r="BW62" s="155"/>
      <c r="BX62" s="200" t="s">
        <v>282</v>
      </c>
      <c r="BY62" s="122">
        <f>X62/F62*100</f>
        <v>44.444444444444443</v>
      </c>
    </row>
    <row r="63" spans="1:77" s="70" customFormat="1" ht="32.1" customHeight="1" x14ac:dyDescent="0.25">
      <c r="A63" s="130"/>
      <c r="B63" s="130"/>
      <c r="C63" s="131"/>
      <c r="D63" s="436" t="s">
        <v>300</v>
      </c>
      <c r="E63" s="198">
        <f>SUM(E64:E65)</f>
        <v>6</v>
      </c>
      <c r="F63" s="199">
        <f t="shared" si="2"/>
        <v>216</v>
      </c>
      <c r="G63" s="133"/>
      <c r="H63" s="134"/>
      <c r="I63" s="134"/>
      <c r="J63" s="134"/>
      <c r="K63" s="134"/>
      <c r="L63" s="134"/>
      <c r="M63" s="134"/>
      <c r="N63" s="134"/>
      <c r="O63" s="134"/>
      <c r="P63" s="134"/>
      <c r="Q63" s="134"/>
      <c r="R63" s="135"/>
      <c r="S63" s="109"/>
      <c r="T63" s="110"/>
      <c r="U63" s="110"/>
      <c r="V63" s="111"/>
      <c r="W63" s="112"/>
      <c r="X63" s="113"/>
      <c r="Y63" s="114"/>
      <c r="Z63" s="114"/>
      <c r="AA63" s="115"/>
      <c r="AB63" s="116"/>
      <c r="AC63" s="136"/>
      <c r="AD63" s="117"/>
      <c r="AE63" s="117"/>
      <c r="AF63" s="117"/>
      <c r="AG63" s="118"/>
      <c r="AH63" s="137"/>
      <c r="AI63" s="137"/>
      <c r="AJ63" s="138"/>
      <c r="AK63" s="119"/>
      <c r="AL63" s="632"/>
      <c r="AM63" s="296"/>
      <c r="AN63" s="62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5"/>
      <c r="BX63" s="139"/>
      <c r="BY63" s="120"/>
    </row>
    <row r="64" spans="1:77" s="70" customFormat="1" ht="32.1" customHeight="1" x14ac:dyDescent="0.25">
      <c r="A64" s="140"/>
      <c r="B64" s="130" t="s">
        <v>205</v>
      </c>
      <c r="C64" s="674">
        <v>14</v>
      </c>
      <c r="D64" s="194" t="s">
        <v>329</v>
      </c>
      <c r="E64" s="147">
        <f>G64+H64+I64+J64+K64+L64+M64+N64+O64+P64+Q64+R64</f>
        <v>3</v>
      </c>
      <c r="F64" s="148">
        <f t="shared" si="2"/>
        <v>108</v>
      </c>
      <c r="G64" s="149"/>
      <c r="H64" s="140"/>
      <c r="I64" s="140">
        <v>3</v>
      </c>
      <c r="J64" s="140"/>
      <c r="K64" s="519"/>
      <c r="L64" s="519"/>
      <c r="M64" s="140"/>
      <c r="N64" s="140"/>
      <c r="O64" s="140"/>
      <c r="P64" s="140"/>
      <c r="Q64" s="140"/>
      <c r="R64" s="150"/>
      <c r="S64" s="151"/>
      <c r="T64" s="152"/>
      <c r="U64" s="152">
        <v>3</v>
      </c>
      <c r="V64" s="153"/>
      <c r="W64" s="112">
        <f>X64+X64*0.1</f>
        <v>52.8</v>
      </c>
      <c r="X64" s="113">
        <f>SUM(Y64:AA64)</f>
        <v>48</v>
      </c>
      <c r="Y64" s="114">
        <v>16</v>
      </c>
      <c r="Z64" s="114">
        <f>AO64+AR64+AU64+AX64+BA64+BD64+BG64+BJ64+BM64+BP64+BS64+BV64</f>
        <v>0</v>
      </c>
      <c r="AA64" s="115">
        <v>32</v>
      </c>
      <c r="AB64" s="116"/>
      <c r="AC64" s="136"/>
      <c r="AD64" s="117"/>
      <c r="AE64" s="117"/>
      <c r="AF64" s="117"/>
      <c r="AG64" s="118"/>
      <c r="AH64" s="137"/>
      <c r="AI64" s="137"/>
      <c r="AJ64" s="138"/>
      <c r="AK64" s="119">
        <f>F64-W64</f>
        <v>55.2</v>
      </c>
      <c r="AL64" s="632"/>
      <c r="AM64" s="296"/>
      <c r="AN64" s="625"/>
      <c r="AO64" s="500"/>
      <c r="AP64" s="500"/>
      <c r="AQ64" s="154"/>
      <c r="AR64" s="154"/>
      <c r="AS64" s="154"/>
      <c r="AT64" s="556">
        <v>16</v>
      </c>
      <c r="AU64" s="556"/>
      <c r="AV64" s="556">
        <v>32</v>
      </c>
      <c r="AW64" s="154"/>
      <c r="AX64" s="154"/>
      <c r="AY64" s="154"/>
      <c r="AZ64" s="444"/>
      <c r="BA64" s="444"/>
      <c r="BB64" s="444"/>
      <c r="BC64" s="154"/>
      <c r="BD64" s="154"/>
      <c r="BE64" s="154"/>
      <c r="BF64" s="444"/>
      <c r="BG64" s="444"/>
      <c r="BH64" s="444"/>
      <c r="BI64" s="154"/>
      <c r="BJ64" s="154"/>
      <c r="BK64" s="154"/>
      <c r="BL64" s="450"/>
      <c r="BM64" s="450"/>
      <c r="BN64" s="450"/>
      <c r="BO64" s="154"/>
      <c r="BP64" s="154"/>
      <c r="BQ64" s="154"/>
      <c r="BR64" s="450"/>
      <c r="BS64" s="450"/>
      <c r="BT64" s="450"/>
      <c r="BU64" s="154"/>
      <c r="BV64" s="154"/>
      <c r="BW64" s="155"/>
      <c r="BX64" s="200" t="s">
        <v>322</v>
      </c>
      <c r="BY64" s="122">
        <f>X64/F64*100</f>
        <v>44.444444444444443</v>
      </c>
    </row>
    <row r="65" spans="1:77" s="201" customFormat="1" ht="32.1" customHeight="1" x14ac:dyDescent="0.25">
      <c r="A65" s="140"/>
      <c r="B65" s="130" t="s">
        <v>205</v>
      </c>
      <c r="C65" s="674">
        <v>15</v>
      </c>
      <c r="D65" s="194" t="s">
        <v>330</v>
      </c>
      <c r="E65" s="147">
        <f>G65+H65+I65+J65+K65+L65+M65+N65+O65+P65+Q65+R65</f>
        <v>3</v>
      </c>
      <c r="F65" s="148">
        <f t="shared" si="2"/>
        <v>108</v>
      </c>
      <c r="G65" s="149"/>
      <c r="H65" s="140"/>
      <c r="I65" s="140">
        <v>3</v>
      </c>
      <c r="J65" s="140"/>
      <c r="K65" s="519"/>
      <c r="L65" s="519"/>
      <c r="M65" s="140"/>
      <c r="N65" s="140"/>
      <c r="O65" s="140"/>
      <c r="P65" s="140"/>
      <c r="Q65" s="140"/>
      <c r="R65" s="150"/>
      <c r="S65" s="151"/>
      <c r="T65" s="152"/>
      <c r="U65" s="152">
        <v>3</v>
      </c>
      <c r="V65" s="153"/>
      <c r="W65" s="112">
        <f>X65+X65*0.1</f>
        <v>52.8</v>
      </c>
      <c r="X65" s="113">
        <f>SUM(Y65:AA65)</f>
        <v>48</v>
      </c>
      <c r="Y65" s="114">
        <v>16</v>
      </c>
      <c r="Z65" s="114">
        <f>AO65+AR65+AU65+AX65+BA65+BD65+BG65+BJ65+BM65+BP65+BS65+BV65</f>
        <v>0</v>
      </c>
      <c r="AA65" s="115">
        <v>32</v>
      </c>
      <c r="AB65" s="116"/>
      <c r="AC65" s="136"/>
      <c r="AD65" s="117"/>
      <c r="AE65" s="117"/>
      <c r="AF65" s="117"/>
      <c r="AG65" s="118"/>
      <c r="AH65" s="137"/>
      <c r="AI65" s="137"/>
      <c r="AJ65" s="138"/>
      <c r="AK65" s="119">
        <f>F65-W65</f>
        <v>55.2</v>
      </c>
      <c r="AL65" s="632"/>
      <c r="AM65" s="296"/>
      <c r="AN65" s="625"/>
      <c r="AO65" s="500"/>
      <c r="AP65" s="500"/>
      <c r="AQ65" s="154"/>
      <c r="AR65" s="154"/>
      <c r="AS65" s="154"/>
      <c r="AT65" s="556">
        <v>16</v>
      </c>
      <c r="AU65" s="556"/>
      <c r="AV65" s="556">
        <v>32</v>
      </c>
      <c r="AW65" s="154"/>
      <c r="AX65" s="154"/>
      <c r="AY65" s="154"/>
      <c r="AZ65" s="444"/>
      <c r="BA65" s="444"/>
      <c r="BB65" s="444"/>
      <c r="BC65" s="154"/>
      <c r="BD65" s="154"/>
      <c r="BE65" s="154"/>
      <c r="BF65" s="444"/>
      <c r="BG65" s="444"/>
      <c r="BH65" s="444"/>
      <c r="BI65" s="154"/>
      <c r="BJ65" s="154"/>
      <c r="BK65" s="154"/>
      <c r="BL65" s="450"/>
      <c r="BM65" s="450"/>
      <c r="BN65" s="450"/>
      <c r="BO65" s="154"/>
      <c r="BP65" s="154"/>
      <c r="BQ65" s="154"/>
      <c r="BR65" s="450"/>
      <c r="BS65" s="450"/>
      <c r="BT65" s="450"/>
      <c r="BU65" s="154"/>
      <c r="BV65" s="154"/>
      <c r="BW65" s="155"/>
      <c r="BX65" s="200" t="s">
        <v>322</v>
      </c>
      <c r="BY65" s="122">
        <f>X65/F65*100</f>
        <v>44.444444444444443</v>
      </c>
    </row>
    <row r="66" spans="1:77" s="201" customFormat="1" ht="32.1" customHeight="1" x14ac:dyDescent="0.25">
      <c r="A66" s="130"/>
      <c r="B66" s="130"/>
      <c r="C66" s="131"/>
      <c r="D66" s="436" t="s">
        <v>301</v>
      </c>
      <c r="E66" s="198">
        <f>SUM(E67:E68)</f>
        <v>6</v>
      </c>
      <c r="F66" s="199">
        <f t="shared" si="2"/>
        <v>216</v>
      </c>
      <c r="G66" s="133"/>
      <c r="H66" s="134"/>
      <c r="I66" s="134"/>
      <c r="J66" s="134"/>
      <c r="K66" s="134"/>
      <c r="L66" s="134"/>
      <c r="M66" s="134"/>
      <c r="N66" s="134"/>
      <c r="O66" s="134"/>
      <c r="P66" s="134"/>
      <c r="Q66" s="134"/>
      <c r="R66" s="135"/>
      <c r="S66" s="109"/>
      <c r="T66" s="110"/>
      <c r="U66" s="110"/>
      <c r="V66" s="111"/>
      <c r="W66" s="112"/>
      <c r="X66" s="113"/>
      <c r="Y66" s="114"/>
      <c r="Z66" s="114"/>
      <c r="AA66" s="115"/>
      <c r="AB66" s="116"/>
      <c r="AC66" s="136"/>
      <c r="AD66" s="117"/>
      <c r="AE66" s="117"/>
      <c r="AF66" s="117"/>
      <c r="AG66" s="118"/>
      <c r="AH66" s="137"/>
      <c r="AI66" s="137"/>
      <c r="AJ66" s="138"/>
      <c r="AK66" s="119"/>
      <c r="AL66" s="632"/>
      <c r="AM66" s="296"/>
      <c r="AN66" s="62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5"/>
      <c r="BX66" s="139"/>
      <c r="BY66" s="120"/>
    </row>
    <row r="67" spans="1:77" s="201" customFormat="1" ht="36" customHeight="1" x14ac:dyDescent="0.25">
      <c r="A67" s="140"/>
      <c r="B67" s="130" t="s">
        <v>314</v>
      </c>
      <c r="C67" s="674">
        <v>14</v>
      </c>
      <c r="D67" s="194" t="s">
        <v>312</v>
      </c>
      <c r="E67" s="147">
        <f>G67+H67+I67+J67+K67+L67+M67+N67+O67+P67+Q67+R67</f>
        <v>3</v>
      </c>
      <c r="F67" s="148">
        <f t="shared" si="2"/>
        <v>108</v>
      </c>
      <c r="G67" s="149"/>
      <c r="H67" s="140"/>
      <c r="I67" s="140">
        <v>3</v>
      </c>
      <c r="J67" s="140"/>
      <c r="K67" s="519"/>
      <c r="L67" s="519"/>
      <c r="M67" s="140"/>
      <c r="N67" s="140"/>
      <c r="O67" s="140"/>
      <c r="P67" s="140"/>
      <c r="Q67" s="140"/>
      <c r="R67" s="150"/>
      <c r="S67" s="151"/>
      <c r="T67" s="152"/>
      <c r="U67" s="152">
        <v>3</v>
      </c>
      <c r="V67" s="153"/>
      <c r="W67" s="112">
        <f>X67+X67*0.1</f>
        <v>52.8</v>
      </c>
      <c r="X67" s="113">
        <f>SUM(Y67:AA67)</f>
        <v>48</v>
      </c>
      <c r="Y67" s="114">
        <v>16</v>
      </c>
      <c r="Z67" s="114">
        <f>AO67+AR67+AU67+AX67+BA67+BD67+BG67+BJ67+BM67+BP67+BS67+BV67</f>
        <v>0</v>
      </c>
      <c r="AA67" s="115">
        <v>32</v>
      </c>
      <c r="AB67" s="116"/>
      <c r="AC67" s="136"/>
      <c r="AD67" s="117"/>
      <c r="AE67" s="117"/>
      <c r="AF67" s="117"/>
      <c r="AG67" s="118"/>
      <c r="AH67" s="137"/>
      <c r="AI67" s="137"/>
      <c r="AJ67" s="138"/>
      <c r="AK67" s="119">
        <f>F67-W67</f>
        <v>55.2</v>
      </c>
      <c r="AL67" s="632"/>
      <c r="AM67" s="296"/>
      <c r="AN67" s="625"/>
      <c r="AO67" s="500"/>
      <c r="AP67" s="500"/>
      <c r="AQ67" s="154"/>
      <c r="AR67" s="154"/>
      <c r="AS67" s="154"/>
      <c r="AT67" s="556">
        <v>16</v>
      </c>
      <c r="AU67" s="556"/>
      <c r="AV67" s="556">
        <v>32</v>
      </c>
      <c r="AW67" s="154"/>
      <c r="AX67" s="154"/>
      <c r="AY67" s="154"/>
      <c r="AZ67" s="444"/>
      <c r="BA67" s="444"/>
      <c r="BB67" s="444"/>
      <c r="BC67" s="154"/>
      <c r="BD67" s="154"/>
      <c r="BE67" s="154"/>
      <c r="BF67" s="444"/>
      <c r="BG67" s="444"/>
      <c r="BH67" s="444"/>
      <c r="BI67" s="154"/>
      <c r="BJ67" s="154"/>
      <c r="BK67" s="154"/>
      <c r="BL67" s="450"/>
      <c r="BM67" s="450"/>
      <c r="BN67" s="450"/>
      <c r="BO67" s="154"/>
      <c r="BP67" s="154"/>
      <c r="BQ67" s="154"/>
      <c r="BR67" s="450"/>
      <c r="BS67" s="450"/>
      <c r="BT67" s="450"/>
      <c r="BU67" s="154"/>
      <c r="BV67" s="154"/>
      <c r="BW67" s="155"/>
      <c r="BX67" s="200" t="s">
        <v>324</v>
      </c>
      <c r="BY67" s="122">
        <f t="shared" ref="BY67:BY83" si="8">X67/F67*100</f>
        <v>44.444444444444443</v>
      </c>
    </row>
    <row r="68" spans="1:77" s="201" customFormat="1" ht="37.5" customHeight="1" x14ac:dyDescent="0.25">
      <c r="A68" s="140"/>
      <c r="B68" s="130" t="s">
        <v>314</v>
      </c>
      <c r="C68" s="674">
        <v>15</v>
      </c>
      <c r="D68" s="194" t="s">
        <v>313</v>
      </c>
      <c r="E68" s="147">
        <f>G68+H68+I68+J68+K68+L68+M68+N68+O68+P68+Q68+R68</f>
        <v>3</v>
      </c>
      <c r="F68" s="148">
        <f t="shared" si="2"/>
        <v>108</v>
      </c>
      <c r="G68" s="149"/>
      <c r="H68" s="140"/>
      <c r="I68" s="140">
        <v>3</v>
      </c>
      <c r="J68" s="140"/>
      <c r="K68" s="519"/>
      <c r="L68" s="519"/>
      <c r="M68" s="140"/>
      <c r="N68" s="140"/>
      <c r="O68" s="140"/>
      <c r="P68" s="140"/>
      <c r="Q68" s="140"/>
      <c r="R68" s="150"/>
      <c r="S68" s="151"/>
      <c r="T68" s="152"/>
      <c r="U68" s="152">
        <v>3</v>
      </c>
      <c r="V68" s="153"/>
      <c r="W68" s="112">
        <f>X68+X68*0.1</f>
        <v>52.8</v>
      </c>
      <c r="X68" s="113">
        <f>SUM(Y68:AA68)</f>
        <v>48</v>
      </c>
      <c r="Y68" s="114">
        <v>16</v>
      </c>
      <c r="Z68" s="114">
        <f>AO68+AR68+AU68+AX68+BA68+BD68+BG68+BJ68+BM68+BP68+BS68+BV68</f>
        <v>0</v>
      </c>
      <c r="AA68" s="115">
        <v>32</v>
      </c>
      <c r="AB68" s="116"/>
      <c r="AC68" s="136"/>
      <c r="AD68" s="117"/>
      <c r="AE68" s="117"/>
      <c r="AF68" s="117"/>
      <c r="AG68" s="118"/>
      <c r="AH68" s="137"/>
      <c r="AI68" s="137"/>
      <c r="AJ68" s="138"/>
      <c r="AK68" s="119">
        <f>F68-W68</f>
        <v>55.2</v>
      </c>
      <c r="AL68" s="632"/>
      <c r="AM68" s="296"/>
      <c r="AN68" s="625"/>
      <c r="AO68" s="500"/>
      <c r="AP68" s="500"/>
      <c r="AQ68" s="154"/>
      <c r="AR68" s="154"/>
      <c r="AS68" s="154"/>
      <c r="AT68" s="556">
        <v>16</v>
      </c>
      <c r="AU68" s="556"/>
      <c r="AV68" s="556">
        <v>32</v>
      </c>
      <c r="AW68" s="154"/>
      <c r="AX68" s="154"/>
      <c r="AY68" s="154"/>
      <c r="AZ68" s="444"/>
      <c r="BA68" s="444"/>
      <c r="BB68" s="444"/>
      <c r="BC68" s="154"/>
      <c r="BD68" s="154"/>
      <c r="BE68" s="154"/>
      <c r="BF68" s="444"/>
      <c r="BG68" s="444"/>
      <c r="BH68" s="444"/>
      <c r="BI68" s="154"/>
      <c r="BJ68" s="154"/>
      <c r="BK68" s="154"/>
      <c r="BL68" s="450"/>
      <c r="BM68" s="450"/>
      <c r="BN68" s="450"/>
      <c r="BO68" s="154"/>
      <c r="BP68" s="154"/>
      <c r="BQ68" s="154"/>
      <c r="BR68" s="450"/>
      <c r="BS68" s="450"/>
      <c r="BT68" s="450"/>
      <c r="BU68" s="154"/>
      <c r="BV68" s="154"/>
      <c r="BW68" s="155"/>
      <c r="BX68" s="200" t="s">
        <v>325</v>
      </c>
      <c r="BY68" s="122">
        <f t="shared" si="8"/>
        <v>44.444444444444443</v>
      </c>
    </row>
    <row r="69" spans="1:77" s="201" customFormat="1" ht="31.5" customHeight="1" x14ac:dyDescent="0.25">
      <c r="A69" s="130"/>
      <c r="B69" s="130"/>
      <c r="C69" s="131"/>
      <c r="D69" s="124" t="s">
        <v>130</v>
      </c>
      <c r="E69" s="125">
        <f>E70+E78+E84+E92</f>
        <v>54</v>
      </c>
      <c r="F69" s="126">
        <f>E69*36</f>
        <v>1944</v>
      </c>
      <c r="G69" s="133"/>
      <c r="H69" s="134"/>
      <c r="I69" s="134"/>
      <c r="J69" s="134"/>
      <c r="K69" s="134"/>
      <c r="L69" s="134"/>
      <c r="M69" s="353"/>
      <c r="N69" s="134"/>
      <c r="O69" s="134"/>
      <c r="P69" s="134"/>
      <c r="Q69" s="134"/>
      <c r="R69" s="135"/>
      <c r="S69" s="109"/>
      <c r="T69" s="110"/>
      <c r="U69" s="110"/>
      <c r="V69" s="111"/>
      <c r="W69" s="112"/>
      <c r="X69" s="113"/>
      <c r="Y69" s="114"/>
      <c r="Z69" s="114"/>
      <c r="AA69" s="115"/>
      <c r="AB69" s="116"/>
      <c r="AC69" s="136"/>
      <c r="AD69" s="117"/>
      <c r="AE69" s="117"/>
      <c r="AF69" s="117"/>
      <c r="AG69" s="118"/>
      <c r="AH69" s="137"/>
      <c r="AI69" s="137"/>
      <c r="AJ69" s="138"/>
      <c r="AK69" s="119"/>
      <c r="AL69" s="632"/>
      <c r="AM69" s="296"/>
      <c r="AN69" s="62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5"/>
      <c r="BX69" s="139"/>
      <c r="BY69" s="120"/>
    </row>
    <row r="70" spans="1:77" s="201" customFormat="1" ht="23.1" customHeight="1" x14ac:dyDescent="0.25">
      <c r="A70" s="130"/>
      <c r="B70" s="130"/>
      <c r="C70" s="131"/>
      <c r="D70" s="195" t="s">
        <v>184</v>
      </c>
      <c r="E70" s="208">
        <f>SUM(E71:E77)</f>
        <v>24</v>
      </c>
      <c r="F70" s="197">
        <f>E70*36</f>
        <v>864</v>
      </c>
      <c r="G70" s="133"/>
      <c r="H70" s="134"/>
      <c r="I70" s="134"/>
      <c r="J70" s="134"/>
      <c r="K70" s="134"/>
      <c r="L70" s="134"/>
      <c r="M70" s="134"/>
      <c r="N70" s="134"/>
      <c r="O70" s="134"/>
      <c r="P70" s="134"/>
      <c r="Q70" s="134"/>
      <c r="R70" s="135"/>
      <c r="S70" s="109"/>
      <c r="T70" s="110"/>
      <c r="U70" s="110"/>
      <c r="V70" s="111"/>
      <c r="W70" s="112"/>
      <c r="X70" s="113"/>
      <c r="Y70" s="114"/>
      <c r="Z70" s="114"/>
      <c r="AA70" s="115"/>
      <c r="AB70" s="116"/>
      <c r="AC70" s="136"/>
      <c r="AD70" s="117"/>
      <c r="AE70" s="117"/>
      <c r="AF70" s="117"/>
      <c r="AG70" s="118"/>
      <c r="AH70" s="137"/>
      <c r="AI70" s="137"/>
      <c r="AJ70" s="138"/>
      <c r="AK70" s="119"/>
      <c r="AL70" s="632"/>
      <c r="AM70" s="296"/>
      <c r="AN70" s="62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5"/>
      <c r="BX70" s="139"/>
      <c r="BY70" s="120"/>
    </row>
    <row r="71" spans="1:77" s="201" customFormat="1" ht="23.1" customHeight="1" x14ac:dyDescent="0.25">
      <c r="A71" s="140"/>
      <c r="B71" s="130"/>
      <c r="C71" s="159">
        <v>16</v>
      </c>
      <c r="D71" s="517" t="s">
        <v>238</v>
      </c>
      <c r="E71" s="482">
        <v>5</v>
      </c>
      <c r="F71" s="483">
        <v>180</v>
      </c>
      <c r="G71" s="142">
        <v>5</v>
      </c>
      <c r="H71" s="143"/>
      <c r="I71" s="143"/>
      <c r="J71" s="143"/>
      <c r="K71" s="522"/>
      <c r="L71" s="522"/>
      <c r="M71" s="143"/>
      <c r="N71" s="484"/>
      <c r="O71" s="144"/>
      <c r="P71" s="143"/>
      <c r="Q71" s="143"/>
      <c r="R71" s="143"/>
      <c r="S71" s="485">
        <v>1</v>
      </c>
      <c r="T71" s="485"/>
      <c r="U71" s="485"/>
      <c r="V71" s="486"/>
      <c r="W71" s="112">
        <v>88</v>
      </c>
      <c r="X71" s="113">
        <v>80</v>
      </c>
      <c r="Y71" s="114">
        <v>48</v>
      </c>
      <c r="Z71" s="114">
        <v>0</v>
      </c>
      <c r="AA71" s="115">
        <v>32</v>
      </c>
      <c r="AB71" s="116"/>
      <c r="AC71" s="136"/>
      <c r="AD71" s="117"/>
      <c r="AE71" s="117"/>
      <c r="AF71" s="117"/>
      <c r="AG71" s="118"/>
      <c r="AH71" s="137"/>
      <c r="AI71" s="137"/>
      <c r="AJ71" s="138"/>
      <c r="AK71" s="119">
        <v>92</v>
      </c>
      <c r="AL71" s="637"/>
      <c r="AM71" s="619"/>
      <c r="AN71" s="627">
        <v>48</v>
      </c>
      <c r="AO71" s="489"/>
      <c r="AP71" s="489">
        <v>32</v>
      </c>
      <c r="AQ71" s="143"/>
      <c r="AR71" s="143"/>
      <c r="AS71" s="143"/>
      <c r="AT71" s="489"/>
      <c r="AU71" s="489"/>
      <c r="AV71" s="489"/>
      <c r="AW71" s="143"/>
      <c r="AX71" s="143"/>
      <c r="AY71" s="143"/>
      <c r="AZ71" s="489"/>
      <c r="BA71" s="489"/>
      <c r="BB71" s="489"/>
      <c r="BC71" s="143"/>
      <c r="BD71" s="143"/>
      <c r="BE71" s="143"/>
      <c r="BF71" s="489"/>
      <c r="BG71" s="489"/>
      <c r="BH71" s="489"/>
      <c r="BI71" s="143"/>
      <c r="BJ71" s="143"/>
      <c r="BK71" s="143"/>
      <c r="BL71" s="450"/>
      <c r="BM71" s="450"/>
      <c r="BN71" s="450"/>
      <c r="BO71" s="605"/>
      <c r="BP71" s="605"/>
      <c r="BQ71" s="605"/>
      <c r="BR71" s="450"/>
      <c r="BS71" s="450"/>
      <c r="BT71" s="450"/>
      <c r="BU71" s="605"/>
      <c r="BV71" s="605"/>
      <c r="BW71" s="621"/>
      <c r="BX71" s="200" t="s">
        <v>319</v>
      </c>
      <c r="BY71" s="122">
        <f>X71/F71*100</f>
        <v>44.444444444444443</v>
      </c>
    </row>
    <row r="72" spans="1:77" s="201" customFormat="1" ht="24.75" customHeight="1" x14ac:dyDescent="0.25">
      <c r="A72" s="140"/>
      <c r="B72" s="130"/>
      <c r="C72" s="159">
        <v>17</v>
      </c>
      <c r="D72" s="194" t="s">
        <v>239</v>
      </c>
      <c r="E72" s="147">
        <v>10</v>
      </c>
      <c r="F72" s="148">
        <v>360</v>
      </c>
      <c r="G72" s="149">
        <v>5</v>
      </c>
      <c r="H72" s="140">
        <v>5</v>
      </c>
      <c r="I72" s="140"/>
      <c r="J72" s="140"/>
      <c r="K72" s="519"/>
      <c r="L72" s="519"/>
      <c r="M72" s="140"/>
      <c r="N72" s="140"/>
      <c r="O72" s="140"/>
      <c r="P72" s="140"/>
      <c r="Q72" s="140"/>
      <c r="R72" s="150"/>
      <c r="S72" s="151">
        <v>12</v>
      </c>
      <c r="T72" s="152"/>
      <c r="U72" s="152"/>
      <c r="V72" s="153"/>
      <c r="W72" s="112">
        <f>X72+X72*0.1</f>
        <v>140.80000000000001</v>
      </c>
      <c r="X72" s="113">
        <v>128</v>
      </c>
      <c r="Y72" s="114">
        <v>64</v>
      </c>
      <c r="Z72" s="114">
        <v>0</v>
      </c>
      <c r="AA72" s="115">
        <v>64</v>
      </c>
      <c r="AB72" s="116"/>
      <c r="AC72" s="136"/>
      <c r="AD72" s="117"/>
      <c r="AE72" s="117"/>
      <c r="AF72" s="117"/>
      <c r="AG72" s="118"/>
      <c r="AH72" s="137"/>
      <c r="AI72" s="137"/>
      <c r="AJ72" s="138"/>
      <c r="AK72" s="119">
        <f>F72-W72</f>
        <v>219.2</v>
      </c>
      <c r="AL72" s="633"/>
      <c r="AM72" s="634"/>
      <c r="AN72" s="627">
        <v>32</v>
      </c>
      <c r="AO72" s="456"/>
      <c r="AP72" s="456">
        <v>32</v>
      </c>
      <c r="AQ72" s="143">
        <v>32</v>
      </c>
      <c r="AR72" s="143"/>
      <c r="AS72" s="143">
        <v>32</v>
      </c>
      <c r="AT72" s="456"/>
      <c r="AU72" s="456"/>
      <c r="AV72" s="456"/>
      <c r="AW72" s="143"/>
      <c r="AX72" s="143"/>
      <c r="AY72" s="143"/>
      <c r="AZ72" s="456"/>
      <c r="BA72" s="456"/>
      <c r="BB72" s="456"/>
      <c r="BC72" s="143"/>
      <c r="BD72" s="143"/>
      <c r="BE72" s="143"/>
      <c r="BF72" s="456"/>
      <c r="BG72" s="456"/>
      <c r="BH72" s="456"/>
      <c r="BI72" s="143"/>
      <c r="BJ72" s="143"/>
      <c r="BK72" s="143"/>
      <c r="BL72" s="450"/>
      <c r="BM72" s="450"/>
      <c r="BN72" s="450"/>
      <c r="BO72" s="611"/>
      <c r="BP72" s="611"/>
      <c r="BQ72" s="611"/>
      <c r="BR72" s="450"/>
      <c r="BS72" s="450"/>
      <c r="BT72" s="450"/>
      <c r="BU72" s="611"/>
      <c r="BV72" s="611"/>
      <c r="BW72" s="621"/>
      <c r="BX72" s="200" t="s">
        <v>319</v>
      </c>
      <c r="BY72" s="170">
        <f t="shared" si="8"/>
        <v>35.555555555555557</v>
      </c>
    </row>
    <row r="73" spans="1:77" s="201" customFormat="1" ht="24.75" customHeight="1" x14ac:dyDescent="0.25">
      <c r="A73" s="140"/>
      <c r="B73" s="130"/>
      <c r="C73" s="159">
        <v>18</v>
      </c>
      <c r="D73" s="194" t="s">
        <v>240</v>
      </c>
      <c r="E73" s="147">
        <v>6</v>
      </c>
      <c r="F73" s="148">
        <v>216</v>
      </c>
      <c r="G73" s="149">
        <v>3</v>
      </c>
      <c r="H73" s="140">
        <v>3</v>
      </c>
      <c r="I73" s="140"/>
      <c r="J73" s="140"/>
      <c r="K73" s="519"/>
      <c r="L73" s="519"/>
      <c r="M73" s="140"/>
      <c r="N73" s="140"/>
      <c r="O73" s="140"/>
      <c r="P73" s="140"/>
      <c r="Q73" s="140"/>
      <c r="R73" s="150"/>
      <c r="S73" s="151">
        <v>12</v>
      </c>
      <c r="T73" s="152"/>
      <c r="U73" s="152"/>
      <c r="V73" s="153"/>
      <c r="W73" s="112">
        <v>105.6</v>
      </c>
      <c r="X73" s="113">
        <v>96</v>
      </c>
      <c r="Y73" s="114">
        <v>32</v>
      </c>
      <c r="Z73" s="114">
        <v>64</v>
      </c>
      <c r="AA73" s="115">
        <v>0</v>
      </c>
      <c r="AB73" s="116"/>
      <c r="AC73" s="136"/>
      <c r="AD73" s="117"/>
      <c r="AE73" s="117"/>
      <c r="AF73" s="117"/>
      <c r="AG73" s="118"/>
      <c r="AH73" s="137"/>
      <c r="AI73" s="137"/>
      <c r="AJ73" s="138"/>
      <c r="AK73" s="119">
        <v>110.4</v>
      </c>
      <c r="AL73" s="633"/>
      <c r="AM73" s="634"/>
      <c r="AN73" s="627">
        <v>16</v>
      </c>
      <c r="AO73" s="477">
        <v>32</v>
      </c>
      <c r="AP73" s="477"/>
      <c r="AQ73" s="143">
        <v>16</v>
      </c>
      <c r="AR73" s="143">
        <v>32</v>
      </c>
      <c r="AS73" s="143"/>
      <c r="AT73" s="477"/>
      <c r="AU73" s="477"/>
      <c r="AV73" s="477"/>
      <c r="AW73" s="143"/>
      <c r="AX73" s="143"/>
      <c r="AY73" s="143"/>
      <c r="AZ73" s="477"/>
      <c r="BA73" s="477"/>
      <c r="BB73" s="477"/>
      <c r="BC73" s="143"/>
      <c r="BD73" s="143"/>
      <c r="BE73" s="143"/>
      <c r="BF73" s="477"/>
      <c r="BG73" s="477"/>
      <c r="BH73" s="477"/>
      <c r="BI73" s="143"/>
      <c r="BJ73" s="143"/>
      <c r="BK73" s="143"/>
      <c r="BL73" s="450"/>
      <c r="BM73" s="450"/>
      <c r="BN73" s="450"/>
      <c r="BO73" s="168"/>
      <c r="BP73" s="168"/>
      <c r="BQ73" s="168"/>
      <c r="BR73" s="450"/>
      <c r="BS73" s="450"/>
      <c r="BT73" s="450"/>
      <c r="BU73" s="168"/>
      <c r="BV73" s="168"/>
      <c r="BW73" s="169"/>
      <c r="BX73" s="200" t="s">
        <v>323</v>
      </c>
      <c r="BY73" s="170"/>
    </row>
    <row r="74" spans="1:77" s="201" customFormat="1" ht="39.75" customHeight="1" x14ac:dyDescent="0.25">
      <c r="A74" s="140"/>
      <c r="B74" s="130"/>
      <c r="C74" s="159">
        <v>19</v>
      </c>
      <c r="D74" s="194" t="s">
        <v>272</v>
      </c>
      <c r="E74" s="147">
        <v>3</v>
      </c>
      <c r="F74" s="148">
        <v>108</v>
      </c>
      <c r="G74" s="149"/>
      <c r="H74" s="140"/>
      <c r="I74" s="140">
        <v>3</v>
      </c>
      <c r="J74" s="140"/>
      <c r="K74" s="519"/>
      <c r="L74" s="519"/>
      <c r="M74" s="140"/>
      <c r="N74" s="140"/>
      <c r="O74" s="140"/>
      <c r="P74" s="140"/>
      <c r="Q74" s="140"/>
      <c r="R74" s="150"/>
      <c r="S74" s="151">
        <v>3</v>
      </c>
      <c r="T74" s="152"/>
      <c r="U74" s="152"/>
      <c r="V74" s="153"/>
      <c r="W74" s="112">
        <v>70.400000000000006</v>
      </c>
      <c r="X74" s="113">
        <v>64</v>
      </c>
      <c r="Y74" s="114">
        <v>32</v>
      </c>
      <c r="Z74" s="114">
        <v>0</v>
      </c>
      <c r="AA74" s="115">
        <v>32</v>
      </c>
      <c r="AB74" s="116"/>
      <c r="AC74" s="136"/>
      <c r="AD74" s="117"/>
      <c r="AE74" s="117"/>
      <c r="AF74" s="117"/>
      <c r="AG74" s="118"/>
      <c r="AH74" s="137"/>
      <c r="AI74" s="137"/>
      <c r="AJ74" s="138"/>
      <c r="AK74" s="119">
        <v>37.6</v>
      </c>
      <c r="AL74" s="633"/>
      <c r="AM74" s="634"/>
      <c r="AN74" s="627"/>
      <c r="AO74" s="477"/>
      <c r="AP74" s="477"/>
      <c r="AQ74" s="143"/>
      <c r="AR74" s="143"/>
      <c r="AS74" s="143"/>
      <c r="AT74" s="477">
        <v>32</v>
      </c>
      <c r="AU74" s="477"/>
      <c r="AV74" s="477">
        <v>32</v>
      </c>
      <c r="AW74" s="143"/>
      <c r="AX74" s="143"/>
      <c r="AY74" s="143"/>
      <c r="AZ74" s="477"/>
      <c r="BA74" s="477"/>
      <c r="BB74" s="477"/>
      <c r="BC74" s="143"/>
      <c r="BD74" s="143"/>
      <c r="BE74" s="143"/>
      <c r="BF74" s="477"/>
      <c r="BG74" s="477"/>
      <c r="BH74" s="477"/>
      <c r="BI74" s="143"/>
      <c r="BJ74" s="143"/>
      <c r="BK74" s="143"/>
      <c r="BL74" s="450"/>
      <c r="BM74" s="450"/>
      <c r="BN74" s="450"/>
      <c r="BO74" s="168"/>
      <c r="BP74" s="168"/>
      <c r="BQ74" s="168"/>
      <c r="BR74" s="450"/>
      <c r="BS74" s="450"/>
      <c r="BT74" s="450"/>
      <c r="BU74" s="168"/>
      <c r="BV74" s="168"/>
      <c r="BW74" s="169"/>
      <c r="BX74" s="200" t="s">
        <v>319</v>
      </c>
      <c r="BY74" s="170"/>
    </row>
    <row r="75" spans="1:77" s="201" customFormat="1" ht="24.75" hidden="1" customHeight="1" x14ac:dyDescent="0.25">
      <c r="A75" s="140"/>
      <c r="B75" s="130"/>
      <c r="C75" s="159">
        <v>23</v>
      </c>
      <c r="D75" s="205" t="s">
        <v>185</v>
      </c>
      <c r="E75" s="147"/>
      <c r="F75" s="148"/>
      <c r="G75" s="149"/>
      <c r="H75" s="140"/>
      <c r="I75" s="140"/>
      <c r="J75" s="140"/>
      <c r="K75" s="519"/>
      <c r="L75" s="519"/>
      <c r="M75" s="140"/>
      <c r="N75" s="140"/>
      <c r="O75" s="140"/>
      <c r="P75" s="140"/>
      <c r="Q75" s="140"/>
      <c r="R75" s="150"/>
      <c r="S75" s="151"/>
      <c r="T75" s="152"/>
      <c r="U75" s="152"/>
      <c r="V75" s="153"/>
      <c r="W75" s="112"/>
      <c r="X75" s="113"/>
      <c r="Y75" s="114"/>
      <c r="Z75" s="114"/>
      <c r="AA75" s="115"/>
      <c r="AB75" s="116"/>
      <c r="AC75" s="136"/>
      <c r="AD75" s="117"/>
      <c r="AE75" s="117"/>
      <c r="AF75" s="117"/>
      <c r="AG75" s="118"/>
      <c r="AH75" s="137"/>
      <c r="AI75" s="137"/>
      <c r="AJ75" s="138"/>
      <c r="AK75" s="119"/>
      <c r="AL75" s="633"/>
      <c r="AM75" s="634"/>
      <c r="AN75" s="627"/>
      <c r="AO75" s="477"/>
      <c r="AP75" s="477"/>
      <c r="AQ75" s="143"/>
      <c r="AR75" s="143"/>
      <c r="AS75" s="143"/>
      <c r="AT75" s="477"/>
      <c r="AU75" s="477"/>
      <c r="AV75" s="477"/>
      <c r="AW75" s="143"/>
      <c r="AX75" s="143"/>
      <c r="AY75" s="143"/>
      <c r="AZ75" s="477"/>
      <c r="BA75" s="477"/>
      <c r="BB75" s="477"/>
      <c r="BC75" s="143"/>
      <c r="BD75" s="143"/>
      <c r="BE75" s="143"/>
      <c r="BF75" s="477"/>
      <c r="BG75" s="477"/>
      <c r="BH75" s="477"/>
      <c r="BI75" s="143"/>
      <c r="BJ75" s="143"/>
      <c r="BK75" s="143"/>
      <c r="BL75" s="450"/>
      <c r="BM75" s="450"/>
      <c r="BN75" s="450"/>
      <c r="BO75" s="168"/>
      <c r="BP75" s="168"/>
      <c r="BQ75" s="168"/>
      <c r="BR75" s="450"/>
      <c r="BS75" s="450"/>
      <c r="BT75" s="450"/>
      <c r="BU75" s="168"/>
      <c r="BV75" s="168"/>
      <c r="BW75" s="169"/>
      <c r="BX75" s="207"/>
      <c r="BY75" s="170"/>
    </row>
    <row r="76" spans="1:77" s="201" customFormat="1" ht="24.75" hidden="1" customHeight="1" x14ac:dyDescent="0.25">
      <c r="A76" s="140"/>
      <c r="B76" s="130"/>
      <c r="C76" s="159">
        <v>24</v>
      </c>
      <c r="D76" s="205" t="s">
        <v>185</v>
      </c>
      <c r="E76" s="147">
        <f>G76+H76+I76+J76+K76+L76+M76+N76+O76+P76+Q76+R76</f>
        <v>0</v>
      </c>
      <c r="F76" s="148">
        <f>E76*36</f>
        <v>0</v>
      </c>
      <c r="G76" s="149"/>
      <c r="H76" s="140"/>
      <c r="I76" s="140"/>
      <c r="J76" s="140"/>
      <c r="K76" s="519"/>
      <c r="L76" s="519"/>
      <c r="M76" s="140"/>
      <c r="N76" s="140"/>
      <c r="O76" s="140"/>
      <c r="P76" s="140"/>
      <c r="Q76" s="140"/>
      <c r="R76" s="150"/>
      <c r="S76" s="151"/>
      <c r="T76" s="152"/>
      <c r="U76" s="152"/>
      <c r="V76" s="153"/>
      <c r="W76" s="112">
        <f>X76+X76*0.1</f>
        <v>0</v>
      </c>
      <c r="X76" s="113">
        <f>SUM(Y76:AA76)</f>
        <v>0</v>
      </c>
      <c r="Y76" s="114">
        <f t="shared" ref="Y76:AA77" si="9">AN76+AQ76+AT76+AW76+AZ76+BC76+BF76+BI76+BL76+BO76+BR76+BU76</f>
        <v>0</v>
      </c>
      <c r="Z76" s="114">
        <f t="shared" si="9"/>
        <v>0</v>
      </c>
      <c r="AA76" s="115">
        <f t="shared" si="9"/>
        <v>0</v>
      </c>
      <c r="AB76" s="116"/>
      <c r="AC76" s="136"/>
      <c r="AD76" s="117"/>
      <c r="AE76" s="117"/>
      <c r="AF76" s="117"/>
      <c r="AG76" s="118"/>
      <c r="AH76" s="137"/>
      <c r="AI76" s="137"/>
      <c r="AJ76" s="138"/>
      <c r="AK76" s="119">
        <f>F76-W76</f>
        <v>0</v>
      </c>
      <c r="AL76" s="633"/>
      <c r="AM76" s="634"/>
      <c r="AN76" s="627"/>
      <c r="AO76" s="477"/>
      <c r="AP76" s="477"/>
      <c r="AQ76" s="143"/>
      <c r="AR76" s="143"/>
      <c r="AS76" s="143"/>
      <c r="AT76" s="477"/>
      <c r="AU76" s="477"/>
      <c r="AV76" s="477"/>
      <c r="AW76" s="143"/>
      <c r="AX76" s="143"/>
      <c r="AY76" s="143"/>
      <c r="AZ76" s="477"/>
      <c r="BA76" s="477"/>
      <c r="BB76" s="477"/>
      <c r="BC76" s="143"/>
      <c r="BD76" s="143"/>
      <c r="BE76" s="143"/>
      <c r="BF76" s="477"/>
      <c r="BG76" s="477"/>
      <c r="BH76" s="477"/>
      <c r="BI76" s="143"/>
      <c r="BJ76" s="143"/>
      <c r="BK76" s="143"/>
      <c r="BL76" s="450"/>
      <c r="BM76" s="450"/>
      <c r="BN76" s="450"/>
      <c r="BO76" s="168"/>
      <c r="BP76" s="168"/>
      <c r="BQ76" s="168"/>
      <c r="BR76" s="450"/>
      <c r="BS76" s="450"/>
      <c r="BT76" s="450"/>
      <c r="BU76" s="168"/>
      <c r="BV76" s="168"/>
      <c r="BW76" s="169"/>
      <c r="BX76" s="207"/>
      <c r="BY76" s="170"/>
    </row>
    <row r="77" spans="1:77" s="201" customFormat="1" ht="24.75" hidden="1" customHeight="1" x14ac:dyDescent="0.25">
      <c r="A77" s="140"/>
      <c r="B77" s="130"/>
      <c r="C77" s="159">
        <v>25</v>
      </c>
      <c r="D77" s="205" t="s">
        <v>185</v>
      </c>
      <c r="E77" s="147">
        <f>G77+H77+I77+J77+K77+L77+M77+N77+O77+P77+Q77+R77</f>
        <v>0</v>
      </c>
      <c r="F77" s="148">
        <f>E77*36</f>
        <v>0</v>
      </c>
      <c r="G77" s="149"/>
      <c r="H77" s="140"/>
      <c r="I77" s="140"/>
      <c r="J77" s="140"/>
      <c r="K77" s="519"/>
      <c r="L77" s="519"/>
      <c r="M77" s="140"/>
      <c r="N77" s="140"/>
      <c r="O77" s="140"/>
      <c r="P77" s="140"/>
      <c r="Q77" s="140"/>
      <c r="R77" s="150"/>
      <c r="S77" s="151"/>
      <c r="T77" s="152"/>
      <c r="U77" s="152"/>
      <c r="V77" s="153"/>
      <c r="W77" s="112">
        <f>X77+X77*0.1</f>
        <v>0</v>
      </c>
      <c r="X77" s="113">
        <f>SUM(Y77:AA77)</f>
        <v>0</v>
      </c>
      <c r="Y77" s="114">
        <f t="shared" si="9"/>
        <v>0</v>
      </c>
      <c r="Z77" s="114">
        <f t="shared" si="9"/>
        <v>0</v>
      </c>
      <c r="AA77" s="115">
        <f t="shared" si="9"/>
        <v>0</v>
      </c>
      <c r="AB77" s="116"/>
      <c r="AC77" s="136"/>
      <c r="AD77" s="117"/>
      <c r="AE77" s="117"/>
      <c r="AF77" s="117"/>
      <c r="AG77" s="118"/>
      <c r="AH77" s="137"/>
      <c r="AI77" s="137"/>
      <c r="AJ77" s="138"/>
      <c r="AK77" s="119">
        <f>F77-W77</f>
        <v>0</v>
      </c>
      <c r="AL77" s="633"/>
      <c r="AM77" s="634"/>
      <c r="AN77" s="627"/>
      <c r="AO77" s="456"/>
      <c r="AP77" s="456"/>
      <c r="AQ77" s="143"/>
      <c r="AR77" s="143"/>
      <c r="AS77" s="143"/>
      <c r="AT77" s="456"/>
      <c r="AU77" s="456"/>
      <c r="AV77" s="456"/>
      <c r="AW77" s="143"/>
      <c r="AX77" s="143"/>
      <c r="AY77" s="143"/>
      <c r="AZ77" s="456"/>
      <c r="BA77" s="456"/>
      <c r="BB77" s="456"/>
      <c r="BC77" s="143"/>
      <c r="BD77" s="143"/>
      <c r="BE77" s="143"/>
      <c r="BF77" s="456"/>
      <c r="BG77" s="456"/>
      <c r="BH77" s="456"/>
      <c r="BI77" s="143"/>
      <c r="BJ77" s="143"/>
      <c r="BK77" s="143"/>
      <c r="BL77" s="450"/>
      <c r="BM77" s="450"/>
      <c r="BN77" s="450"/>
      <c r="BO77" s="168"/>
      <c r="BP77" s="168"/>
      <c r="BQ77" s="168"/>
      <c r="BR77" s="450"/>
      <c r="BS77" s="450"/>
      <c r="BT77" s="450"/>
      <c r="BU77" s="168"/>
      <c r="BV77" s="168"/>
      <c r="BW77" s="169"/>
      <c r="BX77" s="207"/>
      <c r="BY77" s="170" t="e">
        <f>X77/F77*100</f>
        <v>#DIV/0!</v>
      </c>
    </row>
    <row r="78" spans="1:77" s="201" customFormat="1" ht="28.5" customHeight="1" x14ac:dyDescent="0.25">
      <c r="A78" s="130"/>
      <c r="B78" s="130"/>
      <c r="C78" s="131"/>
      <c r="D78" s="195" t="s">
        <v>153</v>
      </c>
      <c r="E78" s="208">
        <f>SUM(E79:E83)</f>
        <v>6</v>
      </c>
      <c r="F78" s="197">
        <f t="shared" ref="F78:F83" si="10">E78*36</f>
        <v>216</v>
      </c>
      <c r="G78" s="133"/>
      <c r="H78" s="134"/>
      <c r="I78" s="134"/>
      <c r="J78" s="134"/>
      <c r="K78" s="353"/>
      <c r="L78" s="353"/>
      <c r="M78" s="134"/>
      <c r="N78" s="134"/>
      <c r="O78" s="134"/>
      <c r="P78" s="134"/>
      <c r="Q78" s="134"/>
      <c r="R78" s="135"/>
      <c r="S78" s="109"/>
      <c r="T78" s="110"/>
      <c r="U78" s="110"/>
      <c r="V78" s="111"/>
      <c r="W78" s="112"/>
      <c r="X78" s="113"/>
      <c r="Y78" s="612"/>
      <c r="Z78" s="612"/>
      <c r="AA78" s="115"/>
      <c r="AB78" s="116"/>
      <c r="AC78" s="136"/>
      <c r="AD78" s="117"/>
      <c r="AE78" s="117"/>
      <c r="AF78" s="117"/>
      <c r="AG78" s="118"/>
      <c r="AH78" s="137"/>
      <c r="AI78" s="137"/>
      <c r="AJ78" s="138"/>
      <c r="AK78" s="119"/>
      <c r="AL78" s="632"/>
      <c r="AM78" s="296"/>
      <c r="AN78" s="624"/>
      <c r="AO78" s="612"/>
      <c r="AP78" s="612"/>
      <c r="AQ78" s="612"/>
      <c r="AR78" s="612"/>
      <c r="AS78" s="612"/>
      <c r="AT78" s="612"/>
      <c r="AU78" s="612"/>
      <c r="AV78" s="612"/>
      <c r="AW78" s="612"/>
      <c r="AX78" s="612"/>
      <c r="AY78" s="612"/>
      <c r="AZ78" s="612"/>
      <c r="BA78" s="612"/>
      <c r="BB78" s="612"/>
      <c r="BC78" s="612"/>
      <c r="BD78" s="612"/>
      <c r="BE78" s="612"/>
      <c r="BF78" s="612"/>
      <c r="BG78" s="612"/>
      <c r="BH78" s="612"/>
      <c r="BI78" s="612"/>
      <c r="BJ78" s="612"/>
      <c r="BK78" s="612"/>
      <c r="BL78" s="612"/>
      <c r="BM78" s="612"/>
      <c r="BN78" s="612"/>
      <c r="BO78" s="612"/>
      <c r="BP78" s="612"/>
      <c r="BQ78" s="612"/>
      <c r="BR78" s="612"/>
      <c r="BS78" s="612"/>
      <c r="BT78" s="612"/>
      <c r="BU78" s="612"/>
      <c r="BV78" s="612"/>
      <c r="BW78" s="115"/>
      <c r="BX78" s="139"/>
      <c r="BY78" s="120"/>
    </row>
    <row r="79" spans="1:77" s="201" customFormat="1" ht="51.75" customHeight="1" x14ac:dyDescent="0.25">
      <c r="A79" s="140"/>
      <c r="B79" s="130"/>
      <c r="C79" s="159">
        <v>20</v>
      </c>
      <c r="D79" s="194" t="s">
        <v>241</v>
      </c>
      <c r="E79" s="147">
        <v>6</v>
      </c>
      <c r="F79" s="148">
        <v>216</v>
      </c>
      <c r="G79" s="149"/>
      <c r="H79" s="140"/>
      <c r="I79" s="140"/>
      <c r="J79" s="140"/>
      <c r="K79" s="519"/>
      <c r="L79" s="519"/>
      <c r="M79" s="140">
        <v>6</v>
      </c>
      <c r="N79" s="140"/>
      <c r="O79" s="140"/>
      <c r="P79" s="140"/>
      <c r="Q79" s="140"/>
      <c r="R79" s="150"/>
      <c r="S79" s="151">
        <v>7</v>
      </c>
      <c r="T79" s="152"/>
      <c r="U79" s="152"/>
      <c r="V79" s="153"/>
      <c r="W79" s="112">
        <v>70.400000000000006</v>
      </c>
      <c r="X79" s="113">
        <v>64</v>
      </c>
      <c r="Y79" s="114">
        <v>32</v>
      </c>
      <c r="Z79" s="114">
        <v>32</v>
      </c>
      <c r="AA79" s="115">
        <v>0</v>
      </c>
      <c r="AB79" s="116"/>
      <c r="AC79" s="136"/>
      <c r="AD79" s="117"/>
      <c r="AE79" s="117"/>
      <c r="AF79" s="117"/>
      <c r="AG79" s="118"/>
      <c r="AH79" s="137"/>
      <c r="AI79" s="137"/>
      <c r="AJ79" s="138"/>
      <c r="AK79" s="119">
        <v>145.6</v>
      </c>
      <c r="AL79" s="632"/>
      <c r="AM79" s="296"/>
      <c r="AN79" s="625"/>
      <c r="AO79" s="444"/>
      <c r="AP79" s="444"/>
      <c r="AQ79" s="154"/>
      <c r="AR79" s="154"/>
      <c r="AS79" s="154"/>
      <c r="AT79" s="444"/>
      <c r="AU79" s="444"/>
      <c r="AV79" s="444"/>
      <c r="AW79" s="154"/>
      <c r="AX79" s="154"/>
      <c r="AY79" s="154"/>
      <c r="AZ79" s="444"/>
      <c r="BA79" s="444"/>
      <c r="BB79" s="444"/>
      <c r="BC79" s="154"/>
      <c r="BD79" s="154"/>
      <c r="BE79" s="154"/>
      <c r="BF79" s="444">
        <v>32</v>
      </c>
      <c r="BG79" s="444">
        <v>32</v>
      </c>
      <c r="BH79" s="444"/>
      <c r="BI79" s="154"/>
      <c r="BJ79" s="154"/>
      <c r="BK79" s="154"/>
      <c r="BL79" s="450"/>
      <c r="BM79" s="450"/>
      <c r="BN79" s="450"/>
      <c r="BO79" s="154"/>
      <c r="BP79" s="154"/>
      <c r="BQ79" s="154"/>
      <c r="BR79" s="450"/>
      <c r="BS79" s="450"/>
      <c r="BT79" s="450"/>
      <c r="BU79" s="154"/>
      <c r="BV79" s="154"/>
      <c r="BW79" s="155"/>
      <c r="BX79" s="200" t="s">
        <v>323</v>
      </c>
      <c r="BY79" s="122">
        <f t="shared" si="8"/>
        <v>29.629629629629626</v>
      </c>
    </row>
    <row r="80" spans="1:77" s="201" customFormat="1" ht="28.5" hidden="1" customHeight="1" x14ac:dyDescent="0.25">
      <c r="A80" s="140"/>
      <c r="B80" s="130"/>
      <c r="C80" s="159">
        <v>27</v>
      </c>
      <c r="D80" s="205" t="s">
        <v>185</v>
      </c>
      <c r="E80" s="147">
        <f>G80+H80+I80+J80+K80+L80+M80+N80+O80+P80+Q80+R80</f>
        <v>0</v>
      </c>
      <c r="F80" s="148">
        <f t="shared" si="10"/>
        <v>0</v>
      </c>
      <c r="G80" s="149"/>
      <c r="H80" s="140"/>
      <c r="I80" s="140"/>
      <c r="J80" s="140"/>
      <c r="K80" s="519"/>
      <c r="L80" s="519"/>
      <c r="M80" s="140"/>
      <c r="N80" s="140"/>
      <c r="O80" s="140"/>
      <c r="P80" s="140"/>
      <c r="Q80" s="140"/>
      <c r="R80" s="150"/>
      <c r="S80" s="151"/>
      <c r="T80" s="152"/>
      <c r="U80" s="152"/>
      <c r="V80" s="153"/>
      <c r="W80" s="112">
        <f t="shared" ref="W80:W83" si="11">X80+X80*0.1</f>
        <v>0</v>
      </c>
      <c r="X80" s="113">
        <f t="shared" ref="X80:X83" si="12">SUM(Y80:AA80)</f>
        <v>0</v>
      </c>
      <c r="Y80" s="114">
        <f t="shared" ref="Y80:AA83" si="13">AN80+AQ80+AT80+AW80+AZ80+BC80+BF80+BI80+BL80+BO80+BR80+BU80</f>
        <v>0</v>
      </c>
      <c r="Z80" s="114">
        <f t="shared" si="13"/>
        <v>0</v>
      </c>
      <c r="AA80" s="115">
        <f t="shared" si="13"/>
        <v>0</v>
      </c>
      <c r="AB80" s="116"/>
      <c r="AC80" s="136"/>
      <c r="AD80" s="117"/>
      <c r="AE80" s="117"/>
      <c r="AF80" s="117"/>
      <c r="AG80" s="118"/>
      <c r="AH80" s="137"/>
      <c r="AI80" s="137"/>
      <c r="AJ80" s="138"/>
      <c r="AK80" s="119">
        <f>F80-W80</f>
        <v>0</v>
      </c>
      <c r="AL80" s="632"/>
      <c r="AM80" s="296"/>
      <c r="AN80" s="625"/>
      <c r="AO80" s="444"/>
      <c r="AP80" s="444"/>
      <c r="AQ80" s="154"/>
      <c r="AR80" s="154"/>
      <c r="AS80" s="154"/>
      <c r="AT80" s="444"/>
      <c r="AU80" s="444"/>
      <c r="AV80" s="444"/>
      <c r="AW80" s="154"/>
      <c r="AX80" s="154"/>
      <c r="AY80" s="154"/>
      <c r="AZ80" s="444"/>
      <c r="BA80" s="444"/>
      <c r="BB80" s="444"/>
      <c r="BC80" s="154"/>
      <c r="BD80" s="154"/>
      <c r="BE80" s="154"/>
      <c r="BF80" s="444"/>
      <c r="BG80" s="444"/>
      <c r="BH80" s="444"/>
      <c r="BI80" s="154"/>
      <c r="BJ80" s="154"/>
      <c r="BK80" s="154"/>
      <c r="BL80" s="114"/>
      <c r="BM80" s="114"/>
      <c r="BN80" s="114"/>
      <c r="BO80" s="154"/>
      <c r="BP80" s="154"/>
      <c r="BQ80" s="154"/>
      <c r="BR80" s="114"/>
      <c r="BS80" s="114"/>
      <c r="BT80" s="114"/>
      <c r="BU80" s="154"/>
      <c r="BV80" s="154"/>
      <c r="BW80" s="155"/>
      <c r="BX80" s="202"/>
      <c r="BY80" s="122" t="e">
        <f t="shared" si="8"/>
        <v>#DIV/0!</v>
      </c>
    </row>
    <row r="81" spans="1:77" s="201" customFormat="1" ht="28.5" hidden="1" customHeight="1" x14ac:dyDescent="0.25">
      <c r="A81" s="140"/>
      <c r="B81" s="130"/>
      <c r="C81" s="159">
        <v>28</v>
      </c>
      <c r="D81" s="205" t="s">
        <v>185</v>
      </c>
      <c r="E81" s="147">
        <f>G81+H81+I81+J81+K81+L81+M81+N81+O81+P81+Q81+R81</f>
        <v>0</v>
      </c>
      <c r="F81" s="148">
        <f t="shared" si="10"/>
        <v>0</v>
      </c>
      <c r="G81" s="149"/>
      <c r="H81" s="140"/>
      <c r="I81" s="140"/>
      <c r="J81" s="140"/>
      <c r="K81" s="519"/>
      <c r="L81" s="519"/>
      <c r="M81" s="140"/>
      <c r="N81" s="140"/>
      <c r="O81" s="140"/>
      <c r="P81" s="140"/>
      <c r="Q81" s="140"/>
      <c r="R81" s="150"/>
      <c r="S81" s="151"/>
      <c r="T81" s="152"/>
      <c r="U81" s="152"/>
      <c r="V81" s="153"/>
      <c r="W81" s="112">
        <f t="shared" si="11"/>
        <v>0</v>
      </c>
      <c r="X81" s="113">
        <f t="shared" si="12"/>
        <v>0</v>
      </c>
      <c r="Y81" s="114">
        <f t="shared" si="13"/>
        <v>0</v>
      </c>
      <c r="Z81" s="114">
        <f t="shared" si="13"/>
        <v>0</v>
      </c>
      <c r="AA81" s="115">
        <f t="shared" si="13"/>
        <v>0</v>
      </c>
      <c r="AB81" s="116"/>
      <c r="AC81" s="136"/>
      <c r="AD81" s="117"/>
      <c r="AE81" s="117"/>
      <c r="AF81" s="117"/>
      <c r="AG81" s="118"/>
      <c r="AH81" s="137"/>
      <c r="AI81" s="137"/>
      <c r="AJ81" s="138"/>
      <c r="AK81" s="119">
        <f>F81-W81</f>
        <v>0</v>
      </c>
      <c r="AL81" s="632"/>
      <c r="AM81" s="296"/>
      <c r="AN81" s="625"/>
      <c r="AO81" s="444"/>
      <c r="AP81" s="444"/>
      <c r="AQ81" s="154"/>
      <c r="AR81" s="154"/>
      <c r="AS81" s="154"/>
      <c r="AT81" s="444"/>
      <c r="AU81" s="444"/>
      <c r="AV81" s="444"/>
      <c r="AW81" s="154"/>
      <c r="AX81" s="154"/>
      <c r="AY81" s="154"/>
      <c r="AZ81" s="444"/>
      <c r="BA81" s="444"/>
      <c r="BB81" s="444"/>
      <c r="BC81" s="154"/>
      <c r="BD81" s="154"/>
      <c r="BE81" s="154"/>
      <c r="BF81" s="444"/>
      <c r="BG81" s="444"/>
      <c r="BH81" s="444"/>
      <c r="BI81" s="154"/>
      <c r="BJ81" s="154"/>
      <c r="BK81" s="154"/>
      <c r="BL81" s="114"/>
      <c r="BM81" s="114"/>
      <c r="BN81" s="114"/>
      <c r="BO81" s="154"/>
      <c r="BP81" s="154"/>
      <c r="BQ81" s="154"/>
      <c r="BR81" s="114"/>
      <c r="BS81" s="114"/>
      <c r="BT81" s="114"/>
      <c r="BU81" s="154"/>
      <c r="BV81" s="154"/>
      <c r="BW81" s="155"/>
      <c r="BX81" s="202"/>
      <c r="BY81" s="122" t="e">
        <f t="shared" si="8"/>
        <v>#DIV/0!</v>
      </c>
    </row>
    <row r="82" spans="1:77" s="201" customFormat="1" ht="28.5" hidden="1" customHeight="1" x14ac:dyDescent="0.25">
      <c r="A82" s="140"/>
      <c r="B82" s="130"/>
      <c r="C82" s="159">
        <v>29</v>
      </c>
      <c r="D82" s="205" t="s">
        <v>185</v>
      </c>
      <c r="E82" s="147">
        <f>G82+H82+I82+J82+K82+L82+M82+N82+O82+P82+Q82+R82</f>
        <v>0</v>
      </c>
      <c r="F82" s="148">
        <f t="shared" si="10"/>
        <v>0</v>
      </c>
      <c r="G82" s="149"/>
      <c r="H82" s="140"/>
      <c r="I82" s="140"/>
      <c r="J82" s="140"/>
      <c r="K82" s="519"/>
      <c r="L82" s="519"/>
      <c r="M82" s="140"/>
      <c r="N82" s="140"/>
      <c r="O82" s="140"/>
      <c r="P82" s="140"/>
      <c r="Q82" s="140"/>
      <c r="R82" s="150"/>
      <c r="S82" s="151"/>
      <c r="T82" s="152"/>
      <c r="U82" s="152"/>
      <c r="V82" s="153"/>
      <c r="W82" s="112">
        <f t="shared" si="11"/>
        <v>0</v>
      </c>
      <c r="X82" s="113">
        <f t="shared" si="12"/>
        <v>0</v>
      </c>
      <c r="Y82" s="114">
        <f t="shared" si="13"/>
        <v>0</v>
      </c>
      <c r="Z82" s="114">
        <f t="shared" si="13"/>
        <v>0</v>
      </c>
      <c r="AA82" s="115">
        <f t="shared" si="13"/>
        <v>0</v>
      </c>
      <c r="AB82" s="116"/>
      <c r="AC82" s="136"/>
      <c r="AD82" s="117"/>
      <c r="AE82" s="117"/>
      <c r="AF82" s="117"/>
      <c r="AG82" s="118"/>
      <c r="AH82" s="137"/>
      <c r="AI82" s="137"/>
      <c r="AJ82" s="138"/>
      <c r="AK82" s="119">
        <f>F82-W82</f>
        <v>0</v>
      </c>
      <c r="AL82" s="632"/>
      <c r="AM82" s="296"/>
      <c r="AN82" s="625"/>
      <c r="AO82" s="444"/>
      <c r="AP82" s="444"/>
      <c r="AQ82" s="154"/>
      <c r="AR82" s="154"/>
      <c r="AS82" s="154"/>
      <c r="AT82" s="444"/>
      <c r="AU82" s="444"/>
      <c r="AV82" s="444"/>
      <c r="AW82" s="154"/>
      <c r="AX82" s="154"/>
      <c r="AY82" s="154"/>
      <c r="AZ82" s="444"/>
      <c r="BA82" s="444"/>
      <c r="BB82" s="444"/>
      <c r="BC82" s="154"/>
      <c r="BD82" s="154"/>
      <c r="BE82" s="154"/>
      <c r="BF82" s="444"/>
      <c r="BG82" s="444"/>
      <c r="BH82" s="444"/>
      <c r="BI82" s="154"/>
      <c r="BJ82" s="154"/>
      <c r="BK82" s="154"/>
      <c r="BL82" s="114"/>
      <c r="BM82" s="114"/>
      <c r="BN82" s="114"/>
      <c r="BO82" s="154"/>
      <c r="BP82" s="154"/>
      <c r="BQ82" s="154"/>
      <c r="BR82" s="114"/>
      <c r="BS82" s="114"/>
      <c r="BT82" s="114"/>
      <c r="BU82" s="154"/>
      <c r="BV82" s="154"/>
      <c r="BW82" s="155"/>
      <c r="BX82" s="202"/>
      <c r="BY82" s="122" t="e">
        <f t="shared" si="8"/>
        <v>#DIV/0!</v>
      </c>
    </row>
    <row r="83" spans="1:77" s="201" customFormat="1" ht="28.5" hidden="1" customHeight="1" x14ac:dyDescent="0.25">
      <c r="A83" s="140"/>
      <c r="B83" s="130"/>
      <c r="C83" s="159">
        <v>30</v>
      </c>
      <c r="D83" s="205" t="s">
        <v>185</v>
      </c>
      <c r="E83" s="147">
        <f>G83+H83+I83+J83+K83+L83+M83+N83+O83+P83+Q83+R83</f>
        <v>0</v>
      </c>
      <c r="F83" s="148">
        <f t="shared" si="10"/>
        <v>0</v>
      </c>
      <c r="G83" s="149"/>
      <c r="H83" s="140"/>
      <c r="I83" s="140"/>
      <c r="J83" s="140"/>
      <c r="K83" s="519"/>
      <c r="L83" s="519"/>
      <c r="M83" s="140"/>
      <c r="N83" s="140"/>
      <c r="O83" s="140"/>
      <c r="P83" s="140"/>
      <c r="Q83" s="140"/>
      <c r="R83" s="150"/>
      <c r="S83" s="151"/>
      <c r="T83" s="152"/>
      <c r="U83" s="152"/>
      <c r="V83" s="153"/>
      <c r="W83" s="112">
        <f t="shared" si="11"/>
        <v>0</v>
      </c>
      <c r="X83" s="113">
        <f t="shared" si="12"/>
        <v>0</v>
      </c>
      <c r="Y83" s="114">
        <f t="shared" si="13"/>
        <v>0</v>
      </c>
      <c r="Z83" s="114">
        <f t="shared" si="13"/>
        <v>0</v>
      </c>
      <c r="AA83" s="115">
        <f t="shared" si="13"/>
        <v>0</v>
      </c>
      <c r="AB83" s="116"/>
      <c r="AC83" s="136"/>
      <c r="AD83" s="117"/>
      <c r="AE83" s="117"/>
      <c r="AF83" s="117"/>
      <c r="AG83" s="118"/>
      <c r="AH83" s="137"/>
      <c r="AI83" s="137"/>
      <c r="AJ83" s="138"/>
      <c r="AK83" s="119">
        <f>F83-W83</f>
        <v>0</v>
      </c>
      <c r="AL83" s="632"/>
      <c r="AM83" s="296"/>
      <c r="AN83" s="625"/>
      <c r="AO83" s="444"/>
      <c r="AP83" s="444"/>
      <c r="AQ83" s="154"/>
      <c r="AR83" s="154"/>
      <c r="AS83" s="154"/>
      <c r="AT83" s="444"/>
      <c r="AU83" s="444"/>
      <c r="AV83" s="444"/>
      <c r="AW83" s="154"/>
      <c r="AX83" s="154"/>
      <c r="AY83" s="154"/>
      <c r="AZ83" s="444"/>
      <c r="BA83" s="444"/>
      <c r="BB83" s="444"/>
      <c r="BC83" s="154"/>
      <c r="BD83" s="154"/>
      <c r="BE83" s="154"/>
      <c r="BF83" s="444"/>
      <c r="BG83" s="444"/>
      <c r="BH83" s="444"/>
      <c r="BI83" s="154"/>
      <c r="BJ83" s="154"/>
      <c r="BK83" s="154"/>
      <c r="BL83" s="114"/>
      <c r="BM83" s="114"/>
      <c r="BN83" s="114"/>
      <c r="BO83" s="154"/>
      <c r="BP83" s="154"/>
      <c r="BQ83" s="154"/>
      <c r="BR83" s="114"/>
      <c r="BS83" s="114"/>
      <c r="BT83" s="114"/>
      <c r="BU83" s="154"/>
      <c r="BV83" s="154"/>
      <c r="BW83" s="155"/>
      <c r="BX83" s="202"/>
      <c r="BY83" s="122" t="e">
        <f t="shared" si="8"/>
        <v>#DIV/0!</v>
      </c>
    </row>
    <row r="84" spans="1:77" s="201" customFormat="1" ht="33.75" customHeight="1" x14ac:dyDescent="0.25">
      <c r="A84" s="130"/>
      <c r="B84" s="130"/>
      <c r="C84" s="131"/>
      <c r="D84" s="195" t="s">
        <v>152</v>
      </c>
      <c r="E84" s="208">
        <f>SUM(E85:E91)</f>
        <v>18</v>
      </c>
      <c r="F84" s="197">
        <f t="shared" si="2"/>
        <v>648</v>
      </c>
      <c r="G84" s="133"/>
      <c r="H84" s="134"/>
      <c r="I84" s="134"/>
      <c r="J84" s="134"/>
      <c r="K84" s="353"/>
      <c r="L84" s="353"/>
      <c r="M84" s="134"/>
      <c r="N84" s="134"/>
      <c r="O84" s="134"/>
      <c r="P84" s="134"/>
      <c r="Q84" s="134"/>
      <c r="R84" s="135"/>
      <c r="S84" s="109"/>
      <c r="T84" s="110"/>
      <c r="U84" s="110"/>
      <c r="V84" s="111"/>
      <c r="W84" s="112"/>
      <c r="X84" s="113"/>
      <c r="Y84" s="114"/>
      <c r="Z84" s="114"/>
      <c r="AA84" s="115"/>
      <c r="AB84" s="116"/>
      <c r="AC84" s="136"/>
      <c r="AD84" s="117"/>
      <c r="AE84" s="117"/>
      <c r="AF84" s="117"/>
      <c r="AG84" s="118"/>
      <c r="AH84" s="137"/>
      <c r="AI84" s="137"/>
      <c r="AJ84" s="138"/>
      <c r="AK84" s="119"/>
      <c r="AL84" s="632"/>
      <c r="AM84" s="296"/>
      <c r="AN84" s="624"/>
      <c r="AO84" s="114"/>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5"/>
      <c r="BX84" s="139"/>
      <c r="BY84" s="120"/>
    </row>
    <row r="85" spans="1:77" s="201" customFormat="1" ht="28.5" customHeight="1" x14ac:dyDescent="0.25">
      <c r="A85" s="140"/>
      <c r="B85" s="130"/>
      <c r="C85" s="131">
        <v>21</v>
      </c>
      <c r="D85" s="194" t="s">
        <v>242</v>
      </c>
      <c r="E85" s="147">
        <v>6</v>
      </c>
      <c r="F85" s="148">
        <v>216</v>
      </c>
      <c r="G85" s="149">
        <v>3</v>
      </c>
      <c r="H85" s="140">
        <v>3</v>
      </c>
      <c r="I85" s="140"/>
      <c r="J85" s="140"/>
      <c r="K85" s="519"/>
      <c r="L85" s="519"/>
      <c r="M85" s="140"/>
      <c r="N85" s="140"/>
      <c r="O85" s="140"/>
      <c r="P85" s="140"/>
      <c r="Q85" s="140"/>
      <c r="R85" s="150"/>
      <c r="S85" s="151">
        <v>12</v>
      </c>
      <c r="T85" s="152"/>
      <c r="U85" s="152"/>
      <c r="V85" s="153"/>
      <c r="W85" s="112">
        <v>105.6</v>
      </c>
      <c r="X85" s="113">
        <v>96</v>
      </c>
      <c r="Y85" s="114">
        <v>32</v>
      </c>
      <c r="Z85" s="114">
        <v>64</v>
      </c>
      <c r="AA85" s="115">
        <v>0</v>
      </c>
      <c r="AB85" s="116"/>
      <c r="AC85" s="136"/>
      <c r="AD85" s="117"/>
      <c r="AE85" s="117"/>
      <c r="AF85" s="117"/>
      <c r="AG85" s="118"/>
      <c r="AH85" s="137"/>
      <c r="AI85" s="137"/>
      <c r="AJ85" s="138"/>
      <c r="AK85" s="119">
        <v>110.4</v>
      </c>
      <c r="AL85" s="632"/>
      <c r="AM85" s="296"/>
      <c r="AN85" s="625">
        <v>16</v>
      </c>
      <c r="AO85" s="444">
        <v>32</v>
      </c>
      <c r="AP85" s="444"/>
      <c r="AQ85" s="154">
        <v>16</v>
      </c>
      <c r="AR85" s="154">
        <v>32</v>
      </c>
      <c r="AS85" s="154"/>
      <c r="AT85" s="444"/>
      <c r="AU85" s="444"/>
      <c r="AV85" s="444"/>
      <c r="AW85" s="154"/>
      <c r="AX85" s="154"/>
      <c r="AY85" s="154"/>
      <c r="AZ85" s="444"/>
      <c r="BA85" s="444"/>
      <c r="BB85" s="444"/>
      <c r="BC85" s="154"/>
      <c r="BD85" s="154"/>
      <c r="BE85" s="154"/>
      <c r="BF85" s="444"/>
      <c r="BG85" s="444"/>
      <c r="BH85" s="444"/>
      <c r="BI85" s="154"/>
      <c r="BJ85" s="154"/>
      <c r="BK85" s="154"/>
      <c r="BL85" s="450"/>
      <c r="BM85" s="450"/>
      <c r="BN85" s="450"/>
      <c r="BO85" s="154"/>
      <c r="BP85" s="154"/>
      <c r="BQ85" s="154"/>
      <c r="BR85" s="450"/>
      <c r="BS85" s="450"/>
      <c r="BT85" s="450"/>
      <c r="BU85" s="154"/>
      <c r="BV85" s="154"/>
      <c r="BW85" s="155"/>
      <c r="BX85" s="200" t="s">
        <v>323</v>
      </c>
      <c r="BY85" s="122"/>
    </row>
    <row r="86" spans="1:77" s="201" customFormat="1" ht="37.5" customHeight="1" x14ac:dyDescent="0.25">
      <c r="A86" s="140"/>
      <c r="B86" s="130"/>
      <c r="C86" s="131">
        <v>22</v>
      </c>
      <c r="D86" s="194" t="s">
        <v>243</v>
      </c>
      <c r="E86" s="147">
        <v>8</v>
      </c>
      <c r="F86" s="148">
        <v>288</v>
      </c>
      <c r="G86" s="149">
        <v>4</v>
      </c>
      <c r="H86" s="140">
        <v>4</v>
      </c>
      <c r="I86" s="140"/>
      <c r="J86" s="140"/>
      <c r="K86" s="519"/>
      <c r="L86" s="519"/>
      <c r="M86" s="140"/>
      <c r="N86" s="140"/>
      <c r="O86" s="140"/>
      <c r="P86" s="140"/>
      <c r="Q86" s="140"/>
      <c r="R86" s="150"/>
      <c r="S86" s="151">
        <v>2</v>
      </c>
      <c r="T86" s="152"/>
      <c r="U86" s="152">
        <v>1</v>
      </c>
      <c r="V86" s="153"/>
      <c r="W86" s="112">
        <v>140.80000000000001</v>
      </c>
      <c r="X86" s="113">
        <v>128</v>
      </c>
      <c r="Y86" s="114">
        <v>64</v>
      </c>
      <c r="Z86" s="114">
        <v>64</v>
      </c>
      <c r="AA86" s="115">
        <v>0</v>
      </c>
      <c r="AB86" s="116"/>
      <c r="AC86" s="136"/>
      <c r="AD86" s="117"/>
      <c r="AE86" s="117"/>
      <c r="AF86" s="117"/>
      <c r="AG86" s="118"/>
      <c r="AH86" s="137"/>
      <c r="AI86" s="137"/>
      <c r="AJ86" s="138"/>
      <c r="AK86" s="119">
        <v>147.19999999999999</v>
      </c>
      <c r="AL86" s="632"/>
      <c r="AM86" s="296"/>
      <c r="AN86" s="625">
        <v>32</v>
      </c>
      <c r="AO86" s="444">
        <v>32</v>
      </c>
      <c r="AP86" s="444"/>
      <c r="AQ86" s="154">
        <v>32</v>
      </c>
      <c r="AR86" s="154">
        <v>32</v>
      </c>
      <c r="AS86" s="154"/>
      <c r="AT86" s="444"/>
      <c r="AU86" s="444"/>
      <c r="AV86" s="444"/>
      <c r="AW86" s="154"/>
      <c r="AX86" s="154"/>
      <c r="AY86" s="154"/>
      <c r="AZ86" s="444"/>
      <c r="BA86" s="444"/>
      <c r="BB86" s="444"/>
      <c r="BC86" s="154"/>
      <c r="BD86" s="154"/>
      <c r="BE86" s="154"/>
      <c r="BF86" s="444"/>
      <c r="BG86" s="444"/>
      <c r="BH86" s="444"/>
      <c r="BI86" s="154"/>
      <c r="BJ86" s="154"/>
      <c r="BK86" s="154"/>
      <c r="BL86" s="450"/>
      <c r="BM86" s="450"/>
      <c r="BN86" s="450"/>
      <c r="BO86" s="154"/>
      <c r="BP86" s="154"/>
      <c r="BQ86" s="154"/>
      <c r="BR86" s="450"/>
      <c r="BS86" s="450"/>
      <c r="BT86" s="450"/>
      <c r="BU86" s="154"/>
      <c r="BV86" s="154"/>
      <c r="BW86" s="155"/>
      <c r="BX86" s="200" t="s">
        <v>323</v>
      </c>
      <c r="BY86" s="122">
        <f t="shared" ref="BY86:BY91" si="14">X86/F86*100</f>
        <v>44.444444444444443</v>
      </c>
    </row>
    <row r="87" spans="1:77" s="201" customFormat="1" ht="28.5" customHeight="1" x14ac:dyDescent="0.25">
      <c r="A87" s="140"/>
      <c r="B87" s="130"/>
      <c r="C87" s="131">
        <v>23</v>
      </c>
      <c r="D87" s="194" t="s">
        <v>244</v>
      </c>
      <c r="E87" s="147">
        <v>4</v>
      </c>
      <c r="F87" s="148">
        <v>144</v>
      </c>
      <c r="G87" s="149"/>
      <c r="H87" s="140"/>
      <c r="I87" s="140">
        <v>4</v>
      </c>
      <c r="J87" s="140"/>
      <c r="K87" s="519"/>
      <c r="L87" s="519"/>
      <c r="M87" s="140"/>
      <c r="N87" s="140"/>
      <c r="O87" s="140"/>
      <c r="P87" s="140"/>
      <c r="Q87" s="140"/>
      <c r="R87" s="150"/>
      <c r="S87" s="151">
        <v>3</v>
      </c>
      <c r="T87" s="152"/>
      <c r="U87" s="152"/>
      <c r="V87" s="153"/>
      <c r="W87" s="112">
        <v>70.400000000000006</v>
      </c>
      <c r="X87" s="113">
        <v>64</v>
      </c>
      <c r="Y87" s="114">
        <v>32</v>
      </c>
      <c r="Z87" s="114">
        <v>32</v>
      </c>
      <c r="AA87" s="115">
        <v>0</v>
      </c>
      <c r="AB87" s="116"/>
      <c r="AC87" s="136"/>
      <c r="AD87" s="117"/>
      <c r="AE87" s="117"/>
      <c r="AF87" s="117"/>
      <c r="AG87" s="118"/>
      <c r="AH87" s="137"/>
      <c r="AI87" s="137"/>
      <c r="AJ87" s="138"/>
      <c r="AK87" s="119">
        <v>73.599999999999994</v>
      </c>
      <c r="AL87" s="632"/>
      <c r="AM87" s="296"/>
      <c r="AN87" s="625"/>
      <c r="AO87" s="444"/>
      <c r="AP87" s="444"/>
      <c r="AQ87" s="154"/>
      <c r="AR87" s="154"/>
      <c r="AS87" s="154"/>
      <c r="AT87" s="444">
        <v>32</v>
      </c>
      <c r="AU87" s="444">
        <v>32</v>
      </c>
      <c r="AV87" s="444"/>
      <c r="AW87" s="154"/>
      <c r="AX87" s="154"/>
      <c r="AY87" s="154"/>
      <c r="AZ87" s="444"/>
      <c r="BA87" s="444"/>
      <c r="BB87" s="444"/>
      <c r="BC87" s="154"/>
      <c r="BD87" s="154"/>
      <c r="BE87" s="154"/>
      <c r="BF87" s="444"/>
      <c r="BG87" s="444"/>
      <c r="BH87" s="444"/>
      <c r="BI87" s="154"/>
      <c r="BJ87" s="154"/>
      <c r="BK87" s="154"/>
      <c r="BL87" s="450"/>
      <c r="BM87" s="450"/>
      <c r="BN87" s="450"/>
      <c r="BO87" s="154"/>
      <c r="BP87" s="154"/>
      <c r="BQ87" s="154"/>
      <c r="BR87" s="450"/>
      <c r="BS87" s="450"/>
      <c r="BT87" s="450"/>
      <c r="BU87" s="154"/>
      <c r="BV87" s="154"/>
      <c r="BW87" s="155"/>
      <c r="BX87" s="200" t="s">
        <v>323</v>
      </c>
      <c r="BY87" s="122">
        <f t="shared" si="14"/>
        <v>44.444444444444443</v>
      </c>
    </row>
    <row r="88" spans="1:77" s="201" customFormat="1" ht="28.5" hidden="1" customHeight="1" x14ac:dyDescent="0.25">
      <c r="A88" s="140"/>
      <c r="B88" s="130"/>
      <c r="C88" s="131">
        <v>34</v>
      </c>
      <c r="D88" s="205" t="s">
        <v>185</v>
      </c>
      <c r="E88" s="147">
        <f>G88+H88+I88+J88+K88+L88+M88+N88+O88+P88+Q88+R88</f>
        <v>0</v>
      </c>
      <c r="F88" s="148">
        <f t="shared" si="2"/>
        <v>0</v>
      </c>
      <c r="G88" s="149"/>
      <c r="H88" s="140"/>
      <c r="I88" s="140"/>
      <c r="J88" s="140"/>
      <c r="K88" s="519"/>
      <c r="L88" s="519"/>
      <c r="M88" s="140"/>
      <c r="N88" s="140"/>
      <c r="O88" s="140"/>
      <c r="P88" s="140"/>
      <c r="Q88" s="140"/>
      <c r="R88" s="150"/>
      <c r="S88" s="151"/>
      <c r="T88" s="152"/>
      <c r="U88" s="152"/>
      <c r="V88" s="153"/>
      <c r="W88" s="112">
        <f t="shared" ref="W88:W93" si="15">X88+X88*0.1</f>
        <v>0</v>
      </c>
      <c r="X88" s="113">
        <f t="shared" ref="X88:X93" si="16">SUM(Y88:AA88)</f>
        <v>0</v>
      </c>
      <c r="Y88" s="114">
        <f t="shared" ref="Y88:Y93" si="17">AN88+AQ88+AT88+AW88+AZ88+BC88+BF88+BI88+BL88+BO88+BR88+BU88</f>
        <v>0</v>
      </c>
      <c r="Z88" s="114">
        <f t="shared" ref="Z88:AA93" si="18">AO88+AR88+AU88+AX88+BA88+BD88+BG88+BJ88+BM88+BP88+BS88+BV88</f>
        <v>0</v>
      </c>
      <c r="AA88" s="115">
        <f t="shared" si="18"/>
        <v>0</v>
      </c>
      <c r="AB88" s="116"/>
      <c r="AC88" s="136"/>
      <c r="AD88" s="117"/>
      <c r="AE88" s="117"/>
      <c r="AF88" s="117"/>
      <c r="AG88" s="118"/>
      <c r="AH88" s="137"/>
      <c r="AI88" s="137"/>
      <c r="AJ88" s="138"/>
      <c r="AK88" s="119">
        <f>F88-W88</f>
        <v>0</v>
      </c>
      <c r="AL88" s="632"/>
      <c r="AM88" s="296"/>
      <c r="AN88" s="625"/>
      <c r="AO88" s="444"/>
      <c r="AP88" s="444"/>
      <c r="AQ88" s="154"/>
      <c r="AR88" s="154"/>
      <c r="AS88" s="154"/>
      <c r="AT88" s="444"/>
      <c r="AU88" s="444"/>
      <c r="AV88" s="444"/>
      <c r="AW88" s="154"/>
      <c r="AX88" s="154"/>
      <c r="AY88" s="154"/>
      <c r="AZ88" s="444"/>
      <c r="BA88" s="444"/>
      <c r="BB88" s="444"/>
      <c r="BC88" s="154"/>
      <c r="BD88" s="154"/>
      <c r="BE88" s="154"/>
      <c r="BF88" s="444"/>
      <c r="BG88" s="444"/>
      <c r="BH88" s="444"/>
      <c r="BI88" s="154"/>
      <c r="BJ88" s="154"/>
      <c r="BK88" s="154"/>
      <c r="BL88" s="114"/>
      <c r="BM88" s="114"/>
      <c r="BN88" s="114"/>
      <c r="BO88" s="154"/>
      <c r="BP88" s="154"/>
      <c r="BQ88" s="154"/>
      <c r="BR88" s="114"/>
      <c r="BS88" s="114"/>
      <c r="BT88" s="114"/>
      <c r="BU88" s="154"/>
      <c r="BV88" s="154"/>
      <c r="BW88" s="155"/>
      <c r="BX88" s="202"/>
      <c r="BY88" s="122" t="e">
        <f t="shared" si="14"/>
        <v>#DIV/0!</v>
      </c>
    </row>
    <row r="89" spans="1:77" s="201" customFormat="1" ht="28.5" hidden="1" customHeight="1" x14ac:dyDescent="0.25">
      <c r="A89" s="140"/>
      <c r="B89" s="130"/>
      <c r="C89" s="131">
        <v>35</v>
      </c>
      <c r="D89" s="205" t="s">
        <v>185</v>
      </c>
      <c r="E89" s="147">
        <f>G89+H89+I89+J89+K89+L89+M89+N89+O89+P89+Q89+R89</f>
        <v>0</v>
      </c>
      <c r="F89" s="148">
        <f t="shared" si="2"/>
        <v>0</v>
      </c>
      <c r="G89" s="149"/>
      <c r="H89" s="140"/>
      <c r="I89" s="140"/>
      <c r="J89" s="140"/>
      <c r="K89" s="519"/>
      <c r="L89" s="519"/>
      <c r="M89" s="140"/>
      <c r="N89" s="140"/>
      <c r="O89" s="140"/>
      <c r="P89" s="140"/>
      <c r="Q89" s="140"/>
      <c r="R89" s="150"/>
      <c r="S89" s="151"/>
      <c r="T89" s="152"/>
      <c r="U89" s="152"/>
      <c r="V89" s="153"/>
      <c r="W89" s="112">
        <f t="shared" si="15"/>
        <v>0</v>
      </c>
      <c r="X89" s="113">
        <f t="shared" si="16"/>
        <v>0</v>
      </c>
      <c r="Y89" s="114">
        <f t="shared" si="17"/>
        <v>0</v>
      </c>
      <c r="Z89" s="114">
        <f t="shared" si="18"/>
        <v>0</v>
      </c>
      <c r="AA89" s="115">
        <f t="shared" si="18"/>
        <v>0</v>
      </c>
      <c r="AB89" s="116"/>
      <c r="AC89" s="136"/>
      <c r="AD89" s="117"/>
      <c r="AE89" s="117"/>
      <c r="AF89" s="117"/>
      <c r="AG89" s="118"/>
      <c r="AH89" s="137"/>
      <c r="AI89" s="137"/>
      <c r="AJ89" s="138"/>
      <c r="AK89" s="119">
        <f>F89-W89</f>
        <v>0</v>
      </c>
      <c r="AL89" s="632"/>
      <c r="AM89" s="296"/>
      <c r="AN89" s="625"/>
      <c r="AO89" s="444"/>
      <c r="AP89" s="444"/>
      <c r="AQ89" s="154"/>
      <c r="AR89" s="154"/>
      <c r="AS89" s="154"/>
      <c r="AT89" s="444"/>
      <c r="AU89" s="444"/>
      <c r="AV89" s="444"/>
      <c r="AW89" s="154"/>
      <c r="AX89" s="154"/>
      <c r="AY89" s="154"/>
      <c r="AZ89" s="444"/>
      <c r="BA89" s="444"/>
      <c r="BB89" s="444"/>
      <c r="BC89" s="154"/>
      <c r="BD89" s="154"/>
      <c r="BE89" s="154"/>
      <c r="BF89" s="444"/>
      <c r="BG89" s="444"/>
      <c r="BH89" s="444"/>
      <c r="BI89" s="154"/>
      <c r="BJ89" s="154"/>
      <c r="BK89" s="154"/>
      <c r="BL89" s="114"/>
      <c r="BM89" s="114"/>
      <c r="BN89" s="114"/>
      <c r="BO89" s="154"/>
      <c r="BP89" s="154"/>
      <c r="BQ89" s="154"/>
      <c r="BR89" s="114"/>
      <c r="BS89" s="114"/>
      <c r="BT89" s="114"/>
      <c r="BU89" s="154"/>
      <c r="BV89" s="154"/>
      <c r="BW89" s="155"/>
      <c r="BX89" s="202"/>
      <c r="BY89" s="122" t="e">
        <f t="shared" si="14"/>
        <v>#DIV/0!</v>
      </c>
    </row>
    <row r="90" spans="1:77" s="201" customFormat="1" ht="28.5" hidden="1" customHeight="1" x14ac:dyDescent="0.25">
      <c r="A90" s="140"/>
      <c r="B90" s="130"/>
      <c r="C90" s="131">
        <v>36</v>
      </c>
      <c r="D90" s="205" t="s">
        <v>185</v>
      </c>
      <c r="E90" s="147">
        <f>G90+H90+I90+J90+K90+L90+M90+N90+O90+P90+Q90+R90</f>
        <v>0</v>
      </c>
      <c r="F90" s="148">
        <f t="shared" si="2"/>
        <v>0</v>
      </c>
      <c r="G90" s="149"/>
      <c r="H90" s="140"/>
      <c r="I90" s="140"/>
      <c r="J90" s="140"/>
      <c r="K90" s="519"/>
      <c r="L90" s="519"/>
      <c r="M90" s="140"/>
      <c r="N90" s="140"/>
      <c r="O90" s="140"/>
      <c r="P90" s="140"/>
      <c r="Q90" s="140"/>
      <c r="R90" s="150"/>
      <c r="S90" s="151"/>
      <c r="T90" s="152"/>
      <c r="U90" s="152"/>
      <c r="V90" s="153"/>
      <c r="W90" s="112">
        <f t="shared" si="15"/>
        <v>0</v>
      </c>
      <c r="X90" s="113">
        <f t="shared" si="16"/>
        <v>0</v>
      </c>
      <c r="Y90" s="114">
        <f t="shared" si="17"/>
        <v>0</v>
      </c>
      <c r="Z90" s="114">
        <f t="shared" si="18"/>
        <v>0</v>
      </c>
      <c r="AA90" s="115">
        <f t="shared" si="18"/>
        <v>0</v>
      </c>
      <c r="AB90" s="116"/>
      <c r="AC90" s="136"/>
      <c r="AD90" s="117"/>
      <c r="AE90" s="117"/>
      <c r="AF90" s="117"/>
      <c r="AG90" s="118"/>
      <c r="AH90" s="137"/>
      <c r="AI90" s="137"/>
      <c r="AJ90" s="138"/>
      <c r="AK90" s="119">
        <f>F90-W90</f>
        <v>0</v>
      </c>
      <c r="AL90" s="632"/>
      <c r="AM90" s="296"/>
      <c r="AN90" s="625"/>
      <c r="AO90" s="444"/>
      <c r="AP90" s="444"/>
      <c r="AQ90" s="154"/>
      <c r="AR90" s="154"/>
      <c r="AS90" s="154"/>
      <c r="AT90" s="444"/>
      <c r="AU90" s="444"/>
      <c r="AV90" s="444"/>
      <c r="AW90" s="154"/>
      <c r="AX90" s="154"/>
      <c r="AY90" s="154"/>
      <c r="AZ90" s="444"/>
      <c r="BA90" s="444"/>
      <c r="BB90" s="444"/>
      <c r="BC90" s="154"/>
      <c r="BD90" s="154"/>
      <c r="BE90" s="154"/>
      <c r="BF90" s="444"/>
      <c r="BG90" s="444"/>
      <c r="BH90" s="444"/>
      <c r="BI90" s="154"/>
      <c r="BJ90" s="154"/>
      <c r="BK90" s="154"/>
      <c r="BL90" s="114"/>
      <c r="BM90" s="114"/>
      <c r="BN90" s="114"/>
      <c r="BO90" s="154"/>
      <c r="BP90" s="154"/>
      <c r="BQ90" s="154"/>
      <c r="BR90" s="114"/>
      <c r="BS90" s="114"/>
      <c r="BT90" s="114"/>
      <c r="BU90" s="154"/>
      <c r="BV90" s="154"/>
      <c r="BW90" s="155"/>
      <c r="BX90" s="202"/>
      <c r="BY90" s="122" t="e">
        <f t="shared" si="14"/>
        <v>#DIV/0!</v>
      </c>
    </row>
    <row r="91" spans="1:77" s="201" customFormat="1" ht="32.25" hidden="1" customHeight="1" x14ac:dyDescent="0.25">
      <c r="A91" s="140"/>
      <c r="B91" s="130"/>
      <c r="C91" s="131">
        <v>37</v>
      </c>
      <c r="D91" s="205" t="s">
        <v>185</v>
      </c>
      <c r="E91" s="147">
        <f>G91+H91+I91+J91+K91+L91+M91+N91+O91+P91+Q91+R91</f>
        <v>0</v>
      </c>
      <c r="F91" s="148">
        <f t="shared" si="2"/>
        <v>0</v>
      </c>
      <c r="G91" s="149"/>
      <c r="H91" s="140"/>
      <c r="I91" s="140"/>
      <c r="J91" s="140"/>
      <c r="K91" s="519"/>
      <c r="L91" s="519"/>
      <c r="M91" s="140"/>
      <c r="N91" s="140"/>
      <c r="O91" s="140"/>
      <c r="P91" s="140"/>
      <c r="Q91" s="140"/>
      <c r="R91" s="150"/>
      <c r="S91" s="151"/>
      <c r="T91" s="152"/>
      <c r="U91" s="152"/>
      <c r="V91" s="153"/>
      <c r="W91" s="112">
        <f t="shared" si="15"/>
        <v>0</v>
      </c>
      <c r="X91" s="113">
        <f t="shared" si="16"/>
        <v>0</v>
      </c>
      <c r="Y91" s="114">
        <f t="shared" si="17"/>
        <v>0</v>
      </c>
      <c r="Z91" s="114">
        <f t="shared" si="18"/>
        <v>0</v>
      </c>
      <c r="AA91" s="115">
        <f t="shared" si="18"/>
        <v>0</v>
      </c>
      <c r="AB91" s="116"/>
      <c r="AC91" s="136"/>
      <c r="AD91" s="117"/>
      <c r="AE91" s="117"/>
      <c r="AF91" s="117"/>
      <c r="AG91" s="118"/>
      <c r="AH91" s="137"/>
      <c r="AI91" s="137"/>
      <c r="AJ91" s="138"/>
      <c r="AK91" s="119">
        <f>F91-W91</f>
        <v>0</v>
      </c>
      <c r="AL91" s="632"/>
      <c r="AM91" s="296"/>
      <c r="AN91" s="625"/>
      <c r="AO91" s="444"/>
      <c r="AP91" s="444"/>
      <c r="AQ91" s="154"/>
      <c r="AR91" s="154"/>
      <c r="AS91" s="154"/>
      <c r="AT91" s="444"/>
      <c r="AU91" s="444"/>
      <c r="AV91" s="444"/>
      <c r="AW91" s="154"/>
      <c r="AX91" s="154"/>
      <c r="AY91" s="154"/>
      <c r="AZ91" s="444"/>
      <c r="BA91" s="444"/>
      <c r="BB91" s="444"/>
      <c r="BC91" s="154"/>
      <c r="BD91" s="154"/>
      <c r="BE91" s="154"/>
      <c r="BF91" s="444"/>
      <c r="BG91" s="444"/>
      <c r="BH91" s="444"/>
      <c r="BI91" s="154"/>
      <c r="BJ91" s="154"/>
      <c r="BK91" s="154"/>
      <c r="BL91" s="114"/>
      <c r="BM91" s="114"/>
      <c r="BN91" s="114"/>
      <c r="BO91" s="154"/>
      <c r="BP91" s="154"/>
      <c r="BQ91" s="154"/>
      <c r="BR91" s="114"/>
      <c r="BS91" s="114"/>
      <c r="BT91" s="114"/>
      <c r="BU91" s="154"/>
      <c r="BV91" s="154"/>
      <c r="BW91" s="155"/>
      <c r="BX91" s="202"/>
      <c r="BY91" s="122" t="e">
        <f t="shared" si="14"/>
        <v>#DIV/0!</v>
      </c>
    </row>
    <row r="92" spans="1:77" s="201" customFormat="1" ht="31.5" customHeight="1" x14ac:dyDescent="0.25">
      <c r="A92" s="130"/>
      <c r="B92" s="130"/>
      <c r="C92" s="131"/>
      <c r="D92" s="195" t="s">
        <v>131</v>
      </c>
      <c r="E92" s="196">
        <f>E93</f>
        <v>6</v>
      </c>
      <c r="F92" s="197">
        <f t="shared" si="2"/>
        <v>216</v>
      </c>
      <c r="G92" s="133"/>
      <c r="H92" s="134"/>
      <c r="I92" s="134"/>
      <c r="J92" s="134"/>
      <c r="K92" s="353"/>
      <c r="L92" s="353"/>
      <c r="M92" s="134"/>
      <c r="N92" s="134"/>
      <c r="O92" s="134"/>
      <c r="P92" s="134"/>
      <c r="Q92" s="134"/>
      <c r="R92" s="135"/>
      <c r="S92" s="109"/>
      <c r="T92" s="110"/>
      <c r="U92" s="110"/>
      <c r="V92" s="111"/>
      <c r="W92" s="112">
        <f t="shared" si="15"/>
        <v>0</v>
      </c>
      <c r="X92" s="113">
        <f t="shared" si="16"/>
        <v>0</v>
      </c>
      <c r="Y92" s="457">
        <f t="shared" si="17"/>
        <v>0</v>
      </c>
      <c r="Z92" s="457">
        <f t="shared" si="18"/>
        <v>0</v>
      </c>
      <c r="AA92" s="115">
        <f t="shared" si="18"/>
        <v>0</v>
      </c>
      <c r="AB92" s="116"/>
      <c r="AC92" s="136"/>
      <c r="AD92" s="117"/>
      <c r="AE92" s="117"/>
      <c r="AF92" s="117"/>
      <c r="AG92" s="118"/>
      <c r="AH92" s="137"/>
      <c r="AI92" s="137"/>
      <c r="AJ92" s="138"/>
      <c r="AK92" s="119"/>
      <c r="AL92" s="632"/>
      <c r="AM92" s="296"/>
      <c r="AN92" s="624"/>
      <c r="AO92" s="612"/>
      <c r="AP92" s="612"/>
      <c r="AQ92" s="612"/>
      <c r="AR92" s="612"/>
      <c r="AS92" s="612"/>
      <c r="AT92" s="612"/>
      <c r="AU92" s="612"/>
      <c r="AV92" s="612"/>
      <c r="AW92" s="612"/>
      <c r="AX92" s="612"/>
      <c r="AY92" s="612"/>
      <c r="AZ92" s="612"/>
      <c r="BA92" s="612"/>
      <c r="BB92" s="612"/>
      <c r="BC92" s="612"/>
      <c r="BD92" s="612"/>
      <c r="BE92" s="612"/>
      <c r="BF92" s="612"/>
      <c r="BG92" s="612"/>
      <c r="BH92" s="612"/>
      <c r="BI92" s="612"/>
      <c r="BJ92" s="612"/>
      <c r="BK92" s="612"/>
      <c r="BL92" s="612"/>
      <c r="BM92" s="612"/>
      <c r="BN92" s="612"/>
      <c r="BO92" s="612"/>
      <c r="BP92" s="612"/>
      <c r="BQ92" s="612"/>
      <c r="BR92" s="612"/>
      <c r="BS92" s="612"/>
      <c r="BT92" s="612"/>
      <c r="BU92" s="612"/>
      <c r="BV92" s="612"/>
      <c r="BW92" s="115"/>
      <c r="BX92" s="139"/>
      <c r="BY92" s="120"/>
    </row>
    <row r="93" spans="1:77" s="201" customFormat="1" ht="33.75" customHeight="1" x14ac:dyDescent="0.25">
      <c r="A93" s="140"/>
      <c r="B93" s="130" t="s">
        <v>204</v>
      </c>
      <c r="C93" s="904">
        <v>24</v>
      </c>
      <c r="D93" s="194" t="s">
        <v>220</v>
      </c>
      <c r="E93" s="797">
        <f>G93+H93+I93+J93+K93+L93+M93+N93+O93+P93+Q93+R93</f>
        <v>6</v>
      </c>
      <c r="F93" s="703">
        <f t="shared" si="2"/>
        <v>216</v>
      </c>
      <c r="G93" s="705"/>
      <c r="H93" s="693"/>
      <c r="I93" s="693"/>
      <c r="J93" s="693"/>
      <c r="K93" s="709"/>
      <c r="L93" s="709"/>
      <c r="M93" s="693">
        <v>4</v>
      </c>
      <c r="N93" s="693">
        <v>2</v>
      </c>
      <c r="O93" s="693"/>
      <c r="P93" s="693"/>
      <c r="Q93" s="693"/>
      <c r="R93" s="695"/>
      <c r="S93" s="750">
        <v>8</v>
      </c>
      <c r="T93" s="753"/>
      <c r="U93" s="753">
        <v>7</v>
      </c>
      <c r="V93" s="731">
        <v>7</v>
      </c>
      <c r="W93" s="717">
        <f t="shared" si="15"/>
        <v>105.6</v>
      </c>
      <c r="X93" s="719">
        <f t="shared" si="16"/>
        <v>96</v>
      </c>
      <c r="Y93" s="721">
        <f t="shared" si="17"/>
        <v>48</v>
      </c>
      <c r="Z93" s="721">
        <f t="shared" si="18"/>
        <v>48</v>
      </c>
      <c r="AA93" s="723">
        <f t="shared" si="18"/>
        <v>0</v>
      </c>
      <c r="AB93" s="116"/>
      <c r="AC93" s="136"/>
      <c r="AD93" s="117"/>
      <c r="AE93" s="117"/>
      <c r="AF93" s="117"/>
      <c r="AG93" s="118"/>
      <c r="AH93" s="137"/>
      <c r="AI93" s="137"/>
      <c r="AJ93" s="138"/>
      <c r="AK93" s="717">
        <f>F93-W93</f>
        <v>110.4</v>
      </c>
      <c r="AL93" s="946"/>
      <c r="AM93" s="948"/>
      <c r="AN93" s="739"/>
      <c r="AO93" s="736"/>
      <c r="AP93" s="487"/>
      <c r="AQ93" s="744"/>
      <c r="AR93" s="744"/>
      <c r="AS93" s="744"/>
      <c r="AT93" s="487"/>
      <c r="AU93" s="487"/>
      <c r="AV93" s="487"/>
      <c r="AW93" s="744"/>
      <c r="AX93" s="744"/>
      <c r="AY93" s="744"/>
      <c r="AZ93" s="736"/>
      <c r="BA93" s="487"/>
      <c r="BB93" s="736"/>
      <c r="BC93" s="744"/>
      <c r="BD93" s="744"/>
      <c r="BE93" s="744"/>
      <c r="BF93" s="736">
        <v>32</v>
      </c>
      <c r="BG93" s="736">
        <v>32</v>
      </c>
      <c r="BH93" s="736"/>
      <c r="BI93" s="744">
        <v>16</v>
      </c>
      <c r="BJ93" s="744">
        <v>16</v>
      </c>
      <c r="BK93" s="744"/>
      <c r="BL93" s="736"/>
      <c r="BM93" s="736"/>
      <c r="BN93" s="736"/>
      <c r="BO93" s="744"/>
      <c r="BP93" s="744"/>
      <c r="BQ93" s="744"/>
      <c r="BR93" s="736"/>
      <c r="BS93" s="736"/>
      <c r="BT93" s="736"/>
      <c r="BU93" s="744"/>
      <c r="BV93" s="744"/>
      <c r="BW93" s="910"/>
      <c r="BX93" s="200" t="s">
        <v>323</v>
      </c>
      <c r="BY93" s="908">
        <f>X93/F93*100</f>
        <v>44.444444444444443</v>
      </c>
    </row>
    <row r="94" spans="1:77" s="201" customFormat="1" ht="32.25" customHeight="1" x14ac:dyDescent="0.25">
      <c r="A94" s="140"/>
      <c r="B94" s="130" t="s">
        <v>204</v>
      </c>
      <c r="C94" s="758"/>
      <c r="D94" s="194" t="s">
        <v>221</v>
      </c>
      <c r="E94" s="798"/>
      <c r="F94" s="762"/>
      <c r="G94" s="771"/>
      <c r="H94" s="694"/>
      <c r="I94" s="694"/>
      <c r="J94" s="694"/>
      <c r="K94" s="772"/>
      <c r="L94" s="772"/>
      <c r="M94" s="694"/>
      <c r="N94" s="694"/>
      <c r="O94" s="694"/>
      <c r="P94" s="694"/>
      <c r="Q94" s="694"/>
      <c r="R94" s="696"/>
      <c r="S94" s="765"/>
      <c r="T94" s="766"/>
      <c r="U94" s="766"/>
      <c r="V94" s="768"/>
      <c r="W94" s="730"/>
      <c r="X94" s="756"/>
      <c r="Y94" s="757"/>
      <c r="Z94" s="757"/>
      <c r="AA94" s="729"/>
      <c r="AB94" s="116"/>
      <c r="AC94" s="136"/>
      <c r="AD94" s="117"/>
      <c r="AE94" s="117"/>
      <c r="AF94" s="117"/>
      <c r="AG94" s="118"/>
      <c r="AH94" s="137"/>
      <c r="AI94" s="137"/>
      <c r="AJ94" s="138"/>
      <c r="AK94" s="730"/>
      <c r="AL94" s="947"/>
      <c r="AM94" s="949"/>
      <c r="AN94" s="769"/>
      <c r="AO94" s="770"/>
      <c r="AP94" s="488"/>
      <c r="AQ94" s="694"/>
      <c r="AR94" s="694"/>
      <c r="AS94" s="694"/>
      <c r="AT94" s="488"/>
      <c r="AU94" s="488"/>
      <c r="AV94" s="488"/>
      <c r="AW94" s="694"/>
      <c r="AX94" s="694"/>
      <c r="AY94" s="694"/>
      <c r="AZ94" s="770"/>
      <c r="BA94" s="488"/>
      <c r="BB94" s="770"/>
      <c r="BC94" s="694"/>
      <c r="BD94" s="694"/>
      <c r="BE94" s="694"/>
      <c r="BF94" s="770"/>
      <c r="BG94" s="770"/>
      <c r="BH94" s="770"/>
      <c r="BI94" s="694"/>
      <c r="BJ94" s="694"/>
      <c r="BK94" s="745"/>
      <c r="BL94" s="737"/>
      <c r="BM94" s="737"/>
      <c r="BN94" s="737"/>
      <c r="BO94" s="745"/>
      <c r="BP94" s="745"/>
      <c r="BQ94" s="745"/>
      <c r="BR94" s="737"/>
      <c r="BS94" s="737"/>
      <c r="BT94" s="737"/>
      <c r="BU94" s="745"/>
      <c r="BV94" s="745"/>
      <c r="BW94" s="911"/>
      <c r="BX94" s="200" t="s">
        <v>323</v>
      </c>
      <c r="BY94" s="909"/>
    </row>
    <row r="95" spans="1:77" s="70" customFormat="1" ht="37.5" customHeight="1" x14ac:dyDescent="0.25">
      <c r="A95" s="130"/>
      <c r="B95" s="130"/>
      <c r="C95" s="131"/>
      <c r="D95" s="103" t="s">
        <v>132</v>
      </c>
      <c r="E95" s="104">
        <f>E96+E117+E131</f>
        <v>100</v>
      </c>
      <c r="F95" s="105">
        <f t="shared" si="2"/>
        <v>3600</v>
      </c>
      <c r="G95" s="133"/>
      <c r="H95" s="134"/>
      <c r="I95" s="134"/>
      <c r="J95" s="134"/>
      <c r="K95" s="134"/>
      <c r="L95" s="134"/>
      <c r="M95" s="134"/>
      <c r="N95" s="134"/>
      <c r="O95" s="134"/>
      <c r="P95" s="134"/>
      <c r="Q95" s="134"/>
      <c r="R95" s="135"/>
      <c r="S95" s="109"/>
      <c r="T95" s="110"/>
      <c r="U95" s="110"/>
      <c r="V95" s="111"/>
      <c r="W95" s="112"/>
      <c r="X95" s="113"/>
      <c r="Y95" s="114"/>
      <c r="Z95" s="114"/>
      <c r="AA95" s="115"/>
      <c r="AB95" s="116"/>
      <c r="AC95" s="136"/>
      <c r="AD95" s="117"/>
      <c r="AE95" s="117"/>
      <c r="AF95" s="117"/>
      <c r="AG95" s="118"/>
      <c r="AH95" s="137"/>
      <c r="AI95" s="137"/>
      <c r="AJ95" s="138"/>
      <c r="AK95" s="119"/>
      <c r="AL95" s="632"/>
      <c r="AM95" s="296"/>
      <c r="AN95" s="62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5"/>
      <c r="BX95" s="139"/>
      <c r="BY95" s="612"/>
    </row>
    <row r="96" spans="1:77" s="70" customFormat="1" ht="30" customHeight="1" x14ac:dyDescent="0.25">
      <c r="A96" s="130"/>
      <c r="B96" s="130"/>
      <c r="C96" s="131"/>
      <c r="D96" s="124" t="s">
        <v>133</v>
      </c>
      <c r="E96" s="125">
        <f>E97+E98+E110</f>
        <v>30</v>
      </c>
      <c r="F96" s="126">
        <f>E96*36</f>
        <v>1080</v>
      </c>
      <c r="G96" s="133"/>
      <c r="H96" s="134"/>
      <c r="I96" s="134"/>
      <c r="J96" s="134"/>
      <c r="K96" s="134"/>
      <c r="L96" s="134"/>
      <c r="M96" s="134"/>
      <c r="N96" s="134"/>
      <c r="O96" s="134"/>
      <c r="P96" s="134"/>
      <c r="Q96" s="134"/>
      <c r="R96" s="135"/>
      <c r="S96" s="109"/>
      <c r="T96" s="110"/>
      <c r="U96" s="110"/>
      <c r="V96" s="111"/>
      <c r="W96" s="112">
        <f>X96+X96*0.1</f>
        <v>0</v>
      </c>
      <c r="X96" s="113">
        <f>SUM(Y96:AA96)</f>
        <v>0</v>
      </c>
      <c r="Y96" s="114">
        <f t="shared" ref="Y96:AA97" si="19">AN96+AQ96+AT96+AW96+AZ96+BC96+BF96+BI96+BL96+BO96+BR96+BU96</f>
        <v>0</v>
      </c>
      <c r="Z96" s="114">
        <f t="shared" si="19"/>
        <v>0</v>
      </c>
      <c r="AA96" s="115">
        <f t="shared" si="19"/>
        <v>0</v>
      </c>
      <c r="AB96" s="116"/>
      <c r="AC96" s="136"/>
      <c r="AD96" s="117"/>
      <c r="AE96" s="117"/>
      <c r="AF96" s="117"/>
      <c r="AG96" s="118"/>
      <c r="AH96" s="137"/>
      <c r="AI96" s="137"/>
      <c r="AJ96" s="138"/>
      <c r="AK96" s="119"/>
      <c r="AL96" s="632"/>
      <c r="AM96" s="296"/>
      <c r="AN96" s="62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5"/>
      <c r="BX96" s="139"/>
      <c r="BY96" s="120"/>
    </row>
    <row r="97" spans="1:77" s="70" customFormat="1" ht="54" customHeight="1" x14ac:dyDescent="0.25">
      <c r="A97" s="140"/>
      <c r="B97" s="130" t="s">
        <v>302</v>
      </c>
      <c r="C97" s="131">
        <v>25</v>
      </c>
      <c r="D97" s="141" t="s">
        <v>275</v>
      </c>
      <c r="E97" s="147">
        <v>8</v>
      </c>
      <c r="F97" s="148">
        <f>E97*36</f>
        <v>288</v>
      </c>
      <c r="G97" s="149"/>
      <c r="H97" s="140"/>
      <c r="I97" s="140"/>
      <c r="J97" s="140"/>
      <c r="K97" s="519">
        <v>5</v>
      </c>
      <c r="L97" s="519">
        <v>3</v>
      </c>
      <c r="M97" s="140"/>
      <c r="N97" s="140"/>
      <c r="O97" s="140"/>
      <c r="P97" s="140"/>
      <c r="Q97" s="140"/>
      <c r="R97" s="150"/>
      <c r="S97" s="151">
        <v>6</v>
      </c>
      <c r="T97" s="152"/>
      <c r="U97" s="152">
        <v>5</v>
      </c>
      <c r="V97" s="153"/>
      <c r="W97" s="112">
        <f>X97+X97*0.1</f>
        <v>123.2</v>
      </c>
      <c r="X97" s="113">
        <f>SUM(Y97:AA97)</f>
        <v>112</v>
      </c>
      <c r="Y97" s="114">
        <f t="shared" si="19"/>
        <v>0</v>
      </c>
      <c r="Z97" s="114">
        <f t="shared" si="19"/>
        <v>0</v>
      </c>
      <c r="AA97" s="115">
        <f t="shared" si="19"/>
        <v>112</v>
      </c>
      <c r="AB97" s="116"/>
      <c r="AC97" s="136"/>
      <c r="AD97" s="117"/>
      <c r="AE97" s="117"/>
      <c r="AF97" s="117"/>
      <c r="AG97" s="118"/>
      <c r="AH97" s="137"/>
      <c r="AI97" s="137"/>
      <c r="AJ97" s="138"/>
      <c r="AK97" s="119">
        <f>F97-W97</f>
        <v>164.8</v>
      </c>
      <c r="AL97" s="632"/>
      <c r="AM97" s="296"/>
      <c r="AN97" s="625"/>
      <c r="AO97" s="444"/>
      <c r="AP97" s="444"/>
      <c r="AQ97" s="154"/>
      <c r="AR97" s="154"/>
      <c r="AS97" s="154"/>
      <c r="AT97" s="444"/>
      <c r="AU97" s="444"/>
      <c r="AV97" s="444"/>
      <c r="AW97" s="154"/>
      <c r="AX97" s="154"/>
      <c r="AY97" s="154"/>
      <c r="AZ97" s="444"/>
      <c r="BA97" s="444"/>
      <c r="BB97" s="444">
        <v>64</v>
      </c>
      <c r="BC97" s="154"/>
      <c r="BD97" s="154"/>
      <c r="BE97" s="154">
        <v>48</v>
      </c>
      <c r="BF97" s="444"/>
      <c r="BG97" s="444"/>
      <c r="BH97" s="444"/>
      <c r="BI97" s="154"/>
      <c r="BJ97" s="154"/>
      <c r="BK97" s="154"/>
      <c r="BL97" s="450"/>
      <c r="BM97" s="450"/>
      <c r="BN97" s="450"/>
      <c r="BO97" s="154"/>
      <c r="BP97" s="154"/>
      <c r="BQ97" s="154"/>
      <c r="BR97" s="450"/>
      <c r="BS97" s="450"/>
      <c r="BT97" s="450"/>
      <c r="BU97" s="154"/>
      <c r="BV97" s="154"/>
      <c r="BW97" s="155"/>
      <c r="BX97" s="200" t="s">
        <v>281</v>
      </c>
      <c r="BY97" s="122">
        <f>X97/F97*100</f>
        <v>38.888888888888893</v>
      </c>
    </row>
    <row r="98" spans="1:77" s="70" customFormat="1" ht="33.75" customHeight="1" x14ac:dyDescent="0.25">
      <c r="A98" s="130"/>
      <c r="B98" s="130"/>
      <c r="C98" s="760">
        <v>26</v>
      </c>
      <c r="D98" s="132" t="s">
        <v>190</v>
      </c>
      <c r="E98" s="209">
        <f>SUM(E99:E109)</f>
        <v>6</v>
      </c>
      <c r="F98" s="210">
        <f>E98*36</f>
        <v>216</v>
      </c>
      <c r="G98" s="133"/>
      <c r="H98" s="134"/>
      <c r="I98" s="134"/>
      <c r="J98" s="134"/>
      <c r="K98" s="353"/>
      <c r="L98" s="353"/>
      <c r="M98" s="134"/>
      <c r="N98" s="134"/>
      <c r="O98" s="134"/>
      <c r="P98" s="134"/>
      <c r="Q98" s="134"/>
      <c r="R98" s="135"/>
      <c r="S98" s="109"/>
      <c r="T98" s="110"/>
      <c r="U98" s="110"/>
      <c r="V98" s="111"/>
      <c r="W98" s="112"/>
      <c r="X98" s="113"/>
      <c r="Y98" s="114"/>
      <c r="Z98" s="114"/>
      <c r="AA98" s="115"/>
      <c r="AB98" s="116"/>
      <c r="AC98" s="136"/>
      <c r="AD98" s="117"/>
      <c r="AE98" s="117"/>
      <c r="AF98" s="117"/>
      <c r="AG98" s="118"/>
      <c r="AH98" s="137"/>
      <c r="AI98" s="137"/>
      <c r="AJ98" s="138"/>
      <c r="AK98" s="119"/>
      <c r="AL98" s="632"/>
      <c r="AM98" s="296"/>
      <c r="AN98" s="62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5"/>
      <c r="BX98" s="139"/>
      <c r="BY98" s="120"/>
    </row>
    <row r="99" spans="1:77" s="70" customFormat="1" ht="25.5" hidden="1" customHeight="1" x14ac:dyDescent="0.25">
      <c r="A99" s="140"/>
      <c r="B99" s="130" t="s">
        <v>206</v>
      </c>
      <c r="C99" s="760"/>
      <c r="D99" s="127" t="s">
        <v>222</v>
      </c>
      <c r="E99" s="701">
        <f>G99+H99+I99+J99+K99+L99+M99+N99+O99+P99+Q99+R99</f>
        <v>3</v>
      </c>
      <c r="F99" s="703">
        <f>E99*36</f>
        <v>108</v>
      </c>
      <c r="G99" s="705"/>
      <c r="H99" s="693"/>
      <c r="I99" s="693"/>
      <c r="J99" s="693"/>
      <c r="K99" s="709">
        <v>3</v>
      </c>
      <c r="L99" s="709"/>
      <c r="M99" s="693"/>
      <c r="N99" s="693"/>
      <c r="O99" s="491"/>
      <c r="P99" s="491"/>
      <c r="Q99" s="491"/>
      <c r="R99" s="492"/>
      <c r="S99" s="750"/>
      <c r="T99" s="753"/>
      <c r="U99" s="753">
        <v>5</v>
      </c>
      <c r="V99" s="731"/>
      <c r="W99" s="764">
        <f>X99+X99*0.1</f>
        <v>52.8</v>
      </c>
      <c r="X99" s="719">
        <f>SUM(Y99:AA99)</f>
        <v>48</v>
      </c>
      <c r="Y99" s="721">
        <f>AN99+AQ99+AT99+AW99+AZ99+BC99+BF99+BI99+BL99+BO99+BR99+BU99</f>
        <v>16</v>
      </c>
      <c r="Z99" s="721">
        <f>AO99+AR99+AU99+AX99+BA99+BD99+BG99+BJ99+BM99+BP99+BS99+BV99</f>
        <v>0</v>
      </c>
      <c r="AA99" s="723">
        <f>AP99+AS99+AV99+AY99+BB99+BE99+BH99+BK99+BN99+BQ99+BT99+BW99</f>
        <v>32</v>
      </c>
      <c r="AB99" s="211"/>
      <c r="AC99" s="212"/>
      <c r="AD99" s="213"/>
      <c r="AE99" s="213"/>
      <c r="AF99" s="213"/>
      <c r="AG99" s="214"/>
      <c r="AH99" s="215"/>
      <c r="AI99" s="215"/>
      <c r="AJ99" s="216"/>
      <c r="AK99" s="717">
        <f>F99-W99</f>
        <v>55.2</v>
      </c>
      <c r="AL99" s="217"/>
      <c r="AM99" s="218"/>
      <c r="AN99" s="767"/>
      <c r="AO99" s="748"/>
      <c r="AP99" s="748"/>
      <c r="AQ99" s="744"/>
      <c r="AR99" s="744"/>
      <c r="AS99" s="744"/>
      <c r="AT99" s="748"/>
      <c r="AU99" s="748"/>
      <c r="AV99" s="748"/>
      <c r="AW99" s="744"/>
      <c r="AX99" s="744"/>
      <c r="AY99" s="744"/>
      <c r="AZ99" s="748">
        <v>16</v>
      </c>
      <c r="BA99" s="748"/>
      <c r="BB99" s="748">
        <v>32</v>
      </c>
      <c r="BC99" s="744"/>
      <c r="BD99" s="744"/>
      <c r="BE99" s="744"/>
      <c r="BF99" s="748"/>
      <c r="BG99" s="748"/>
      <c r="BH99" s="748"/>
      <c r="BI99" s="744"/>
      <c r="BJ99" s="744"/>
      <c r="BK99" s="744"/>
      <c r="BL99" s="640"/>
      <c r="BM99" s="640"/>
      <c r="BN99" s="640"/>
      <c r="BO99" s="744"/>
      <c r="BP99" s="744"/>
      <c r="BQ99" s="744"/>
      <c r="BR99" s="640"/>
      <c r="BS99" s="640"/>
      <c r="BT99" s="640"/>
      <c r="BU99" s="744"/>
      <c r="BV99" s="744"/>
      <c r="BW99" s="744"/>
      <c r="BX99" s="951" t="s">
        <v>310</v>
      </c>
      <c r="BY99" s="908">
        <f>X99/F99*100</f>
        <v>44.444444444444443</v>
      </c>
    </row>
    <row r="100" spans="1:77" s="70" customFormat="1" ht="25.5" customHeight="1" x14ac:dyDescent="0.25">
      <c r="A100" s="140"/>
      <c r="B100" s="130"/>
      <c r="C100" s="760"/>
      <c r="D100" s="141" t="s">
        <v>223</v>
      </c>
      <c r="E100" s="761"/>
      <c r="F100" s="762"/>
      <c r="G100" s="763"/>
      <c r="H100" s="747"/>
      <c r="I100" s="747"/>
      <c r="J100" s="747"/>
      <c r="K100" s="749"/>
      <c r="L100" s="749"/>
      <c r="M100" s="747"/>
      <c r="N100" s="747"/>
      <c r="O100" s="80"/>
      <c r="P100" s="80"/>
      <c r="Q100" s="80"/>
      <c r="R100" s="493"/>
      <c r="S100" s="751"/>
      <c r="T100" s="754"/>
      <c r="U100" s="754"/>
      <c r="V100" s="732"/>
      <c r="W100" s="734"/>
      <c r="X100" s="756"/>
      <c r="Y100" s="757"/>
      <c r="Z100" s="757"/>
      <c r="AA100" s="729"/>
      <c r="AB100" s="220"/>
      <c r="AC100" s="221"/>
      <c r="AD100" s="222"/>
      <c r="AE100" s="222"/>
      <c r="AF100" s="222"/>
      <c r="AG100" s="223"/>
      <c r="AH100" s="224"/>
      <c r="AI100" s="224"/>
      <c r="AJ100" s="225"/>
      <c r="AK100" s="730"/>
      <c r="AL100" s="226"/>
      <c r="AM100" s="227"/>
      <c r="AN100" s="767"/>
      <c r="AO100" s="748"/>
      <c r="AP100" s="748"/>
      <c r="AQ100" s="745"/>
      <c r="AR100" s="745"/>
      <c r="AS100" s="745"/>
      <c r="AT100" s="748"/>
      <c r="AU100" s="748"/>
      <c r="AV100" s="748"/>
      <c r="AW100" s="745"/>
      <c r="AX100" s="745"/>
      <c r="AY100" s="745"/>
      <c r="AZ100" s="748"/>
      <c r="BA100" s="748"/>
      <c r="BB100" s="748"/>
      <c r="BC100" s="745"/>
      <c r="BD100" s="745"/>
      <c r="BE100" s="745"/>
      <c r="BF100" s="748"/>
      <c r="BG100" s="748"/>
      <c r="BH100" s="748"/>
      <c r="BI100" s="745"/>
      <c r="BJ100" s="745"/>
      <c r="BK100" s="745"/>
      <c r="BL100" s="641"/>
      <c r="BM100" s="641"/>
      <c r="BN100" s="641"/>
      <c r="BO100" s="745"/>
      <c r="BP100" s="745"/>
      <c r="BQ100" s="745"/>
      <c r="BR100" s="641"/>
      <c r="BS100" s="641"/>
      <c r="BT100" s="641"/>
      <c r="BU100" s="745"/>
      <c r="BV100" s="745"/>
      <c r="BW100" s="745"/>
      <c r="BX100" s="952"/>
      <c r="BY100" s="909"/>
    </row>
    <row r="101" spans="1:77" s="70" customFormat="1" ht="31.5" x14ac:dyDescent="0.25">
      <c r="A101" s="140"/>
      <c r="B101" s="130"/>
      <c r="C101" s="760"/>
      <c r="D101" s="141" t="s">
        <v>224</v>
      </c>
      <c r="E101" s="761"/>
      <c r="F101" s="762"/>
      <c r="G101" s="763"/>
      <c r="H101" s="747"/>
      <c r="I101" s="747"/>
      <c r="J101" s="747"/>
      <c r="K101" s="749"/>
      <c r="L101" s="749"/>
      <c r="M101" s="747"/>
      <c r="N101" s="747"/>
      <c r="O101" s="80"/>
      <c r="P101" s="80"/>
      <c r="Q101" s="80"/>
      <c r="R101" s="493"/>
      <c r="S101" s="751"/>
      <c r="T101" s="754"/>
      <c r="U101" s="754"/>
      <c r="V101" s="732"/>
      <c r="W101" s="734"/>
      <c r="X101" s="756"/>
      <c r="Y101" s="757"/>
      <c r="Z101" s="757"/>
      <c r="AA101" s="729"/>
      <c r="AB101" s="220"/>
      <c r="AC101" s="221"/>
      <c r="AD101" s="222"/>
      <c r="AE101" s="222"/>
      <c r="AF101" s="222"/>
      <c r="AG101" s="223"/>
      <c r="AH101" s="224"/>
      <c r="AI101" s="224"/>
      <c r="AJ101" s="225"/>
      <c r="AK101" s="730"/>
      <c r="AL101" s="226"/>
      <c r="AM101" s="227"/>
      <c r="AN101" s="767"/>
      <c r="AO101" s="748"/>
      <c r="AP101" s="748"/>
      <c r="AQ101" s="745"/>
      <c r="AR101" s="745"/>
      <c r="AS101" s="745"/>
      <c r="AT101" s="748"/>
      <c r="AU101" s="748"/>
      <c r="AV101" s="748"/>
      <c r="AW101" s="745"/>
      <c r="AX101" s="745"/>
      <c r="AY101" s="745"/>
      <c r="AZ101" s="748"/>
      <c r="BA101" s="748"/>
      <c r="BB101" s="748"/>
      <c r="BC101" s="745"/>
      <c r="BD101" s="745"/>
      <c r="BE101" s="745"/>
      <c r="BF101" s="748"/>
      <c r="BG101" s="748"/>
      <c r="BH101" s="748"/>
      <c r="BI101" s="745"/>
      <c r="BJ101" s="745"/>
      <c r="BK101" s="745"/>
      <c r="BL101" s="641"/>
      <c r="BM101" s="641"/>
      <c r="BN101" s="641"/>
      <c r="BO101" s="745"/>
      <c r="BP101" s="745"/>
      <c r="BQ101" s="745"/>
      <c r="BR101" s="641"/>
      <c r="BS101" s="641"/>
      <c r="BT101" s="641"/>
      <c r="BU101" s="745"/>
      <c r="BV101" s="745"/>
      <c r="BW101" s="745"/>
      <c r="BX101" s="952"/>
      <c r="BY101" s="909"/>
    </row>
    <row r="102" spans="1:77" s="70" customFormat="1" ht="25.5" customHeight="1" x14ac:dyDescent="0.25">
      <c r="A102" s="140"/>
      <c r="B102" s="130"/>
      <c r="C102" s="760"/>
      <c r="D102" s="141" t="s">
        <v>225</v>
      </c>
      <c r="E102" s="761"/>
      <c r="F102" s="762"/>
      <c r="G102" s="763"/>
      <c r="H102" s="747"/>
      <c r="I102" s="747"/>
      <c r="J102" s="747"/>
      <c r="K102" s="749"/>
      <c r="L102" s="749"/>
      <c r="M102" s="747"/>
      <c r="N102" s="747"/>
      <c r="O102" s="80"/>
      <c r="P102" s="80"/>
      <c r="Q102" s="80"/>
      <c r="R102" s="493"/>
      <c r="S102" s="751"/>
      <c r="T102" s="754"/>
      <c r="U102" s="754"/>
      <c r="V102" s="732"/>
      <c r="W102" s="734"/>
      <c r="X102" s="756"/>
      <c r="Y102" s="757"/>
      <c r="Z102" s="757"/>
      <c r="AA102" s="729"/>
      <c r="AB102" s="220"/>
      <c r="AC102" s="221"/>
      <c r="AD102" s="222"/>
      <c r="AE102" s="222"/>
      <c r="AF102" s="222"/>
      <c r="AG102" s="223"/>
      <c r="AH102" s="224"/>
      <c r="AI102" s="224"/>
      <c r="AJ102" s="225"/>
      <c r="AK102" s="730"/>
      <c r="AL102" s="226"/>
      <c r="AM102" s="227"/>
      <c r="AN102" s="767"/>
      <c r="AO102" s="748"/>
      <c r="AP102" s="748"/>
      <c r="AQ102" s="745"/>
      <c r="AR102" s="745"/>
      <c r="AS102" s="745"/>
      <c r="AT102" s="748"/>
      <c r="AU102" s="748"/>
      <c r="AV102" s="748"/>
      <c r="AW102" s="745"/>
      <c r="AX102" s="745"/>
      <c r="AY102" s="745"/>
      <c r="AZ102" s="748"/>
      <c r="BA102" s="748"/>
      <c r="BB102" s="748"/>
      <c r="BC102" s="745"/>
      <c r="BD102" s="745"/>
      <c r="BE102" s="745"/>
      <c r="BF102" s="748"/>
      <c r="BG102" s="748"/>
      <c r="BH102" s="748"/>
      <c r="BI102" s="745"/>
      <c r="BJ102" s="745"/>
      <c r="BK102" s="745"/>
      <c r="BL102" s="641"/>
      <c r="BM102" s="641"/>
      <c r="BN102" s="641"/>
      <c r="BO102" s="745"/>
      <c r="BP102" s="745"/>
      <c r="BQ102" s="745"/>
      <c r="BR102" s="641"/>
      <c r="BS102" s="641"/>
      <c r="BT102" s="641"/>
      <c r="BU102" s="745"/>
      <c r="BV102" s="745"/>
      <c r="BW102" s="745"/>
      <c r="BX102" s="952"/>
      <c r="BY102" s="909"/>
    </row>
    <row r="103" spans="1:77" s="70" customFormat="1" ht="25.5" customHeight="1" x14ac:dyDescent="0.25">
      <c r="A103" s="140"/>
      <c r="B103" s="130"/>
      <c r="C103" s="760"/>
      <c r="D103" s="141" t="s">
        <v>226</v>
      </c>
      <c r="E103" s="761"/>
      <c r="F103" s="762"/>
      <c r="G103" s="763"/>
      <c r="H103" s="747"/>
      <c r="I103" s="747"/>
      <c r="J103" s="747"/>
      <c r="K103" s="749"/>
      <c r="L103" s="749"/>
      <c r="M103" s="747"/>
      <c r="N103" s="747"/>
      <c r="O103" s="80"/>
      <c r="P103" s="80"/>
      <c r="Q103" s="80"/>
      <c r="R103" s="493"/>
      <c r="S103" s="751"/>
      <c r="T103" s="754"/>
      <c r="U103" s="754"/>
      <c r="V103" s="732"/>
      <c r="W103" s="735"/>
      <c r="X103" s="720"/>
      <c r="Y103" s="722"/>
      <c r="Z103" s="722"/>
      <c r="AA103" s="724"/>
      <c r="AB103" s="496"/>
      <c r="AC103" s="183"/>
      <c r="AD103" s="497"/>
      <c r="AE103" s="497"/>
      <c r="AF103" s="497"/>
      <c r="AG103" s="498"/>
      <c r="AH103" s="186"/>
      <c r="AI103" s="186"/>
      <c r="AJ103" s="187"/>
      <c r="AK103" s="718"/>
      <c r="AL103" s="226"/>
      <c r="AM103" s="227"/>
      <c r="AN103" s="767"/>
      <c r="AO103" s="748"/>
      <c r="AP103" s="748"/>
      <c r="AQ103" s="746"/>
      <c r="AR103" s="746"/>
      <c r="AS103" s="746"/>
      <c r="AT103" s="748"/>
      <c r="AU103" s="748"/>
      <c r="AV103" s="748"/>
      <c r="AW103" s="746"/>
      <c r="AX103" s="746"/>
      <c r="AY103" s="746"/>
      <c r="AZ103" s="748"/>
      <c r="BA103" s="748"/>
      <c r="BB103" s="748"/>
      <c r="BC103" s="746"/>
      <c r="BD103" s="746"/>
      <c r="BE103" s="746"/>
      <c r="BF103" s="748"/>
      <c r="BG103" s="748"/>
      <c r="BH103" s="748"/>
      <c r="BI103" s="746"/>
      <c r="BJ103" s="746"/>
      <c r="BK103" s="746"/>
      <c r="BL103" s="641"/>
      <c r="BM103" s="641"/>
      <c r="BN103" s="641"/>
      <c r="BO103" s="746"/>
      <c r="BP103" s="746"/>
      <c r="BQ103" s="746"/>
      <c r="BR103" s="641"/>
      <c r="BS103" s="641"/>
      <c r="BT103" s="641"/>
      <c r="BU103" s="746"/>
      <c r="BV103" s="746"/>
      <c r="BW103" s="746"/>
      <c r="BX103" s="953"/>
      <c r="BY103" s="909"/>
    </row>
    <row r="104" spans="1:77" s="70" customFormat="1" ht="30.75" hidden="1" customHeight="1" x14ac:dyDescent="0.25">
      <c r="A104" s="140"/>
      <c r="B104" s="130"/>
      <c r="C104" s="758">
        <v>27</v>
      </c>
      <c r="D104" s="127" t="s">
        <v>227</v>
      </c>
      <c r="E104" s="701">
        <f>G104+H104+I104+J104+K104+L104+M104+N104+O104+P104+Q104+R104</f>
        <v>3</v>
      </c>
      <c r="F104" s="703">
        <f>E104*36</f>
        <v>108</v>
      </c>
      <c r="G104" s="705"/>
      <c r="H104" s="693"/>
      <c r="I104" s="693"/>
      <c r="J104" s="693"/>
      <c r="K104" s="709"/>
      <c r="L104" s="709">
        <v>3</v>
      </c>
      <c r="M104" s="693"/>
      <c r="N104" s="693"/>
      <c r="O104" s="491"/>
      <c r="P104" s="491"/>
      <c r="Q104" s="491"/>
      <c r="R104" s="492"/>
      <c r="S104" s="750"/>
      <c r="T104" s="753"/>
      <c r="U104" s="753">
        <v>6</v>
      </c>
      <c r="V104" s="731"/>
      <c r="W104" s="734">
        <f>X104+X104*0.1</f>
        <v>52.8</v>
      </c>
      <c r="X104" s="756">
        <f>SUM(Y104:AA109)</f>
        <v>48</v>
      </c>
      <c r="Y104" s="757">
        <f>AN104+AQ104+AT104+AW104+AZ104+BC104+BF104+BI104+BL105+BO105+BR105+BU105</f>
        <v>16</v>
      </c>
      <c r="Z104" s="721">
        <f>AO104+AR104+AU104+AX104+BA104+BD104+BG104+BJ104+BM105+BP105+BS105+BV105</f>
        <v>0</v>
      </c>
      <c r="AA104" s="729">
        <f>AP104+AS104+AV104+AY104+BB104+BE104+BH104+BK104+BN105+BQ105+BT105+BW105</f>
        <v>32</v>
      </c>
      <c r="AB104" s="220"/>
      <c r="AC104" s="221"/>
      <c r="AD104" s="222"/>
      <c r="AE104" s="222"/>
      <c r="AF104" s="222"/>
      <c r="AG104" s="223"/>
      <c r="AH104" s="224"/>
      <c r="AI104" s="224"/>
      <c r="AJ104" s="225"/>
      <c r="AK104" s="730">
        <f>F104-W104</f>
        <v>55.2</v>
      </c>
      <c r="AL104" s="217"/>
      <c r="AM104" s="218"/>
      <c r="AN104" s="739"/>
      <c r="AO104" s="736"/>
      <c r="AP104" s="736"/>
      <c r="AQ104" s="744"/>
      <c r="AR104" s="744"/>
      <c r="AS104" s="744"/>
      <c r="AT104" s="736"/>
      <c r="AU104" s="736"/>
      <c r="AV104" s="736"/>
      <c r="AW104" s="744"/>
      <c r="AX104" s="744"/>
      <c r="AY104" s="744"/>
      <c r="AZ104" s="736"/>
      <c r="BA104" s="736"/>
      <c r="BB104" s="736"/>
      <c r="BC104" s="744">
        <v>16</v>
      </c>
      <c r="BD104" s="744"/>
      <c r="BE104" s="744">
        <v>32</v>
      </c>
      <c r="BF104" s="736"/>
      <c r="BG104" s="736"/>
      <c r="BH104" s="736"/>
      <c r="BI104" s="744"/>
      <c r="BJ104" s="744"/>
      <c r="BK104" s="744"/>
      <c r="BL104" s="640"/>
      <c r="BM104" s="640"/>
      <c r="BN104" s="640"/>
      <c r="BO104" s="744"/>
      <c r="BP104" s="744"/>
      <c r="BQ104" s="744"/>
      <c r="BR104" s="640"/>
      <c r="BS104" s="640"/>
      <c r="BT104" s="640"/>
      <c r="BU104" s="744"/>
      <c r="BV104" s="744"/>
      <c r="BW104" s="744"/>
      <c r="BX104" s="952" t="s">
        <v>310</v>
      </c>
      <c r="BY104" s="909"/>
    </row>
    <row r="105" spans="1:77" s="70" customFormat="1" ht="25.5" customHeight="1" x14ac:dyDescent="0.25">
      <c r="A105" s="140"/>
      <c r="B105" s="130"/>
      <c r="C105" s="758"/>
      <c r="D105" s="141" t="s">
        <v>228</v>
      </c>
      <c r="E105" s="761"/>
      <c r="F105" s="762"/>
      <c r="G105" s="763"/>
      <c r="H105" s="747"/>
      <c r="I105" s="747"/>
      <c r="J105" s="747"/>
      <c r="K105" s="749"/>
      <c r="L105" s="749"/>
      <c r="M105" s="747"/>
      <c r="N105" s="747"/>
      <c r="O105" s="80"/>
      <c r="P105" s="80"/>
      <c r="Q105" s="80"/>
      <c r="R105" s="493"/>
      <c r="S105" s="751"/>
      <c r="T105" s="754"/>
      <c r="U105" s="754"/>
      <c r="V105" s="732"/>
      <c r="W105" s="734"/>
      <c r="X105" s="756"/>
      <c r="Y105" s="757"/>
      <c r="Z105" s="757"/>
      <c r="AA105" s="729"/>
      <c r="AB105" s="211"/>
      <c r="AC105" s="212"/>
      <c r="AD105" s="213"/>
      <c r="AE105" s="213"/>
      <c r="AF105" s="213"/>
      <c r="AG105" s="214"/>
      <c r="AH105" s="215"/>
      <c r="AI105" s="215"/>
      <c r="AJ105" s="216"/>
      <c r="AK105" s="730"/>
      <c r="AL105" s="226"/>
      <c r="AM105" s="227"/>
      <c r="AN105" s="740"/>
      <c r="AO105" s="737"/>
      <c r="AP105" s="737"/>
      <c r="AQ105" s="745"/>
      <c r="AR105" s="745"/>
      <c r="AS105" s="745"/>
      <c r="AT105" s="737"/>
      <c r="AU105" s="737"/>
      <c r="AV105" s="737"/>
      <c r="AW105" s="745"/>
      <c r="AX105" s="745"/>
      <c r="AY105" s="745"/>
      <c r="AZ105" s="737"/>
      <c r="BA105" s="737"/>
      <c r="BB105" s="737"/>
      <c r="BC105" s="745"/>
      <c r="BD105" s="745"/>
      <c r="BE105" s="745"/>
      <c r="BF105" s="737"/>
      <c r="BG105" s="737"/>
      <c r="BH105" s="737"/>
      <c r="BI105" s="745"/>
      <c r="BJ105" s="745"/>
      <c r="BK105" s="745"/>
      <c r="BL105" s="641"/>
      <c r="BM105" s="641"/>
      <c r="BN105" s="641"/>
      <c r="BO105" s="745"/>
      <c r="BP105" s="745"/>
      <c r="BQ105" s="745"/>
      <c r="BR105" s="641"/>
      <c r="BS105" s="641"/>
      <c r="BT105" s="641"/>
      <c r="BU105" s="745"/>
      <c r="BV105" s="745"/>
      <c r="BW105" s="745"/>
      <c r="BX105" s="952"/>
      <c r="BY105" s="909"/>
    </row>
    <row r="106" spans="1:77" s="70" customFormat="1" ht="25.5" customHeight="1" x14ac:dyDescent="0.25">
      <c r="A106" s="140"/>
      <c r="B106" s="130"/>
      <c r="C106" s="758"/>
      <c r="D106" s="141" t="s">
        <v>229</v>
      </c>
      <c r="E106" s="761"/>
      <c r="F106" s="762"/>
      <c r="G106" s="763"/>
      <c r="H106" s="747"/>
      <c r="I106" s="747"/>
      <c r="J106" s="747"/>
      <c r="K106" s="749"/>
      <c r="L106" s="749"/>
      <c r="M106" s="747"/>
      <c r="N106" s="747"/>
      <c r="O106" s="80"/>
      <c r="P106" s="80"/>
      <c r="Q106" s="80"/>
      <c r="R106" s="493"/>
      <c r="S106" s="751"/>
      <c r="T106" s="754"/>
      <c r="U106" s="754"/>
      <c r="V106" s="732"/>
      <c r="W106" s="734"/>
      <c r="X106" s="756"/>
      <c r="Y106" s="757"/>
      <c r="Z106" s="757"/>
      <c r="AA106" s="729"/>
      <c r="AB106" s="220"/>
      <c r="AC106" s="221"/>
      <c r="AD106" s="222"/>
      <c r="AE106" s="222"/>
      <c r="AF106" s="222"/>
      <c r="AG106" s="223"/>
      <c r="AH106" s="224"/>
      <c r="AI106" s="224"/>
      <c r="AJ106" s="225"/>
      <c r="AK106" s="730"/>
      <c r="AL106" s="226"/>
      <c r="AM106" s="227"/>
      <c r="AN106" s="740"/>
      <c r="AO106" s="737"/>
      <c r="AP106" s="737"/>
      <c r="AQ106" s="745"/>
      <c r="AR106" s="745"/>
      <c r="AS106" s="745"/>
      <c r="AT106" s="737"/>
      <c r="AU106" s="737"/>
      <c r="AV106" s="737"/>
      <c r="AW106" s="745"/>
      <c r="AX106" s="745"/>
      <c r="AY106" s="745"/>
      <c r="AZ106" s="737"/>
      <c r="BA106" s="737"/>
      <c r="BB106" s="737"/>
      <c r="BC106" s="745"/>
      <c r="BD106" s="745"/>
      <c r="BE106" s="745"/>
      <c r="BF106" s="737"/>
      <c r="BG106" s="737"/>
      <c r="BH106" s="737"/>
      <c r="BI106" s="745"/>
      <c r="BJ106" s="745"/>
      <c r="BK106" s="745"/>
      <c r="BL106" s="641"/>
      <c r="BM106" s="641"/>
      <c r="BN106" s="641"/>
      <c r="BO106" s="745"/>
      <c r="BP106" s="745"/>
      <c r="BQ106" s="745"/>
      <c r="BR106" s="641"/>
      <c r="BS106" s="641"/>
      <c r="BT106" s="641"/>
      <c r="BU106" s="745"/>
      <c r="BV106" s="745"/>
      <c r="BW106" s="745"/>
      <c r="BX106" s="952"/>
      <c r="BY106" s="909"/>
    </row>
    <row r="107" spans="1:77" s="70" customFormat="1" ht="25.5" customHeight="1" x14ac:dyDescent="0.25">
      <c r="A107" s="140"/>
      <c r="B107" s="130"/>
      <c r="C107" s="758"/>
      <c r="D107" s="141" t="s">
        <v>230</v>
      </c>
      <c r="E107" s="761"/>
      <c r="F107" s="762"/>
      <c r="G107" s="763"/>
      <c r="H107" s="747"/>
      <c r="I107" s="747"/>
      <c r="J107" s="747"/>
      <c r="K107" s="749"/>
      <c r="L107" s="749"/>
      <c r="M107" s="747"/>
      <c r="N107" s="747"/>
      <c r="O107" s="80"/>
      <c r="P107" s="80"/>
      <c r="Q107" s="80"/>
      <c r="R107" s="493"/>
      <c r="S107" s="751"/>
      <c r="T107" s="754"/>
      <c r="U107" s="754"/>
      <c r="V107" s="732"/>
      <c r="W107" s="734"/>
      <c r="X107" s="756"/>
      <c r="Y107" s="757"/>
      <c r="Z107" s="757"/>
      <c r="AA107" s="729"/>
      <c r="AB107" s="220"/>
      <c r="AC107" s="221"/>
      <c r="AD107" s="222"/>
      <c r="AE107" s="222"/>
      <c r="AF107" s="222"/>
      <c r="AG107" s="223"/>
      <c r="AH107" s="224"/>
      <c r="AI107" s="224"/>
      <c r="AJ107" s="225"/>
      <c r="AK107" s="730"/>
      <c r="AL107" s="226"/>
      <c r="AM107" s="227"/>
      <c r="AN107" s="740"/>
      <c r="AO107" s="737"/>
      <c r="AP107" s="737"/>
      <c r="AQ107" s="745"/>
      <c r="AR107" s="745"/>
      <c r="AS107" s="745"/>
      <c r="AT107" s="737"/>
      <c r="AU107" s="737"/>
      <c r="AV107" s="737"/>
      <c r="AW107" s="745"/>
      <c r="AX107" s="745"/>
      <c r="AY107" s="745"/>
      <c r="AZ107" s="737"/>
      <c r="BA107" s="737"/>
      <c r="BB107" s="737"/>
      <c r="BC107" s="745"/>
      <c r="BD107" s="745"/>
      <c r="BE107" s="745"/>
      <c r="BF107" s="737"/>
      <c r="BG107" s="737"/>
      <c r="BH107" s="737"/>
      <c r="BI107" s="745"/>
      <c r="BJ107" s="745"/>
      <c r="BK107" s="745"/>
      <c r="BL107" s="641"/>
      <c r="BM107" s="641"/>
      <c r="BN107" s="641"/>
      <c r="BO107" s="745"/>
      <c r="BP107" s="745"/>
      <c r="BQ107" s="745"/>
      <c r="BR107" s="641"/>
      <c r="BS107" s="641"/>
      <c r="BT107" s="641"/>
      <c r="BU107" s="745"/>
      <c r="BV107" s="745"/>
      <c r="BW107" s="745"/>
      <c r="BX107" s="952"/>
      <c r="BY107" s="909"/>
    </row>
    <row r="108" spans="1:77" s="70" customFormat="1" ht="25.5" customHeight="1" x14ac:dyDescent="0.25">
      <c r="A108" s="140"/>
      <c r="B108" s="130"/>
      <c r="C108" s="758"/>
      <c r="D108" s="141" t="s">
        <v>231</v>
      </c>
      <c r="E108" s="761"/>
      <c r="F108" s="762"/>
      <c r="G108" s="763"/>
      <c r="H108" s="747"/>
      <c r="I108" s="747"/>
      <c r="J108" s="747"/>
      <c r="K108" s="749"/>
      <c r="L108" s="749"/>
      <c r="M108" s="747"/>
      <c r="N108" s="747"/>
      <c r="O108" s="80"/>
      <c r="P108" s="80"/>
      <c r="Q108" s="80"/>
      <c r="R108" s="493"/>
      <c r="S108" s="751"/>
      <c r="T108" s="754"/>
      <c r="U108" s="754"/>
      <c r="V108" s="732"/>
      <c r="W108" s="734"/>
      <c r="X108" s="756"/>
      <c r="Y108" s="757"/>
      <c r="Z108" s="757"/>
      <c r="AA108" s="729"/>
      <c r="AB108" s="220"/>
      <c r="AC108" s="221"/>
      <c r="AD108" s="222"/>
      <c r="AE108" s="222"/>
      <c r="AF108" s="222"/>
      <c r="AG108" s="223"/>
      <c r="AH108" s="224"/>
      <c r="AI108" s="224"/>
      <c r="AJ108" s="225"/>
      <c r="AK108" s="730"/>
      <c r="AL108" s="226"/>
      <c r="AM108" s="227"/>
      <c r="AN108" s="740"/>
      <c r="AO108" s="737"/>
      <c r="AP108" s="737"/>
      <c r="AQ108" s="745"/>
      <c r="AR108" s="745"/>
      <c r="AS108" s="745"/>
      <c r="AT108" s="737"/>
      <c r="AU108" s="737"/>
      <c r="AV108" s="737"/>
      <c r="AW108" s="745"/>
      <c r="AX108" s="745"/>
      <c r="AY108" s="745"/>
      <c r="AZ108" s="737"/>
      <c r="BA108" s="737"/>
      <c r="BB108" s="737"/>
      <c r="BC108" s="745"/>
      <c r="BD108" s="745"/>
      <c r="BE108" s="745"/>
      <c r="BF108" s="737"/>
      <c r="BG108" s="737"/>
      <c r="BH108" s="737"/>
      <c r="BI108" s="745"/>
      <c r="BJ108" s="745"/>
      <c r="BK108" s="745"/>
      <c r="BL108" s="641"/>
      <c r="BM108" s="641"/>
      <c r="BN108" s="641"/>
      <c r="BO108" s="745"/>
      <c r="BP108" s="745"/>
      <c r="BQ108" s="745"/>
      <c r="BR108" s="641"/>
      <c r="BS108" s="641"/>
      <c r="BT108" s="641"/>
      <c r="BU108" s="745"/>
      <c r="BV108" s="745"/>
      <c r="BW108" s="745"/>
      <c r="BX108" s="952"/>
      <c r="BY108" s="909"/>
    </row>
    <row r="109" spans="1:77" s="70" customFormat="1" ht="35.25" customHeight="1" x14ac:dyDescent="0.25">
      <c r="A109" s="140"/>
      <c r="B109" s="130" t="s">
        <v>206</v>
      </c>
      <c r="C109" s="759"/>
      <c r="D109" s="141" t="s">
        <v>232</v>
      </c>
      <c r="E109" s="702"/>
      <c r="F109" s="704"/>
      <c r="G109" s="706"/>
      <c r="H109" s="699"/>
      <c r="I109" s="699"/>
      <c r="J109" s="699"/>
      <c r="K109" s="710"/>
      <c r="L109" s="710"/>
      <c r="M109" s="699"/>
      <c r="N109" s="699"/>
      <c r="O109" s="494"/>
      <c r="P109" s="494"/>
      <c r="Q109" s="494"/>
      <c r="R109" s="495"/>
      <c r="S109" s="752"/>
      <c r="T109" s="755"/>
      <c r="U109" s="755"/>
      <c r="V109" s="733"/>
      <c r="W109" s="735"/>
      <c r="X109" s="720"/>
      <c r="Y109" s="722"/>
      <c r="Z109" s="722"/>
      <c r="AA109" s="724"/>
      <c r="AB109" s="220"/>
      <c r="AC109" s="221"/>
      <c r="AD109" s="222"/>
      <c r="AE109" s="222"/>
      <c r="AF109" s="222"/>
      <c r="AG109" s="223"/>
      <c r="AH109" s="224"/>
      <c r="AI109" s="224"/>
      <c r="AJ109" s="225"/>
      <c r="AK109" s="718"/>
      <c r="AL109" s="226"/>
      <c r="AM109" s="227"/>
      <c r="AN109" s="741"/>
      <c r="AO109" s="738"/>
      <c r="AP109" s="738"/>
      <c r="AQ109" s="746"/>
      <c r="AR109" s="746"/>
      <c r="AS109" s="746"/>
      <c r="AT109" s="738"/>
      <c r="AU109" s="738"/>
      <c r="AV109" s="738"/>
      <c r="AW109" s="746"/>
      <c r="AX109" s="746"/>
      <c r="AY109" s="746"/>
      <c r="AZ109" s="738"/>
      <c r="BA109" s="738"/>
      <c r="BB109" s="738"/>
      <c r="BC109" s="746"/>
      <c r="BD109" s="746"/>
      <c r="BE109" s="746"/>
      <c r="BF109" s="738"/>
      <c r="BG109" s="738"/>
      <c r="BH109" s="738"/>
      <c r="BI109" s="746"/>
      <c r="BJ109" s="746"/>
      <c r="BK109" s="746"/>
      <c r="BL109" s="642"/>
      <c r="BM109" s="642"/>
      <c r="BN109" s="642"/>
      <c r="BO109" s="746"/>
      <c r="BP109" s="746"/>
      <c r="BQ109" s="746"/>
      <c r="BR109" s="642"/>
      <c r="BS109" s="642"/>
      <c r="BT109" s="642"/>
      <c r="BU109" s="746"/>
      <c r="BV109" s="746"/>
      <c r="BW109" s="746"/>
      <c r="BX109" s="953"/>
      <c r="BY109" s="909"/>
    </row>
    <row r="110" spans="1:77" s="201" customFormat="1" ht="27.75" customHeight="1" x14ac:dyDescent="0.25">
      <c r="A110" s="130"/>
      <c r="B110" s="130"/>
      <c r="C110" s="131"/>
      <c r="D110" s="445" t="s">
        <v>134</v>
      </c>
      <c r="E110" s="229">
        <f>SUM(E111:E116)</f>
        <v>16</v>
      </c>
      <c r="F110" s="446">
        <f t="shared" si="2"/>
        <v>576</v>
      </c>
      <c r="G110" s="133"/>
      <c r="H110" s="134"/>
      <c r="I110" s="134"/>
      <c r="J110" s="134"/>
      <c r="K110" s="353"/>
      <c r="L110" s="353"/>
      <c r="M110" s="134"/>
      <c r="N110" s="134"/>
      <c r="O110" s="134"/>
      <c r="P110" s="134"/>
      <c r="Q110" s="134"/>
      <c r="R110" s="135"/>
      <c r="S110" s="109"/>
      <c r="T110" s="110"/>
      <c r="U110" s="110"/>
      <c r="V110" s="111"/>
      <c r="W110" s="112"/>
      <c r="X110" s="113"/>
      <c r="Y110" s="114"/>
      <c r="Z110" s="114"/>
      <c r="AA110" s="115"/>
      <c r="AB110" s="116"/>
      <c r="AC110" s="136"/>
      <c r="AD110" s="117"/>
      <c r="AE110" s="117"/>
      <c r="AF110" s="117"/>
      <c r="AG110" s="118"/>
      <c r="AH110" s="137"/>
      <c r="AI110" s="137"/>
      <c r="AJ110" s="138"/>
      <c r="AK110" s="119"/>
      <c r="AL110" s="632"/>
      <c r="AM110" s="296"/>
      <c r="AN110" s="62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5"/>
      <c r="BX110" s="139"/>
      <c r="BY110" s="612"/>
    </row>
    <row r="111" spans="1:77" s="201" customFormat="1" ht="30" customHeight="1" x14ac:dyDescent="0.25">
      <c r="A111" s="140"/>
      <c r="B111" s="130"/>
      <c r="C111" s="131">
        <v>28</v>
      </c>
      <c r="D111" s="447" t="s">
        <v>233</v>
      </c>
      <c r="E111" s="147">
        <f t="shared" ref="E111:E116" si="20">G111+H111+I111+J111+K111+L111+M111+N111+O111+P111+Q111+R111</f>
        <v>3</v>
      </c>
      <c r="F111" s="148">
        <f t="shared" ref="F111:F116" si="21">E111*36</f>
        <v>108</v>
      </c>
      <c r="G111" s="149">
        <v>3</v>
      </c>
      <c r="H111" s="140"/>
      <c r="I111" s="140"/>
      <c r="J111" s="140"/>
      <c r="K111" s="519"/>
      <c r="L111" s="519"/>
      <c r="M111" s="140"/>
      <c r="N111" s="140"/>
      <c r="O111" s="140"/>
      <c r="P111" s="140"/>
      <c r="Q111" s="140"/>
      <c r="R111" s="150"/>
      <c r="S111" s="151"/>
      <c r="T111" s="152"/>
      <c r="U111" s="152">
        <v>1</v>
      </c>
      <c r="V111" s="153"/>
      <c r="W111" s="112">
        <f t="shared" ref="W111:W116" si="22">X111+X111*0.1</f>
        <v>52.8</v>
      </c>
      <c r="X111" s="113">
        <f t="shared" ref="X111:X116" si="23">SUM(Y111:AA111)</f>
        <v>48</v>
      </c>
      <c r="Y111" s="114">
        <f>AN111+AQ111+AT111+AW111+AZ111+BC111+BF111+BI111+BL111+BO111+BR111+BU111</f>
        <v>32</v>
      </c>
      <c r="Z111" s="114">
        <f>AO111+AR111+AU111+AX111+BA111+BD111+BG111+BJ111+BM111+BP111+BS111+BV111</f>
        <v>16</v>
      </c>
      <c r="AA111" s="115">
        <f>AP111+AS111+AV111+AY111+BB111+BE111+BH111+BK111+BN111+BQ111+BT111+BW111</f>
        <v>0</v>
      </c>
      <c r="AB111" s="116"/>
      <c r="AC111" s="136"/>
      <c r="AD111" s="117"/>
      <c r="AE111" s="117"/>
      <c r="AF111" s="117"/>
      <c r="AG111" s="118"/>
      <c r="AH111" s="137"/>
      <c r="AI111" s="137"/>
      <c r="AJ111" s="138"/>
      <c r="AK111" s="119">
        <f t="shared" ref="AK111:AK130" si="24">F111-W111</f>
        <v>55.2</v>
      </c>
      <c r="AL111" s="632"/>
      <c r="AM111" s="296"/>
      <c r="AN111" s="625">
        <v>32</v>
      </c>
      <c r="AO111" s="444">
        <v>16</v>
      </c>
      <c r="AP111" s="444"/>
      <c r="AQ111" s="154"/>
      <c r="AR111" s="154"/>
      <c r="AS111" s="154"/>
      <c r="AT111" s="444"/>
      <c r="AU111" s="444"/>
      <c r="AV111" s="444"/>
      <c r="AW111" s="154"/>
      <c r="AX111" s="154"/>
      <c r="AY111" s="154"/>
      <c r="AZ111" s="444"/>
      <c r="BA111" s="444"/>
      <c r="BB111" s="444"/>
      <c r="BC111" s="154"/>
      <c r="BD111" s="154"/>
      <c r="BE111" s="154"/>
      <c r="BF111" s="444"/>
      <c r="BG111" s="444"/>
      <c r="BH111" s="444"/>
      <c r="BI111" s="154"/>
      <c r="BJ111" s="154"/>
      <c r="BK111" s="154"/>
      <c r="BL111" s="450"/>
      <c r="BM111" s="450"/>
      <c r="BN111" s="450"/>
      <c r="BO111" s="154"/>
      <c r="BP111" s="154"/>
      <c r="BQ111" s="154"/>
      <c r="BR111" s="450"/>
      <c r="BS111" s="450"/>
      <c r="BT111" s="450"/>
      <c r="BU111" s="154"/>
      <c r="BV111" s="154"/>
      <c r="BW111" s="155"/>
      <c r="BX111" s="200" t="s">
        <v>323</v>
      </c>
      <c r="BY111" s="122">
        <f t="shared" ref="BY111:BY130" si="25">X111/F111*100</f>
        <v>44.444444444444443</v>
      </c>
    </row>
    <row r="112" spans="1:77" s="201" customFormat="1" ht="23.1" customHeight="1" x14ac:dyDescent="0.25">
      <c r="A112" s="230"/>
      <c r="B112" s="231"/>
      <c r="C112" s="131">
        <v>29</v>
      </c>
      <c r="D112" s="447" t="s">
        <v>234</v>
      </c>
      <c r="E112" s="147">
        <f t="shared" si="20"/>
        <v>4</v>
      </c>
      <c r="F112" s="148">
        <f t="shared" si="21"/>
        <v>144</v>
      </c>
      <c r="G112" s="149"/>
      <c r="H112" s="140"/>
      <c r="I112" s="140"/>
      <c r="J112" s="140">
        <v>4</v>
      </c>
      <c r="K112" s="519"/>
      <c r="L112" s="519"/>
      <c r="M112" s="140"/>
      <c r="N112" s="140"/>
      <c r="O112" s="140"/>
      <c r="P112" s="140"/>
      <c r="Q112" s="140"/>
      <c r="R112" s="150"/>
      <c r="S112" s="151">
        <v>4</v>
      </c>
      <c r="T112" s="152"/>
      <c r="U112" s="152"/>
      <c r="V112" s="153"/>
      <c r="W112" s="112">
        <f t="shared" si="22"/>
        <v>70.400000000000006</v>
      </c>
      <c r="X112" s="113">
        <f t="shared" si="23"/>
        <v>64</v>
      </c>
      <c r="Y112" s="114">
        <v>32</v>
      </c>
      <c r="Z112" s="114">
        <f t="shared" ref="Z112:AA116" si="26">AO112+AR112+AU112+AX112+BA112+BD112+BG112+BJ112+BM112+BP112+BS112+BV112</f>
        <v>32</v>
      </c>
      <c r="AA112" s="115">
        <f t="shared" si="26"/>
        <v>0</v>
      </c>
      <c r="AB112" s="116"/>
      <c r="AC112" s="136"/>
      <c r="AD112" s="117"/>
      <c r="AE112" s="117"/>
      <c r="AF112" s="117"/>
      <c r="AG112" s="118"/>
      <c r="AH112" s="137"/>
      <c r="AI112" s="137"/>
      <c r="AJ112" s="138"/>
      <c r="AK112" s="119">
        <f t="shared" si="24"/>
        <v>73.599999999999994</v>
      </c>
      <c r="AL112" s="632"/>
      <c r="AM112" s="296"/>
      <c r="AN112" s="625"/>
      <c r="AO112" s="444"/>
      <c r="AP112" s="444"/>
      <c r="AQ112" s="154"/>
      <c r="AR112" s="154"/>
      <c r="AS112" s="154"/>
      <c r="AT112" s="444"/>
      <c r="AU112" s="444"/>
      <c r="AV112" s="444"/>
      <c r="AW112" s="154">
        <v>32</v>
      </c>
      <c r="AX112" s="154">
        <v>32</v>
      </c>
      <c r="AY112" s="154"/>
      <c r="AZ112" s="444"/>
      <c r="BA112" s="444"/>
      <c r="BB112" s="444"/>
      <c r="BC112" s="154"/>
      <c r="BD112" s="154"/>
      <c r="BE112" s="154"/>
      <c r="BF112" s="444"/>
      <c r="BG112" s="444"/>
      <c r="BH112" s="444"/>
      <c r="BI112" s="154"/>
      <c r="BJ112" s="154"/>
      <c r="BK112" s="154"/>
      <c r="BL112" s="450"/>
      <c r="BM112" s="450"/>
      <c r="BN112" s="450"/>
      <c r="BO112" s="154"/>
      <c r="BP112" s="154"/>
      <c r="BQ112" s="154"/>
      <c r="BR112" s="450"/>
      <c r="BS112" s="450"/>
      <c r="BT112" s="450"/>
      <c r="BU112" s="154"/>
      <c r="BV112" s="154"/>
      <c r="BW112" s="155"/>
      <c r="BX112" s="200" t="s">
        <v>323</v>
      </c>
      <c r="BY112" s="122">
        <f t="shared" si="25"/>
        <v>44.444444444444443</v>
      </c>
    </row>
    <row r="113" spans="1:77" s="201" customFormat="1" ht="34.5" customHeight="1" x14ac:dyDescent="0.25">
      <c r="A113" s="230"/>
      <c r="B113" s="231"/>
      <c r="C113" s="131">
        <v>30</v>
      </c>
      <c r="D113" s="447" t="s">
        <v>235</v>
      </c>
      <c r="E113" s="147">
        <f t="shared" si="20"/>
        <v>5</v>
      </c>
      <c r="F113" s="148">
        <f t="shared" si="21"/>
        <v>180</v>
      </c>
      <c r="G113" s="149"/>
      <c r="H113" s="140"/>
      <c r="I113" s="140"/>
      <c r="J113" s="140"/>
      <c r="K113" s="519"/>
      <c r="L113" s="519">
        <v>5</v>
      </c>
      <c r="M113" s="140"/>
      <c r="N113" s="140"/>
      <c r="O113" s="140"/>
      <c r="P113" s="140"/>
      <c r="Q113" s="140"/>
      <c r="R113" s="150"/>
      <c r="S113" s="151">
        <v>6</v>
      </c>
      <c r="T113" s="152"/>
      <c r="U113" s="152"/>
      <c r="V113" s="153"/>
      <c r="W113" s="112">
        <f t="shared" si="22"/>
        <v>70.400000000000006</v>
      </c>
      <c r="X113" s="113">
        <f t="shared" si="23"/>
        <v>64</v>
      </c>
      <c r="Y113" s="114">
        <f>AN113+AQ113+AT113+AW113+AZ113+BC113+BF113+BI113+BL113+BO113+BR113+BU113</f>
        <v>32</v>
      </c>
      <c r="Z113" s="114">
        <f t="shared" si="26"/>
        <v>32</v>
      </c>
      <c r="AA113" s="115">
        <f t="shared" si="26"/>
        <v>0</v>
      </c>
      <c r="AB113" s="116"/>
      <c r="AC113" s="136"/>
      <c r="AD113" s="117"/>
      <c r="AE113" s="117"/>
      <c r="AF113" s="117"/>
      <c r="AG113" s="118"/>
      <c r="AH113" s="137"/>
      <c r="AI113" s="137"/>
      <c r="AJ113" s="138"/>
      <c r="AK113" s="119">
        <f t="shared" si="24"/>
        <v>109.6</v>
      </c>
      <c r="AL113" s="632"/>
      <c r="AM113" s="296"/>
      <c r="AN113" s="625"/>
      <c r="AO113" s="444"/>
      <c r="AP113" s="444"/>
      <c r="AQ113" s="154"/>
      <c r="AR113" s="154"/>
      <c r="AS113" s="154"/>
      <c r="AT113" s="444"/>
      <c r="AU113" s="444"/>
      <c r="AV113" s="444"/>
      <c r="AW113" s="154"/>
      <c r="AX113" s="154"/>
      <c r="AY113" s="154"/>
      <c r="AZ113" s="444"/>
      <c r="BA113" s="444"/>
      <c r="BB113" s="444"/>
      <c r="BC113" s="154">
        <v>32</v>
      </c>
      <c r="BD113" s="154">
        <v>32</v>
      </c>
      <c r="BE113" s="154"/>
      <c r="BF113" s="444"/>
      <c r="BG113" s="444"/>
      <c r="BH113" s="444"/>
      <c r="BI113" s="154"/>
      <c r="BJ113" s="154"/>
      <c r="BK113" s="154"/>
      <c r="BL113" s="450"/>
      <c r="BM113" s="450"/>
      <c r="BN113" s="450"/>
      <c r="BO113" s="154"/>
      <c r="BP113" s="154"/>
      <c r="BQ113" s="154"/>
      <c r="BR113" s="450"/>
      <c r="BS113" s="450"/>
      <c r="BT113" s="450"/>
      <c r="BU113" s="154"/>
      <c r="BV113" s="154"/>
      <c r="BW113" s="155"/>
      <c r="BX113" s="200" t="s">
        <v>323</v>
      </c>
      <c r="BY113" s="122">
        <f t="shared" si="25"/>
        <v>35.555555555555557</v>
      </c>
    </row>
    <row r="114" spans="1:77" s="201" customFormat="1" ht="23.1" customHeight="1" x14ac:dyDescent="0.25">
      <c r="A114" s="230"/>
      <c r="B114" s="231"/>
      <c r="C114" s="131">
        <v>31</v>
      </c>
      <c r="D114" s="447" t="s">
        <v>236</v>
      </c>
      <c r="E114" s="147">
        <f t="shared" si="20"/>
        <v>4</v>
      </c>
      <c r="F114" s="148">
        <f t="shared" si="21"/>
        <v>144</v>
      </c>
      <c r="G114" s="149"/>
      <c r="H114" s="140"/>
      <c r="I114" s="140"/>
      <c r="J114" s="140"/>
      <c r="K114" s="519"/>
      <c r="L114" s="519"/>
      <c r="M114" s="140"/>
      <c r="N114" s="140">
        <v>4</v>
      </c>
      <c r="O114" s="140"/>
      <c r="P114" s="140"/>
      <c r="Q114" s="140"/>
      <c r="R114" s="150"/>
      <c r="S114" s="151">
        <v>8</v>
      </c>
      <c r="T114" s="152"/>
      <c r="U114" s="152"/>
      <c r="V114" s="153"/>
      <c r="W114" s="112">
        <f t="shared" si="22"/>
        <v>35.200000000000003</v>
      </c>
      <c r="X114" s="113">
        <f t="shared" si="23"/>
        <v>32</v>
      </c>
      <c r="Y114" s="114">
        <f>AN114+AQ114+AT114+AW114+AZ114+BC114+BF114+BI114+BL114+BO114+BR114+BU114</f>
        <v>16</v>
      </c>
      <c r="Z114" s="114">
        <f t="shared" si="26"/>
        <v>16</v>
      </c>
      <c r="AA114" s="115">
        <f t="shared" si="26"/>
        <v>0</v>
      </c>
      <c r="AB114" s="116"/>
      <c r="AC114" s="136"/>
      <c r="AD114" s="117"/>
      <c r="AE114" s="117"/>
      <c r="AF114" s="117"/>
      <c r="AG114" s="118"/>
      <c r="AH114" s="137"/>
      <c r="AI114" s="137"/>
      <c r="AJ114" s="138"/>
      <c r="AK114" s="119">
        <f t="shared" si="24"/>
        <v>108.8</v>
      </c>
      <c r="AL114" s="632"/>
      <c r="AM114" s="296"/>
      <c r="AN114" s="625"/>
      <c r="AO114" s="444"/>
      <c r="AP114" s="444"/>
      <c r="AQ114" s="154"/>
      <c r="AR114" s="154"/>
      <c r="AS114" s="154"/>
      <c r="AT114" s="444"/>
      <c r="AU114" s="444"/>
      <c r="AV114" s="444"/>
      <c r="AW114" s="154"/>
      <c r="AX114" s="154"/>
      <c r="AY114" s="154"/>
      <c r="AZ114" s="444"/>
      <c r="BA114" s="444"/>
      <c r="BB114" s="444"/>
      <c r="BC114" s="154"/>
      <c r="BD114" s="154"/>
      <c r="BE114" s="154"/>
      <c r="BF114" s="444"/>
      <c r="BG114" s="444"/>
      <c r="BH114" s="444"/>
      <c r="BI114" s="154">
        <v>16</v>
      </c>
      <c r="BJ114" s="154">
        <v>16</v>
      </c>
      <c r="BK114" s="154"/>
      <c r="BL114" s="450"/>
      <c r="BM114" s="450"/>
      <c r="BN114" s="450"/>
      <c r="BO114" s="154"/>
      <c r="BP114" s="154"/>
      <c r="BQ114" s="154"/>
      <c r="BR114" s="450"/>
      <c r="BS114" s="450"/>
      <c r="BT114" s="450"/>
      <c r="BU114" s="154"/>
      <c r="BV114" s="154"/>
      <c r="BW114" s="155"/>
      <c r="BX114" s="200" t="s">
        <v>323</v>
      </c>
      <c r="BY114" s="122">
        <f t="shared" si="25"/>
        <v>22.222222222222221</v>
      </c>
    </row>
    <row r="115" spans="1:77" s="201" customFormat="1" ht="23.1" hidden="1" customHeight="1" x14ac:dyDescent="0.25">
      <c r="A115" s="230"/>
      <c r="B115" s="231"/>
      <c r="C115" s="131">
        <v>46</v>
      </c>
      <c r="D115" s="448"/>
      <c r="E115" s="147">
        <f t="shared" si="20"/>
        <v>0</v>
      </c>
      <c r="F115" s="148">
        <f t="shared" si="21"/>
        <v>0</v>
      </c>
      <c r="G115" s="234"/>
      <c r="H115" s="230"/>
      <c r="I115" s="230"/>
      <c r="J115" s="230"/>
      <c r="K115" s="523"/>
      <c r="L115" s="523"/>
      <c r="M115" s="230"/>
      <c r="N115" s="230"/>
      <c r="O115" s="230"/>
      <c r="P115" s="230"/>
      <c r="Q115" s="230"/>
      <c r="R115" s="235"/>
      <c r="S115" s="236"/>
      <c r="T115" s="237"/>
      <c r="U115" s="237"/>
      <c r="V115" s="238"/>
      <c r="W115" s="112">
        <f t="shared" si="22"/>
        <v>0</v>
      </c>
      <c r="X115" s="113">
        <f t="shared" si="23"/>
        <v>0</v>
      </c>
      <c r="Y115" s="114">
        <f>AN115+AQ115+AT115+AW115+AZ115+BC115+BF115+BI115+BL115+BO115+BR115+BU115</f>
        <v>0</v>
      </c>
      <c r="Z115" s="114">
        <f t="shared" si="26"/>
        <v>0</v>
      </c>
      <c r="AA115" s="115">
        <f t="shared" si="26"/>
        <v>0</v>
      </c>
      <c r="AB115" s="116"/>
      <c r="AC115" s="136"/>
      <c r="AD115" s="117"/>
      <c r="AE115" s="117"/>
      <c r="AF115" s="117"/>
      <c r="AG115" s="118"/>
      <c r="AH115" s="137"/>
      <c r="AI115" s="137"/>
      <c r="AJ115" s="138"/>
      <c r="AK115" s="119">
        <f t="shared" si="24"/>
        <v>0</v>
      </c>
      <c r="AL115" s="632"/>
      <c r="AM115" s="296"/>
      <c r="AN115" s="628"/>
      <c r="AO115" s="450"/>
      <c r="AP115" s="450"/>
      <c r="AQ115" s="240"/>
      <c r="AR115" s="240"/>
      <c r="AS115" s="240"/>
      <c r="AT115" s="450"/>
      <c r="AU115" s="450"/>
      <c r="AV115" s="450"/>
      <c r="AW115" s="240"/>
      <c r="AX115" s="240"/>
      <c r="AY115" s="240"/>
      <c r="AZ115" s="450"/>
      <c r="BA115" s="450"/>
      <c r="BB115" s="450"/>
      <c r="BC115" s="240"/>
      <c r="BD115" s="240"/>
      <c r="BE115" s="240"/>
      <c r="BF115" s="450"/>
      <c r="BG115" s="450"/>
      <c r="BH115" s="450"/>
      <c r="BI115" s="240"/>
      <c r="BJ115" s="240"/>
      <c r="BK115" s="240"/>
      <c r="BL115" s="239"/>
      <c r="BM115" s="239"/>
      <c r="BN115" s="239"/>
      <c r="BO115" s="240"/>
      <c r="BP115" s="240"/>
      <c r="BQ115" s="240"/>
      <c r="BR115" s="239"/>
      <c r="BS115" s="239"/>
      <c r="BT115" s="239"/>
      <c r="BU115" s="240"/>
      <c r="BV115" s="240"/>
      <c r="BW115" s="241"/>
      <c r="BX115" s="202"/>
      <c r="BY115" s="122" t="e">
        <f t="shared" si="25"/>
        <v>#DIV/0!</v>
      </c>
    </row>
    <row r="116" spans="1:77" s="70" customFormat="1" ht="33.75" hidden="1" customHeight="1" x14ac:dyDescent="0.25">
      <c r="A116" s="140"/>
      <c r="B116" s="130"/>
      <c r="C116" s="131">
        <v>47</v>
      </c>
      <c r="D116" s="447"/>
      <c r="E116" s="147">
        <f t="shared" si="20"/>
        <v>0</v>
      </c>
      <c r="F116" s="148">
        <f t="shared" si="21"/>
        <v>0</v>
      </c>
      <c r="G116" s="234"/>
      <c r="H116" s="230"/>
      <c r="I116" s="230"/>
      <c r="J116" s="230"/>
      <c r="K116" s="523"/>
      <c r="L116" s="523"/>
      <c r="M116" s="230"/>
      <c r="N116" s="230"/>
      <c r="O116" s="230"/>
      <c r="P116" s="230"/>
      <c r="Q116" s="230"/>
      <c r="R116" s="235"/>
      <c r="S116" s="236"/>
      <c r="T116" s="237"/>
      <c r="U116" s="237"/>
      <c r="V116" s="238"/>
      <c r="W116" s="112">
        <f t="shared" si="22"/>
        <v>0</v>
      </c>
      <c r="X116" s="113">
        <f t="shared" si="23"/>
        <v>0</v>
      </c>
      <c r="Y116" s="114">
        <f>AN116+AQ116+AT116+AW116+AZ116+BC116+BF116+BI116+BL116+BO116+BR116+BU116</f>
        <v>0</v>
      </c>
      <c r="Z116" s="114">
        <f t="shared" si="26"/>
        <v>0</v>
      </c>
      <c r="AA116" s="115">
        <f t="shared" si="26"/>
        <v>0</v>
      </c>
      <c r="AB116" s="116"/>
      <c r="AC116" s="136"/>
      <c r="AD116" s="117"/>
      <c r="AE116" s="117"/>
      <c r="AF116" s="117"/>
      <c r="AG116" s="118"/>
      <c r="AH116" s="137"/>
      <c r="AI116" s="137"/>
      <c r="AJ116" s="138"/>
      <c r="AK116" s="119">
        <f t="shared" si="24"/>
        <v>0</v>
      </c>
      <c r="AL116" s="632"/>
      <c r="AM116" s="296"/>
      <c r="AN116" s="628"/>
      <c r="AO116" s="450"/>
      <c r="AP116" s="450"/>
      <c r="AQ116" s="240"/>
      <c r="AR116" s="240"/>
      <c r="AS116" s="240"/>
      <c r="AT116" s="450"/>
      <c r="AU116" s="450"/>
      <c r="AV116" s="450"/>
      <c r="AW116" s="240"/>
      <c r="AX116" s="240"/>
      <c r="AY116" s="240"/>
      <c r="AZ116" s="450"/>
      <c r="BA116" s="450"/>
      <c r="BB116" s="450"/>
      <c r="BC116" s="240"/>
      <c r="BD116" s="240"/>
      <c r="BE116" s="240"/>
      <c r="BF116" s="450"/>
      <c r="BG116" s="450"/>
      <c r="BH116" s="450"/>
      <c r="BI116" s="240"/>
      <c r="BJ116" s="240"/>
      <c r="BK116" s="240"/>
      <c r="BL116" s="239"/>
      <c r="BM116" s="239"/>
      <c r="BN116" s="239"/>
      <c r="BO116" s="240"/>
      <c r="BP116" s="240"/>
      <c r="BQ116" s="240"/>
      <c r="BR116" s="239"/>
      <c r="BS116" s="239"/>
      <c r="BT116" s="239"/>
      <c r="BU116" s="240"/>
      <c r="BV116" s="240"/>
      <c r="BW116" s="241"/>
      <c r="BX116" s="202"/>
      <c r="BY116" s="122" t="e">
        <f t="shared" si="25"/>
        <v>#DIV/0!</v>
      </c>
    </row>
    <row r="117" spans="1:77" s="201" customFormat="1" ht="30" customHeight="1" x14ac:dyDescent="0.25">
      <c r="A117" s="231"/>
      <c r="B117" s="231"/>
      <c r="C117" s="232"/>
      <c r="D117" s="124" t="s">
        <v>135</v>
      </c>
      <c r="E117" s="125">
        <f>SUM(E118:E130)</f>
        <v>29</v>
      </c>
      <c r="F117" s="126">
        <f t="shared" si="2"/>
        <v>1044</v>
      </c>
      <c r="G117" s="133"/>
      <c r="H117" s="134"/>
      <c r="I117" s="134"/>
      <c r="J117" s="134"/>
      <c r="K117" s="353"/>
      <c r="L117" s="353"/>
      <c r="M117" s="134"/>
      <c r="N117" s="134"/>
      <c r="O117" s="134"/>
      <c r="P117" s="134"/>
      <c r="Q117" s="134"/>
      <c r="R117" s="135"/>
      <c r="S117" s="109"/>
      <c r="T117" s="110"/>
      <c r="U117" s="110"/>
      <c r="V117" s="111"/>
      <c r="W117" s="112"/>
      <c r="X117" s="113"/>
      <c r="Y117" s="114"/>
      <c r="Z117" s="114"/>
      <c r="AA117" s="115"/>
      <c r="AB117" s="116"/>
      <c r="AC117" s="136"/>
      <c r="AD117" s="117"/>
      <c r="AE117" s="117"/>
      <c r="AF117" s="117"/>
      <c r="AG117" s="118"/>
      <c r="AH117" s="137"/>
      <c r="AI117" s="137"/>
      <c r="AJ117" s="138"/>
      <c r="AK117" s="119"/>
      <c r="AL117" s="632"/>
      <c r="AM117" s="296"/>
      <c r="AN117" s="62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5"/>
      <c r="BX117" s="139"/>
      <c r="BY117" s="120"/>
    </row>
    <row r="118" spans="1:77" s="201" customFormat="1" ht="30" customHeight="1" x14ac:dyDescent="0.25">
      <c r="A118" s="230"/>
      <c r="B118" s="231"/>
      <c r="C118" s="232">
        <v>32</v>
      </c>
      <c r="D118" s="516" t="s">
        <v>250</v>
      </c>
      <c r="E118" s="533">
        <v>4</v>
      </c>
      <c r="F118" s="148">
        <v>144</v>
      </c>
      <c r="G118" s="234"/>
      <c r="H118" s="230">
        <v>4</v>
      </c>
      <c r="I118" s="230"/>
      <c r="J118" s="230"/>
      <c r="K118" s="519"/>
      <c r="L118" s="519"/>
      <c r="M118" s="140"/>
      <c r="N118" s="140"/>
      <c r="O118" s="230"/>
      <c r="P118" s="230"/>
      <c r="Q118" s="230"/>
      <c r="R118" s="235"/>
      <c r="S118" s="236">
        <v>2</v>
      </c>
      <c r="T118" s="237"/>
      <c r="U118" s="237"/>
      <c r="V118" s="238"/>
      <c r="W118" s="112">
        <v>70.400000000000006</v>
      </c>
      <c r="X118" s="113">
        <v>64</v>
      </c>
      <c r="Y118" s="114">
        <v>32</v>
      </c>
      <c r="Z118" s="114">
        <v>0</v>
      </c>
      <c r="AA118" s="115">
        <v>32</v>
      </c>
      <c r="AB118" s="116"/>
      <c r="AC118" s="136"/>
      <c r="AD118" s="117"/>
      <c r="AE118" s="117"/>
      <c r="AF118" s="117"/>
      <c r="AG118" s="118"/>
      <c r="AH118" s="137"/>
      <c r="AI118" s="137"/>
      <c r="AJ118" s="138"/>
      <c r="AK118" s="119">
        <v>73.599999999999994</v>
      </c>
      <c r="AL118" s="632"/>
      <c r="AM118" s="296"/>
      <c r="AN118" s="628"/>
      <c r="AO118" s="450"/>
      <c r="AP118" s="450"/>
      <c r="AQ118" s="240">
        <v>32</v>
      </c>
      <c r="AR118" s="240"/>
      <c r="AS118" s="240">
        <v>32</v>
      </c>
      <c r="AT118" s="450"/>
      <c r="AU118" s="450"/>
      <c r="AV118" s="450"/>
      <c r="AW118" s="240"/>
      <c r="AX118" s="240"/>
      <c r="AY118" s="240"/>
      <c r="AZ118" s="450"/>
      <c r="BA118" s="450"/>
      <c r="BB118" s="450"/>
      <c r="BC118" s="240"/>
      <c r="BD118" s="240"/>
      <c r="BE118" s="240"/>
      <c r="BF118" s="450"/>
      <c r="BG118" s="450"/>
      <c r="BH118" s="450"/>
      <c r="BI118" s="240"/>
      <c r="BJ118" s="240"/>
      <c r="BK118" s="240"/>
      <c r="BL118" s="450"/>
      <c r="BM118" s="450"/>
      <c r="BN118" s="450"/>
      <c r="BO118" s="240"/>
      <c r="BP118" s="240"/>
      <c r="BQ118" s="240"/>
      <c r="BR118" s="450"/>
      <c r="BS118" s="450"/>
      <c r="BT118" s="450"/>
      <c r="BU118" s="240"/>
      <c r="BV118" s="240"/>
      <c r="BW118" s="241"/>
      <c r="BX118" s="200" t="s">
        <v>323</v>
      </c>
      <c r="BY118" s="122">
        <f t="shared" si="25"/>
        <v>44.444444444444443</v>
      </c>
    </row>
    <row r="119" spans="1:77" s="201" customFormat="1" ht="34.5" customHeight="1" x14ac:dyDescent="0.25">
      <c r="A119" s="230"/>
      <c r="B119" s="231"/>
      <c r="C119" s="232">
        <v>33</v>
      </c>
      <c r="D119" s="516" t="s">
        <v>251</v>
      </c>
      <c r="E119" s="147">
        <v>6</v>
      </c>
      <c r="F119" s="148">
        <v>216</v>
      </c>
      <c r="G119" s="149"/>
      <c r="H119" s="140"/>
      <c r="I119" s="140">
        <v>6</v>
      </c>
      <c r="J119" s="140"/>
      <c r="K119" s="523"/>
      <c r="L119" s="523"/>
      <c r="M119" s="230"/>
      <c r="N119" s="230"/>
      <c r="O119" s="230"/>
      <c r="P119" s="230"/>
      <c r="Q119" s="230"/>
      <c r="R119" s="235"/>
      <c r="S119" s="236">
        <v>3</v>
      </c>
      <c r="T119" s="237"/>
      <c r="U119" s="237"/>
      <c r="V119" s="238"/>
      <c r="W119" s="112">
        <v>70.400000000000006</v>
      </c>
      <c r="X119" s="113">
        <v>64</v>
      </c>
      <c r="Y119" s="114">
        <v>32</v>
      </c>
      <c r="Z119" s="114">
        <v>32</v>
      </c>
      <c r="AA119" s="115">
        <v>0</v>
      </c>
      <c r="AB119" s="116"/>
      <c r="AC119" s="136"/>
      <c r="AD119" s="117"/>
      <c r="AE119" s="117"/>
      <c r="AF119" s="117"/>
      <c r="AG119" s="118"/>
      <c r="AH119" s="137"/>
      <c r="AI119" s="137"/>
      <c r="AJ119" s="138"/>
      <c r="AK119" s="119">
        <v>145.6</v>
      </c>
      <c r="AL119" s="632"/>
      <c r="AM119" s="296"/>
      <c r="AN119" s="628"/>
      <c r="AO119" s="450"/>
      <c r="AP119" s="450"/>
      <c r="AQ119" s="240"/>
      <c r="AR119" s="240"/>
      <c r="AS119" s="240"/>
      <c r="AT119" s="450">
        <v>32</v>
      </c>
      <c r="AU119" s="450">
        <v>32</v>
      </c>
      <c r="AV119" s="450"/>
      <c r="AW119" s="240"/>
      <c r="AX119" s="240"/>
      <c r="AY119" s="240"/>
      <c r="AZ119" s="450"/>
      <c r="BA119" s="450"/>
      <c r="BB119" s="450"/>
      <c r="BC119" s="240"/>
      <c r="BD119" s="240"/>
      <c r="BE119" s="240"/>
      <c r="BF119" s="450"/>
      <c r="BG119" s="450"/>
      <c r="BH119" s="450"/>
      <c r="BI119" s="240"/>
      <c r="BJ119" s="240"/>
      <c r="BK119" s="240"/>
      <c r="BL119" s="450"/>
      <c r="BM119" s="450"/>
      <c r="BN119" s="450"/>
      <c r="BO119" s="240"/>
      <c r="BP119" s="240"/>
      <c r="BQ119" s="240"/>
      <c r="BR119" s="450"/>
      <c r="BS119" s="450"/>
      <c r="BT119" s="450"/>
      <c r="BU119" s="240"/>
      <c r="BV119" s="240"/>
      <c r="BW119" s="241"/>
      <c r="BX119" s="200" t="s">
        <v>323</v>
      </c>
      <c r="BY119" s="122">
        <f t="shared" si="25"/>
        <v>29.629629629629626</v>
      </c>
    </row>
    <row r="120" spans="1:77" s="201" customFormat="1" ht="30" customHeight="1" x14ac:dyDescent="0.25">
      <c r="A120" s="230"/>
      <c r="B120" s="231"/>
      <c r="C120" s="232">
        <v>34</v>
      </c>
      <c r="D120" s="516" t="s">
        <v>248</v>
      </c>
      <c r="E120" s="147">
        <v>9</v>
      </c>
      <c r="F120" s="148">
        <v>324</v>
      </c>
      <c r="G120" s="149"/>
      <c r="H120" s="140"/>
      <c r="I120" s="140"/>
      <c r="J120" s="140"/>
      <c r="K120" s="523">
        <v>5</v>
      </c>
      <c r="L120" s="523">
        <v>4</v>
      </c>
      <c r="M120" s="230"/>
      <c r="N120" s="230"/>
      <c r="O120" s="230"/>
      <c r="P120" s="230"/>
      <c r="Q120" s="230"/>
      <c r="R120" s="235"/>
      <c r="S120" s="236">
        <v>6</v>
      </c>
      <c r="T120" s="237"/>
      <c r="U120" s="237">
        <v>5</v>
      </c>
      <c r="V120" s="238">
        <v>6</v>
      </c>
      <c r="W120" s="112">
        <v>123.2</v>
      </c>
      <c r="X120" s="113">
        <v>112</v>
      </c>
      <c r="Y120" s="114">
        <v>48</v>
      </c>
      <c r="Z120" s="114">
        <v>64</v>
      </c>
      <c r="AA120" s="115">
        <v>0</v>
      </c>
      <c r="AB120" s="116"/>
      <c r="AC120" s="136"/>
      <c r="AD120" s="117"/>
      <c r="AE120" s="117"/>
      <c r="AF120" s="117"/>
      <c r="AG120" s="118"/>
      <c r="AH120" s="137"/>
      <c r="AI120" s="137"/>
      <c r="AJ120" s="138"/>
      <c r="AK120" s="119">
        <v>200.8</v>
      </c>
      <c r="AL120" s="632"/>
      <c r="AM120" s="296"/>
      <c r="AN120" s="628"/>
      <c r="AO120" s="450"/>
      <c r="AP120" s="450"/>
      <c r="AQ120" s="240"/>
      <c r="AR120" s="240"/>
      <c r="AS120" s="240"/>
      <c r="AT120" s="450"/>
      <c r="AU120" s="450"/>
      <c r="AV120" s="450"/>
      <c r="AW120" s="240"/>
      <c r="AX120" s="240"/>
      <c r="AY120" s="240"/>
      <c r="AZ120" s="450">
        <v>32</v>
      </c>
      <c r="BA120" s="450">
        <v>32</v>
      </c>
      <c r="BB120" s="450"/>
      <c r="BC120" s="240">
        <v>16</v>
      </c>
      <c r="BD120" s="240">
        <v>32</v>
      </c>
      <c r="BE120" s="240"/>
      <c r="BF120" s="450"/>
      <c r="BG120" s="450"/>
      <c r="BH120" s="450"/>
      <c r="BI120" s="240"/>
      <c r="BJ120" s="240"/>
      <c r="BK120" s="240"/>
      <c r="BL120" s="450"/>
      <c r="BM120" s="450"/>
      <c r="BN120" s="450"/>
      <c r="BO120" s="240"/>
      <c r="BP120" s="240"/>
      <c r="BQ120" s="240"/>
      <c r="BR120" s="450"/>
      <c r="BS120" s="450"/>
      <c r="BT120" s="450"/>
      <c r="BU120" s="240"/>
      <c r="BV120" s="240"/>
      <c r="BW120" s="241"/>
      <c r="BX120" s="200" t="s">
        <v>323</v>
      </c>
      <c r="BY120" s="122">
        <f t="shared" si="25"/>
        <v>34.567901234567898</v>
      </c>
    </row>
    <row r="121" spans="1:77" s="201" customFormat="1" ht="30" customHeight="1" x14ac:dyDescent="0.25">
      <c r="A121" s="230"/>
      <c r="B121" s="231"/>
      <c r="C121" s="232">
        <v>35</v>
      </c>
      <c r="D121" s="516" t="s">
        <v>252</v>
      </c>
      <c r="E121" s="147">
        <v>7</v>
      </c>
      <c r="F121" s="148">
        <v>252</v>
      </c>
      <c r="G121" s="149"/>
      <c r="H121" s="140">
        <v>4</v>
      </c>
      <c r="I121" s="140">
        <v>3</v>
      </c>
      <c r="J121" s="140"/>
      <c r="K121" s="523"/>
      <c r="L121" s="523"/>
      <c r="M121" s="230"/>
      <c r="N121" s="230"/>
      <c r="O121" s="230"/>
      <c r="P121" s="230"/>
      <c r="Q121" s="230"/>
      <c r="R121" s="235"/>
      <c r="S121" s="236">
        <v>3</v>
      </c>
      <c r="T121" s="237">
        <v>2</v>
      </c>
      <c r="U121" s="237"/>
      <c r="V121" s="238"/>
      <c r="W121" s="112">
        <v>123.2</v>
      </c>
      <c r="X121" s="113">
        <v>112</v>
      </c>
      <c r="Y121" s="114">
        <v>48</v>
      </c>
      <c r="Z121" s="114">
        <v>32</v>
      </c>
      <c r="AA121" s="115">
        <v>32</v>
      </c>
      <c r="AB121" s="116"/>
      <c r="AC121" s="136"/>
      <c r="AD121" s="117"/>
      <c r="AE121" s="117"/>
      <c r="AF121" s="117"/>
      <c r="AG121" s="118"/>
      <c r="AH121" s="137"/>
      <c r="AI121" s="137"/>
      <c r="AJ121" s="138"/>
      <c r="AK121" s="119">
        <v>128.80000000000001</v>
      </c>
      <c r="AL121" s="632"/>
      <c r="AM121" s="296"/>
      <c r="AN121" s="628"/>
      <c r="AO121" s="450"/>
      <c r="AP121" s="450"/>
      <c r="AQ121" s="240">
        <v>32</v>
      </c>
      <c r="AR121" s="240">
        <v>16</v>
      </c>
      <c r="AS121" s="240">
        <v>16</v>
      </c>
      <c r="AT121" s="450">
        <v>16</v>
      </c>
      <c r="AU121" s="450">
        <v>16</v>
      </c>
      <c r="AV121" s="450">
        <v>16</v>
      </c>
      <c r="AW121" s="240"/>
      <c r="AX121" s="240"/>
      <c r="AY121" s="240"/>
      <c r="AZ121" s="450"/>
      <c r="BA121" s="450"/>
      <c r="BB121" s="450"/>
      <c r="BC121" s="240"/>
      <c r="BD121" s="240"/>
      <c r="BE121" s="240"/>
      <c r="BF121" s="450"/>
      <c r="BG121" s="450"/>
      <c r="BH121" s="450"/>
      <c r="BI121" s="240"/>
      <c r="BJ121" s="240"/>
      <c r="BK121" s="240"/>
      <c r="BL121" s="450"/>
      <c r="BM121" s="450"/>
      <c r="BN121" s="450"/>
      <c r="BO121" s="240"/>
      <c r="BP121" s="240"/>
      <c r="BQ121" s="240"/>
      <c r="BR121" s="450"/>
      <c r="BS121" s="450"/>
      <c r="BT121" s="450"/>
      <c r="BU121" s="240"/>
      <c r="BV121" s="240"/>
      <c r="BW121" s="241"/>
      <c r="BX121" s="202" t="s">
        <v>315</v>
      </c>
      <c r="BY121" s="122">
        <f t="shared" si="25"/>
        <v>44.444444444444443</v>
      </c>
    </row>
    <row r="122" spans="1:77" s="201" customFormat="1" ht="37.5" customHeight="1" x14ac:dyDescent="0.25">
      <c r="A122" s="230"/>
      <c r="B122" s="231"/>
      <c r="C122" s="232">
        <v>36</v>
      </c>
      <c r="D122" s="242" t="s">
        <v>246</v>
      </c>
      <c r="E122" s="147">
        <v>3</v>
      </c>
      <c r="F122" s="148">
        <v>108</v>
      </c>
      <c r="G122" s="149"/>
      <c r="H122" s="140">
        <v>3</v>
      </c>
      <c r="I122" s="140"/>
      <c r="J122" s="140"/>
      <c r="K122" s="523"/>
      <c r="L122" s="523"/>
      <c r="M122" s="230"/>
      <c r="N122" s="230"/>
      <c r="O122" s="230"/>
      <c r="P122" s="230"/>
      <c r="Q122" s="230"/>
      <c r="R122" s="235"/>
      <c r="S122" s="236"/>
      <c r="T122" s="237"/>
      <c r="U122" s="237">
        <v>2</v>
      </c>
      <c r="V122" s="238"/>
      <c r="W122" s="112">
        <v>52.8</v>
      </c>
      <c r="X122" s="113">
        <v>48</v>
      </c>
      <c r="Y122" s="114">
        <v>16</v>
      </c>
      <c r="Z122" s="114">
        <v>32</v>
      </c>
      <c r="AA122" s="115">
        <v>0</v>
      </c>
      <c r="AB122" s="116"/>
      <c r="AC122" s="136"/>
      <c r="AD122" s="117"/>
      <c r="AE122" s="117"/>
      <c r="AF122" s="117"/>
      <c r="AG122" s="118"/>
      <c r="AH122" s="137"/>
      <c r="AI122" s="137"/>
      <c r="AJ122" s="138"/>
      <c r="AK122" s="119">
        <v>55.2</v>
      </c>
      <c r="AL122" s="632"/>
      <c r="AM122" s="296"/>
      <c r="AN122" s="628"/>
      <c r="AO122" s="450"/>
      <c r="AP122" s="450"/>
      <c r="AQ122" s="240">
        <v>16</v>
      </c>
      <c r="AR122" s="240">
        <v>32</v>
      </c>
      <c r="AS122" s="240"/>
      <c r="AT122" s="450"/>
      <c r="AU122" s="450"/>
      <c r="AV122" s="450"/>
      <c r="AW122" s="240"/>
      <c r="AX122" s="240"/>
      <c r="AY122" s="240"/>
      <c r="AZ122" s="450"/>
      <c r="BA122" s="450"/>
      <c r="BB122" s="450"/>
      <c r="BC122" s="240"/>
      <c r="BD122" s="240"/>
      <c r="BE122" s="240"/>
      <c r="BF122" s="450"/>
      <c r="BG122" s="450"/>
      <c r="BH122" s="450"/>
      <c r="BI122" s="240"/>
      <c r="BJ122" s="240"/>
      <c r="BK122" s="240"/>
      <c r="BL122" s="450"/>
      <c r="BM122" s="450"/>
      <c r="BN122" s="450"/>
      <c r="BO122" s="240"/>
      <c r="BP122" s="240"/>
      <c r="BQ122" s="240"/>
      <c r="BR122" s="450"/>
      <c r="BS122" s="450"/>
      <c r="BT122" s="450"/>
      <c r="BU122" s="240"/>
      <c r="BV122" s="240"/>
      <c r="BW122" s="241"/>
      <c r="BX122" s="200" t="s">
        <v>323</v>
      </c>
      <c r="BY122" s="122">
        <f t="shared" si="25"/>
        <v>44.444444444444443</v>
      </c>
    </row>
    <row r="123" spans="1:77" s="201" customFormat="1" ht="24" hidden="1" customHeight="1" x14ac:dyDescent="0.25">
      <c r="A123" s="230"/>
      <c r="B123" s="231"/>
      <c r="C123" s="232">
        <v>53</v>
      </c>
      <c r="D123" s="233"/>
      <c r="E123" s="147">
        <f t="shared" ref="E123:E130" si="27">G123+H123+I123+J123+K123+L123+M123+N123+O123+P123+Q123+R123</f>
        <v>0</v>
      </c>
      <c r="F123" s="148">
        <f t="shared" si="2"/>
        <v>0</v>
      </c>
      <c r="G123" s="149"/>
      <c r="H123" s="140"/>
      <c r="I123" s="140"/>
      <c r="J123" s="140"/>
      <c r="K123" s="523"/>
      <c r="L123" s="523"/>
      <c r="M123" s="230"/>
      <c r="N123" s="230"/>
      <c r="O123" s="230"/>
      <c r="P123" s="230"/>
      <c r="Q123" s="230"/>
      <c r="R123" s="235"/>
      <c r="S123" s="236"/>
      <c r="T123" s="237"/>
      <c r="U123" s="237"/>
      <c r="V123" s="238"/>
      <c r="W123" s="112">
        <f t="shared" ref="W123:W130" si="28">X123+X123*0.1</f>
        <v>0</v>
      </c>
      <c r="X123" s="113">
        <f t="shared" ref="X123:X130" si="29">SUM(Y123:AA123)</f>
        <v>0</v>
      </c>
      <c r="Y123" s="114">
        <f t="shared" ref="Y123:Y130" si="30">AN123+AQ123+AT123+AW123+AZ123+BC123+BF123+BI123+BL123+BO123+BR123+BU123</f>
        <v>0</v>
      </c>
      <c r="Z123" s="114">
        <f t="shared" ref="Z123:AA130" si="31">AO123+AR123+AU123+AX123+BA123+BD123+BG123+BJ123+BM123+BP123+BS123+BV123</f>
        <v>0</v>
      </c>
      <c r="AA123" s="115">
        <f t="shared" si="31"/>
        <v>0</v>
      </c>
      <c r="AB123" s="116"/>
      <c r="AC123" s="136"/>
      <c r="AD123" s="117"/>
      <c r="AE123" s="117"/>
      <c r="AF123" s="117"/>
      <c r="AG123" s="118"/>
      <c r="AH123" s="137"/>
      <c r="AI123" s="137"/>
      <c r="AJ123" s="138"/>
      <c r="AK123" s="119">
        <f t="shared" si="24"/>
        <v>0</v>
      </c>
      <c r="AL123" s="632"/>
      <c r="AM123" s="296"/>
      <c r="AN123" s="628"/>
      <c r="AO123" s="450"/>
      <c r="AP123" s="450"/>
      <c r="AQ123" s="240"/>
      <c r="AR123" s="240"/>
      <c r="AS123" s="240"/>
      <c r="AT123" s="450"/>
      <c r="AU123" s="450"/>
      <c r="AV123" s="450"/>
      <c r="AW123" s="240"/>
      <c r="AX123" s="240"/>
      <c r="AY123" s="240"/>
      <c r="AZ123" s="450"/>
      <c r="BA123" s="450"/>
      <c r="BB123" s="450"/>
      <c r="BC123" s="240"/>
      <c r="BD123" s="240"/>
      <c r="BE123" s="240"/>
      <c r="BF123" s="450"/>
      <c r="BG123" s="450"/>
      <c r="BH123" s="450"/>
      <c r="BI123" s="240"/>
      <c r="BJ123" s="240"/>
      <c r="BK123" s="240"/>
      <c r="BL123" s="239"/>
      <c r="BM123" s="239"/>
      <c r="BN123" s="239"/>
      <c r="BO123" s="240"/>
      <c r="BP123" s="240"/>
      <c r="BQ123" s="240"/>
      <c r="BR123" s="239"/>
      <c r="BS123" s="239"/>
      <c r="BT123" s="239"/>
      <c r="BU123" s="240"/>
      <c r="BV123" s="240"/>
      <c r="BW123" s="241"/>
      <c r="BX123" s="202"/>
      <c r="BY123" s="122" t="e">
        <f t="shared" si="25"/>
        <v>#DIV/0!</v>
      </c>
    </row>
    <row r="124" spans="1:77" s="201" customFormat="1" ht="24" hidden="1" customHeight="1" x14ac:dyDescent="0.25">
      <c r="A124" s="230"/>
      <c r="B124" s="231"/>
      <c r="C124" s="232">
        <v>54</v>
      </c>
      <c r="D124" s="233"/>
      <c r="E124" s="147">
        <f t="shared" si="27"/>
        <v>0</v>
      </c>
      <c r="F124" s="148">
        <f t="shared" si="2"/>
        <v>0</v>
      </c>
      <c r="G124" s="149"/>
      <c r="H124" s="140"/>
      <c r="I124" s="140"/>
      <c r="J124" s="140"/>
      <c r="K124" s="523"/>
      <c r="L124" s="523"/>
      <c r="M124" s="230"/>
      <c r="N124" s="230"/>
      <c r="O124" s="230"/>
      <c r="P124" s="230"/>
      <c r="Q124" s="230"/>
      <c r="R124" s="235"/>
      <c r="S124" s="236"/>
      <c r="T124" s="237"/>
      <c r="U124" s="237"/>
      <c r="V124" s="238"/>
      <c r="W124" s="112">
        <f t="shared" si="28"/>
        <v>0</v>
      </c>
      <c r="X124" s="113">
        <f t="shared" si="29"/>
        <v>0</v>
      </c>
      <c r="Y124" s="114">
        <f t="shared" si="30"/>
        <v>0</v>
      </c>
      <c r="Z124" s="114">
        <f t="shared" si="31"/>
        <v>0</v>
      </c>
      <c r="AA124" s="115">
        <f t="shared" si="31"/>
        <v>0</v>
      </c>
      <c r="AB124" s="116"/>
      <c r="AC124" s="136"/>
      <c r="AD124" s="117"/>
      <c r="AE124" s="117"/>
      <c r="AF124" s="117"/>
      <c r="AG124" s="118"/>
      <c r="AH124" s="137"/>
      <c r="AI124" s="137"/>
      <c r="AJ124" s="138"/>
      <c r="AK124" s="119">
        <f t="shared" si="24"/>
        <v>0</v>
      </c>
      <c r="AL124" s="632"/>
      <c r="AM124" s="296"/>
      <c r="AN124" s="628"/>
      <c r="AO124" s="450"/>
      <c r="AP124" s="450"/>
      <c r="AQ124" s="240"/>
      <c r="AR124" s="240"/>
      <c r="AS124" s="240"/>
      <c r="AT124" s="450"/>
      <c r="AU124" s="450"/>
      <c r="AV124" s="450"/>
      <c r="AW124" s="240"/>
      <c r="AX124" s="240"/>
      <c r="AY124" s="240"/>
      <c r="AZ124" s="450"/>
      <c r="BA124" s="450"/>
      <c r="BB124" s="450"/>
      <c r="BC124" s="240"/>
      <c r="BD124" s="240"/>
      <c r="BE124" s="240"/>
      <c r="BF124" s="450"/>
      <c r="BG124" s="450"/>
      <c r="BH124" s="450"/>
      <c r="BI124" s="240"/>
      <c r="BJ124" s="240"/>
      <c r="BK124" s="240"/>
      <c r="BL124" s="239"/>
      <c r="BM124" s="239"/>
      <c r="BN124" s="239"/>
      <c r="BO124" s="240"/>
      <c r="BP124" s="240"/>
      <c r="BQ124" s="240"/>
      <c r="BR124" s="239"/>
      <c r="BS124" s="239"/>
      <c r="BT124" s="239"/>
      <c r="BU124" s="240"/>
      <c r="BV124" s="240"/>
      <c r="BW124" s="241"/>
      <c r="BX124" s="202"/>
      <c r="BY124" s="122" t="e">
        <f t="shared" si="25"/>
        <v>#DIV/0!</v>
      </c>
    </row>
    <row r="125" spans="1:77" s="201" customFormat="1" ht="26.25" hidden="1" customHeight="1" x14ac:dyDescent="0.25">
      <c r="A125" s="230"/>
      <c r="B125" s="231"/>
      <c r="C125" s="232">
        <v>55</v>
      </c>
      <c r="D125" s="233"/>
      <c r="E125" s="147">
        <f t="shared" si="27"/>
        <v>0</v>
      </c>
      <c r="F125" s="148">
        <f t="shared" si="2"/>
        <v>0</v>
      </c>
      <c r="G125" s="149"/>
      <c r="H125" s="140"/>
      <c r="I125" s="140"/>
      <c r="J125" s="140"/>
      <c r="K125" s="523"/>
      <c r="L125" s="523"/>
      <c r="M125" s="230"/>
      <c r="N125" s="230"/>
      <c r="O125" s="230"/>
      <c r="P125" s="230"/>
      <c r="Q125" s="230"/>
      <c r="R125" s="235"/>
      <c r="S125" s="236"/>
      <c r="T125" s="237"/>
      <c r="U125" s="237"/>
      <c r="V125" s="238"/>
      <c r="W125" s="112">
        <f t="shared" si="28"/>
        <v>0</v>
      </c>
      <c r="X125" s="113">
        <f t="shared" si="29"/>
        <v>0</v>
      </c>
      <c r="Y125" s="114">
        <f t="shared" si="30"/>
        <v>0</v>
      </c>
      <c r="Z125" s="114">
        <f t="shared" si="31"/>
        <v>0</v>
      </c>
      <c r="AA125" s="115">
        <f t="shared" si="31"/>
        <v>0</v>
      </c>
      <c r="AB125" s="116"/>
      <c r="AC125" s="136"/>
      <c r="AD125" s="117"/>
      <c r="AE125" s="117"/>
      <c r="AF125" s="117"/>
      <c r="AG125" s="118"/>
      <c r="AH125" s="137"/>
      <c r="AI125" s="137"/>
      <c r="AJ125" s="138"/>
      <c r="AK125" s="119">
        <f t="shared" si="24"/>
        <v>0</v>
      </c>
      <c r="AL125" s="632"/>
      <c r="AM125" s="296"/>
      <c r="AN125" s="628"/>
      <c r="AO125" s="450"/>
      <c r="AP125" s="450"/>
      <c r="AQ125" s="240"/>
      <c r="AR125" s="240"/>
      <c r="AS125" s="240"/>
      <c r="AT125" s="450"/>
      <c r="AU125" s="450"/>
      <c r="AV125" s="450"/>
      <c r="AW125" s="240"/>
      <c r="AX125" s="240"/>
      <c r="AY125" s="240"/>
      <c r="AZ125" s="450"/>
      <c r="BA125" s="450"/>
      <c r="BB125" s="450"/>
      <c r="BC125" s="240"/>
      <c r="BD125" s="240"/>
      <c r="BE125" s="240"/>
      <c r="BF125" s="450"/>
      <c r="BG125" s="450"/>
      <c r="BH125" s="450"/>
      <c r="BI125" s="240"/>
      <c r="BJ125" s="240"/>
      <c r="BK125" s="240"/>
      <c r="BL125" s="239"/>
      <c r="BM125" s="239"/>
      <c r="BN125" s="239"/>
      <c r="BO125" s="240"/>
      <c r="BP125" s="240"/>
      <c r="BQ125" s="240"/>
      <c r="BR125" s="239"/>
      <c r="BS125" s="239"/>
      <c r="BT125" s="239"/>
      <c r="BU125" s="240"/>
      <c r="BV125" s="240"/>
      <c r="BW125" s="241"/>
      <c r="BX125" s="202"/>
      <c r="BY125" s="122" t="e">
        <f t="shared" si="25"/>
        <v>#DIV/0!</v>
      </c>
    </row>
    <row r="126" spans="1:77" s="201" customFormat="1" ht="26.25" hidden="1" customHeight="1" x14ac:dyDescent="0.25">
      <c r="A126" s="230"/>
      <c r="B126" s="231"/>
      <c r="C126" s="232">
        <v>56</v>
      </c>
      <c r="D126" s="242"/>
      <c r="E126" s="147">
        <f t="shared" si="27"/>
        <v>0</v>
      </c>
      <c r="F126" s="148">
        <f t="shared" si="2"/>
        <v>0</v>
      </c>
      <c r="G126" s="149"/>
      <c r="H126" s="140"/>
      <c r="I126" s="140"/>
      <c r="J126" s="140"/>
      <c r="K126" s="523"/>
      <c r="L126" s="523"/>
      <c r="M126" s="230"/>
      <c r="N126" s="230"/>
      <c r="O126" s="230"/>
      <c r="P126" s="230"/>
      <c r="Q126" s="230"/>
      <c r="R126" s="235"/>
      <c r="S126" s="236"/>
      <c r="T126" s="237"/>
      <c r="U126" s="237"/>
      <c r="V126" s="238"/>
      <c r="W126" s="112">
        <f t="shared" si="28"/>
        <v>0</v>
      </c>
      <c r="X126" s="113">
        <f t="shared" si="29"/>
        <v>0</v>
      </c>
      <c r="Y126" s="114">
        <f t="shared" si="30"/>
        <v>0</v>
      </c>
      <c r="Z126" s="114">
        <f t="shared" si="31"/>
        <v>0</v>
      </c>
      <c r="AA126" s="115">
        <f t="shared" si="31"/>
        <v>0</v>
      </c>
      <c r="AB126" s="116"/>
      <c r="AC126" s="136"/>
      <c r="AD126" s="117"/>
      <c r="AE126" s="117"/>
      <c r="AF126" s="117"/>
      <c r="AG126" s="118"/>
      <c r="AH126" s="137"/>
      <c r="AI126" s="137"/>
      <c r="AJ126" s="138"/>
      <c r="AK126" s="119">
        <f t="shared" si="24"/>
        <v>0</v>
      </c>
      <c r="AL126" s="632"/>
      <c r="AM126" s="296"/>
      <c r="AN126" s="628"/>
      <c r="AO126" s="450"/>
      <c r="AP126" s="450"/>
      <c r="AQ126" s="240"/>
      <c r="AR126" s="240"/>
      <c r="AS126" s="240"/>
      <c r="AT126" s="450"/>
      <c r="AU126" s="450"/>
      <c r="AV126" s="450"/>
      <c r="AW126" s="240"/>
      <c r="AX126" s="240"/>
      <c r="AY126" s="240"/>
      <c r="AZ126" s="450"/>
      <c r="BA126" s="450"/>
      <c r="BB126" s="450"/>
      <c r="BC126" s="240"/>
      <c r="BD126" s="240"/>
      <c r="BE126" s="240"/>
      <c r="BF126" s="450"/>
      <c r="BG126" s="450"/>
      <c r="BH126" s="450"/>
      <c r="BI126" s="240"/>
      <c r="BJ126" s="240"/>
      <c r="BK126" s="240"/>
      <c r="BL126" s="239"/>
      <c r="BM126" s="239"/>
      <c r="BN126" s="239"/>
      <c r="BO126" s="240"/>
      <c r="BP126" s="240"/>
      <c r="BQ126" s="240"/>
      <c r="BR126" s="239"/>
      <c r="BS126" s="239"/>
      <c r="BT126" s="239"/>
      <c r="BU126" s="240"/>
      <c r="BV126" s="240"/>
      <c r="BW126" s="241"/>
      <c r="BX126" s="202"/>
      <c r="BY126" s="122" t="e">
        <f t="shared" si="25"/>
        <v>#DIV/0!</v>
      </c>
    </row>
    <row r="127" spans="1:77" s="201" customFormat="1" ht="26.25" hidden="1" customHeight="1" x14ac:dyDescent="0.25">
      <c r="A127" s="230"/>
      <c r="B127" s="231"/>
      <c r="C127" s="232">
        <v>57</v>
      </c>
      <c r="D127" s="242"/>
      <c r="E127" s="147">
        <f t="shared" si="27"/>
        <v>0</v>
      </c>
      <c r="F127" s="148">
        <f t="shared" si="2"/>
        <v>0</v>
      </c>
      <c r="G127" s="149"/>
      <c r="H127" s="140"/>
      <c r="I127" s="140"/>
      <c r="J127" s="140"/>
      <c r="K127" s="523"/>
      <c r="L127" s="523"/>
      <c r="M127" s="230"/>
      <c r="N127" s="230"/>
      <c r="O127" s="230"/>
      <c r="P127" s="230"/>
      <c r="Q127" s="230"/>
      <c r="R127" s="235"/>
      <c r="S127" s="236"/>
      <c r="T127" s="237"/>
      <c r="U127" s="237"/>
      <c r="V127" s="238"/>
      <c r="W127" s="112">
        <f t="shared" si="28"/>
        <v>0</v>
      </c>
      <c r="X127" s="113">
        <f t="shared" si="29"/>
        <v>0</v>
      </c>
      <c r="Y127" s="114">
        <f t="shared" si="30"/>
        <v>0</v>
      </c>
      <c r="Z127" s="114">
        <f t="shared" si="31"/>
        <v>0</v>
      </c>
      <c r="AA127" s="115">
        <f t="shared" si="31"/>
        <v>0</v>
      </c>
      <c r="AB127" s="116"/>
      <c r="AC127" s="136"/>
      <c r="AD127" s="117"/>
      <c r="AE127" s="117"/>
      <c r="AF127" s="117"/>
      <c r="AG127" s="118"/>
      <c r="AH127" s="137"/>
      <c r="AI127" s="137"/>
      <c r="AJ127" s="138"/>
      <c r="AK127" s="119">
        <f t="shared" si="24"/>
        <v>0</v>
      </c>
      <c r="AL127" s="632"/>
      <c r="AM127" s="296"/>
      <c r="AN127" s="628"/>
      <c r="AO127" s="450"/>
      <c r="AP127" s="450"/>
      <c r="AQ127" s="240"/>
      <c r="AR127" s="240"/>
      <c r="AS127" s="240"/>
      <c r="AT127" s="450"/>
      <c r="AU127" s="450"/>
      <c r="AV127" s="450"/>
      <c r="AW127" s="240"/>
      <c r="AX127" s="240"/>
      <c r="AY127" s="240"/>
      <c r="AZ127" s="450"/>
      <c r="BA127" s="450"/>
      <c r="BB127" s="450"/>
      <c r="BC127" s="240"/>
      <c r="BD127" s="240"/>
      <c r="BE127" s="240"/>
      <c r="BF127" s="450"/>
      <c r="BG127" s="450"/>
      <c r="BH127" s="450"/>
      <c r="BI127" s="240"/>
      <c r="BJ127" s="240"/>
      <c r="BK127" s="240"/>
      <c r="BL127" s="239"/>
      <c r="BM127" s="239"/>
      <c r="BN127" s="239"/>
      <c r="BO127" s="240"/>
      <c r="BP127" s="240"/>
      <c r="BQ127" s="240"/>
      <c r="BR127" s="239"/>
      <c r="BS127" s="239"/>
      <c r="BT127" s="239"/>
      <c r="BU127" s="240"/>
      <c r="BV127" s="240"/>
      <c r="BW127" s="241"/>
      <c r="BX127" s="202"/>
      <c r="BY127" s="122" t="e">
        <f t="shared" si="25"/>
        <v>#DIV/0!</v>
      </c>
    </row>
    <row r="128" spans="1:77" s="201" customFormat="1" ht="27.75" hidden="1" customHeight="1" x14ac:dyDescent="0.25">
      <c r="A128" s="230"/>
      <c r="B128" s="231"/>
      <c r="C128" s="232">
        <v>58</v>
      </c>
      <c r="D128" s="242"/>
      <c r="E128" s="147">
        <f t="shared" si="27"/>
        <v>0</v>
      </c>
      <c r="F128" s="148">
        <f t="shared" si="2"/>
        <v>0</v>
      </c>
      <c r="G128" s="149"/>
      <c r="H128" s="140"/>
      <c r="I128" s="140"/>
      <c r="J128" s="140"/>
      <c r="K128" s="523"/>
      <c r="L128" s="523"/>
      <c r="M128" s="230"/>
      <c r="N128" s="230"/>
      <c r="O128" s="230"/>
      <c r="P128" s="230"/>
      <c r="Q128" s="230"/>
      <c r="R128" s="235"/>
      <c r="S128" s="236"/>
      <c r="T128" s="237"/>
      <c r="U128" s="237"/>
      <c r="V128" s="238"/>
      <c r="W128" s="112">
        <f t="shared" si="28"/>
        <v>0</v>
      </c>
      <c r="X128" s="113">
        <f t="shared" si="29"/>
        <v>0</v>
      </c>
      <c r="Y128" s="114">
        <f t="shared" si="30"/>
        <v>0</v>
      </c>
      <c r="Z128" s="114">
        <f t="shared" si="31"/>
        <v>0</v>
      </c>
      <c r="AA128" s="115">
        <f t="shared" si="31"/>
        <v>0</v>
      </c>
      <c r="AB128" s="116"/>
      <c r="AC128" s="136"/>
      <c r="AD128" s="117"/>
      <c r="AE128" s="117"/>
      <c r="AF128" s="117"/>
      <c r="AG128" s="118"/>
      <c r="AH128" s="137"/>
      <c r="AI128" s="137"/>
      <c r="AJ128" s="138"/>
      <c r="AK128" s="119">
        <f t="shared" si="24"/>
        <v>0</v>
      </c>
      <c r="AL128" s="632"/>
      <c r="AM128" s="296"/>
      <c r="AN128" s="628"/>
      <c r="AO128" s="450"/>
      <c r="AP128" s="450"/>
      <c r="AQ128" s="240"/>
      <c r="AR128" s="240"/>
      <c r="AS128" s="240"/>
      <c r="AT128" s="450"/>
      <c r="AU128" s="450"/>
      <c r="AV128" s="450"/>
      <c r="AW128" s="240"/>
      <c r="AX128" s="240"/>
      <c r="AY128" s="240"/>
      <c r="AZ128" s="450"/>
      <c r="BA128" s="450"/>
      <c r="BB128" s="450"/>
      <c r="BC128" s="240"/>
      <c r="BD128" s="240"/>
      <c r="BE128" s="240"/>
      <c r="BF128" s="450"/>
      <c r="BG128" s="450"/>
      <c r="BH128" s="450"/>
      <c r="BI128" s="240"/>
      <c r="BJ128" s="240"/>
      <c r="BK128" s="240"/>
      <c r="BL128" s="239"/>
      <c r="BM128" s="239"/>
      <c r="BN128" s="239"/>
      <c r="BO128" s="240"/>
      <c r="BP128" s="240"/>
      <c r="BQ128" s="240"/>
      <c r="BR128" s="239"/>
      <c r="BS128" s="239"/>
      <c r="BT128" s="239"/>
      <c r="BU128" s="240"/>
      <c r="BV128" s="240"/>
      <c r="BW128" s="241"/>
      <c r="BX128" s="202"/>
      <c r="BY128" s="122" t="e">
        <f t="shared" si="25"/>
        <v>#DIV/0!</v>
      </c>
    </row>
    <row r="129" spans="1:77" s="201" customFormat="1" ht="25.5" hidden="1" customHeight="1" x14ac:dyDescent="0.25">
      <c r="A129" s="230"/>
      <c r="B129" s="231"/>
      <c r="C129" s="232">
        <v>59</v>
      </c>
      <c r="D129" s="242"/>
      <c r="E129" s="147">
        <f t="shared" si="27"/>
        <v>0</v>
      </c>
      <c r="F129" s="148">
        <f t="shared" si="2"/>
        <v>0</v>
      </c>
      <c r="G129" s="149"/>
      <c r="H129" s="140"/>
      <c r="I129" s="140"/>
      <c r="J129" s="140"/>
      <c r="K129" s="523"/>
      <c r="L129" s="523"/>
      <c r="M129" s="230"/>
      <c r="N129" s="230"/>
      <c r="O129" s="230"/>
      <c r="P129" s="230"/>
      <c r="Q129" s="230"/>
      <c r="R129" s="235"/>
      <c r="S129" s="236"/>
      <c r="T129" s="237"/>
      <c r="U129" s="237"/>
      <c r="V129" s="238"/>
      <c r="W129" s="112">
        <f t="shared" si="28"/>
        <v>0</v>
      </c>
      <c r="X129" s="113">
        <f t="shared" si="29"/>
        <v>0</v>
      </c>
      <c r="Y129" s="114">
        <f t="shared" si="30"/>
        <v>0</v>
      </c>
      <c r="Z129" s="114">
        <f t="shared" si="31"/>
        <v>0</v>
      </c>
      <c r="AA129" s="115">
        <f t="shared" si="31"/>
        <v>0</v>
      </c>
      <c r="AB129" s="116"/>
      <c r="AC129" s="136"/>
      <c r="AD129" s="117"/>
      <c r="AE129" s="117"/>
      <c r="AF129" s="117"/>
      <c r="AG129" s="118"/>
      <c r="AH129" s="137"/>
      <c r="AI129" s="137"/>
      <c r="AJ129" s="138"/>
      <c r="AK129" s="119">
        <f t="shared" si="24"/>
        <v>0</v>
      </c>
      <c r="AL129" s="632"/>
      <c r="AM129" s="296"/>
      <c r="AN129" s="628"/>
      <c r="AO129" s="450"/>
      <c r="AP129" s="450"/>
      <c r="AQ129" s="240"/>
      <c r="AR129" s="240"/>
      <c r="AS129" s="240"/>
      <c r="AT129" s="450"/>
      <c r="AU129" s="450"/>
      <c r="AV129" s="450"/>
      <c r="AW129" s="240"/>
      <c r="AX129" s="240"/>
      <c r="AY129" s="240"/>
      <c r="AZ129" s="450"/>
      <c r="BA129" s="450"/>
      <c r="BB129" s="450"/>
      <c r="BC129" s="240"/>
      <c r="BD129" s="240"/>
      <c r="BE129" s="240"/>
      <c r="BF129" s="450"/>
      <c r="BG129" s="450"/>
      <c r="BH129" s="450"/>
      <c r="BI129" s="240"/>
      <c r="BJ129" s="240"/>
      <c r="BK129" s="240"/>
      <c r="BL129" s="239"/>
      <c r="BM129" s="239"/>
      <c r="BN129" s="239"/>
      <c r="BO129" s="240"/>
      <c r="BP129" s="240"/>
      <c r="BQ129" s="240"/>
      <c r="BR129" s="239"/>
      <c r="BS129" s="239"/>
      <c r="BT129" s="239"/>
      <c r="BU129" s="240"/>
      <c r="BV129" s="240"/>
      <c r="BW129" s="241"/>
      <c r="BX129" s="202"/>
      <c r="BY129" s="122" t="e">
        <f t="shared" si="25"/>
        <v>#DIV/0!</v>
      </c>
    </row>
    <row r="130" spans="1:77" s="201" customFormat="1" ht="23.1" hidden="1" customHeight="1" x14ac:dyDescent="0.25">
      <c r="A130" s="230"/>
      <c r="B130" s="231"/>
      <c r="C130" s="232">
        <v>60</v>
      </c>
      <c r="D130" s="242"/>
      <c r="E130" s="147">
        <f t="shared" si="27"/>
        <v>0</v>
      </c>
      <c r="F130" s="148">
        <f t="shared" si="2"/>
        <v>0</v>
      </c>
      <c r="G130" s="149"/>
      <c r="H130" s="140"/>
      <c r="I130" s="140"/>
      <c r="J130" s="140"/>
      <c r="K130" s="523"/>
      <c r="L130" s="523"/>
      <c r="M130" s="230"/>
      <c r="N130" s="230"/>
      <c r="O130" s="230"/>
      <c r="P130" s="230"/>
      <c r="Q130" s="230"/>
      <c r="R130" s="235"/>
      <c r="S130" s="236"/>
      <c r="T130" s="237"/>
      <c r="U130" s="237"/>
      <c r="V130" s="238"/>
      <c r="W130" s="112">
        <f t="shared" si="28"/>
        <v>0</v>
      </c>
      <c r="X130" s="113">
        <f t="shared" si="29"/>
        <v>0</v>
      </c>
      <c r="Y130" s="114">
        <f t="shared" si="30"/>
        <v>0</v>
      </c>
      <c r="Z130" s="114">
        <f t="shared" si="31"/>
        <v>0</v>
      </c>
      <c r="AA130" s="115">
        <f t="shared" si="31"/>
        <v>0</v>
      </c>
      <c r="AB130" s="116"/>
      <c r="AC130" s="136"/>
      <c r="AD130" s="117"/>
      <c r="AE130" s="117"/>
      <c r="AF130" s="117"/>
      <c r="AG130" s="118"/>
      <c r="AH130" s="137"/>
      <c r="AI130" s="137"/>
      <c r="AJ130" s="138"/>
      <c r="AK130" s="119">
        <f t="shared" si="24"/>
        <v>0</v>
      </c>
      <c r="AL130" s="632"/>
      <c r="AM130" s="296"/>
      <c r="AN130" s="628"/>
      <c r="AO130" s="450"/>
      <c r="AP130" s="450"/>
      <c r="AQ130" s="240"/>
      <c r="AR130" s="240"/>
      <c r="AS130" s="240"/>
      <c r="AT130" s="450"/>
      <c r="AU130" s="450"/>
      <c r="AV130" s="450"/>
      <c r="AW130" s="240"/>
      <c r="AX130" s="240"/>
      <c r="AY130" s="240"/>
      <c r="AZ130" s="450"/>
      <c r="BA130" s="450"/>
      <c r="BB130" s="450"/>
      <c r="BC130" s="240"/>
      <c r="BD130" s="240"/>
      <c r="BE130" s="240"/>
      <c r="BF130" s="450"/>
      <c r="BG130" s="450"/>
      <c r="BH130" s="450"/>
      <c r="BI130" s="240"/>
      <c r="BJ130" s="240"/>
      <c r="BK130" s="240"/>
      <c r="BL130" s="239"/>
      <c r="BM130" s="239"/>
      <c r="BN130" s="239"/>
      <c r="BO130" s="240"/>
      <c r="BP130" s="240"/>
      <c r="BQ130" s="240"/>
      <c r="BR130" s="239"/>
      <c r="BS130" s="239"/>
      <c r="BT130" s="239"/>
      <c r="BU130" s="240"/>
      <c r="BV130" s="240"/>
      <c r="BW130" s="241"/>
      <c r="BX130" s="202"/>
      <c r="BY130" s="122" t="e">
        <f t="shared" si="25"/>
        <v>#DIV/0!</v>
      </c>
    </row>
    <row r="131" spans="1:77" s="201" customFormat="1" ht="62.25" customHeight="1" thickBot="1" x14ac:dyDescent="0.3">
      <c r="A131" s="231"/>
      <c r="B131" s="231"/>
      <c r="C131" s="232"/>
      <c r="D131" s="243" t="s">
        <v>186</v>
      </c>
      <c r="E131" s="244">
        <f>SUM(E133:E144)</f>
        <v>41</v>
      </c>
      <c r="F131" s="245">
        <f>E131*36</f>
        <v>1476</v>
      </c>
      <c r="G131" s="246"/>
      <c r="H131" s="247"/>
      <c r="I131" s="247"/>
      <c r="J131" s="247"/>
      <c r="K131" s="247"/>
      <c r="L131" s="247"/>
      <c r="M131" s="248"/>
      <c r="N131" s="248"/>
      <c r="O131" s="247"/>
      <c r="P131" s="247"/>
      <c r="Q131" s="247"/>
      <c r="R131" s="249"/>
      <c r="S131" s="250"/>
      <c r="T131" s="251"/>
      <c r="U131" s="251"/>
      <c r="V131" s="252"/>
      <c r="W131" s="253"/>
      <c r="X131" s="254"/>
      <c r="Y131" s="255"/>
      <c r="Z131" s="255"/>
      <c r="AA131" s="256"/>
      <c r="AB131" s="257"/>
      <c r="AC131" s="258"/>
      <c r="AD131" s="259"/>
      <c r="AE131" s="259"/>
      <c r="AF131" s="259"/>
      <c r="AG131" s="260"/>
      <c r="AH131" s="261"/>
      <c r="AI131" s="261"/>
      <c r="AJ131" s="262"/>
      <c r="AK131" s="263"/>
      <c r="AL131" s="638"/>
      <c r="AM131" s="639"/>
      <c r="AN131" s="629"/>
      <c r="AO131" s="255"/>
      <c r="AP131" s="255"/>
      <c r="AQ131" s="255"/>
      <c r="AR131" s="255"/>
      <c r="AS131" s="255"/>
      <c r="AT131" s="255"/>
      <c r="AU131" s="255"/>
      <c r="AV131" s="255"/>
      <c r="AW131" s="255"/>
      <c r="AX131" s="255"/>
      <c r="AY131" s="255"/>
      <c r="AZ131" s="255"/>
      <c r="BA131" s="255"/>
      <c r="BB131" s="255"/>
      <c r="BC131" s="255"/>
      <c r="BD131" s="255"/>
      <c r="BE131" s="255"/>
      <c r="BF131" s="255"/>
      <c r="BG131" s="255"/>
      <c r="BH131" s="255"/>
      <c r="BI131" s="255"/>
      <c r="BJ131" s="255"/>
      <c r="BK131" s="255"/>
      <c r="BL131" s="255"/>
      <c r="BM131" s="255"/>
      <c r="BN131" s="255"/>
      <c r="BO131" s="255"/>
      <c r="BP131" s="255"/>
      <c r="BQ131" s="255"/>
      <c r="BR131" s="255"/>
      <c r="BS131" s="255"/>
      <c r="BT131" s="255"/>
      <c r="BU131" s="255"/>
      <c r="BV131" s="255"/>
      <c r="BW131" s="256"/>
      <c r="BX131" s="265"/>
      <c r="BY131" s="255"/>
    </row>
    <row r="132" spans="1:77" s="201" customFormat="1" ht="49.5" customHeight="1" x14ac:dyDescent="0.25">
      <c r="A132" s="231"/>
      <c r="B132" s="231" t="s">
        <v>206</v>
      </c>
      <c r="C132" s="232"/>
      <c r="D132" s="267" t="s">
        <v>253</v>
      </c>
      <c r="E132" s="268">
        <f>SUM(E133:E144)</f>
        <v>41</v>
      </c>
      <c r="F132" s="269">
        <f>E132*36</f>
        <v>1476</v>
      </c>
      <c r="G132" s="173"/>
      <c r="H132" s="174"/>
      <c r="I132" s="174"/>
      <c r="J132" s="174"/>
      <c r="K132" s="353"/>
      <c r="L132" s="353"/>
      <c r="M132" s="270"/>
      <c r="N132" s="270"/>
      <c r="O132" s="270"/>
      <c r="P132" s="270"/>
      <c r="Q132" s="270"/>
      <c r="R132" s="271"/>
      <c r="S132" s="272"/>
      <c r="T132" s="273"/>
      <c r="U132" s="273"/>
      <c r="V132" s="274"/>
      <c r="W132" s="179"/>
      <c r="X132" s="180"/>
      <c r="Y132" s="120"/>
      <c r="Z132" s="120"/>
      <c r="AA132" s="181"/>
      <c r="AB132" s="182"/>
      <c r="AC132" s="183"/>
      <c r="AD132" s="184"/>
      <c r="AE132" s="184"/>
      <c r="AF132" s="184"/>
      <c r="AG132" s="185"/>
      <c r="AH132" s="186"/>
      <c r="AI132" s="186"/>
      <c r="AJ132" s="187"/>
      <c r="AK132" s="653"/>
      <c r="AL132" s="630"/>
      <c r="AM132" s="631"/>
      <c r="AN132" s="659"/>
      <c r="AO132" s="660"/>
      <c r="AP132" s="660"/>
      <c r="AQ132" s="660"/>
      <c r="AR132" s="660"/>
      <c r="AS132" s="660"/>
      <c r="AT132" s="660"/>
      <c r="AU132" s="660"/>
      <c r="AV132" s="660"/>
      <c r="AW132" s="660"/>
      <c r="AX132" s="660"/>
      <c r="AY132" s="660"/>
      <c r="AZ132" s="660"/>
      <c r="BA132" s="660"/>
      <c r="BB132" s="660"/>
      <c r="BC132" s="660"/>
      <c r="BD132" s="660"/>
      <c r="BE132" s="660"/>
      <c r="BF132" s="660"/>
      <c r="BG132" s="660"/>
      <c r="BH132" s="660"/>
      <c r="BI132" s="660"/>
      <c r="BJ132" s="660"/>
      <c r="BK132" s="660"/>
      <c r="BL132" s="660"/>
      <c r="BM132" s="660"/>
      <c r="BN132" s="660"/>
      <c r="BO132" s="660"/>
      <c r="BP132" s="660"/>
      <c r="BQ132" s="660"/>
      <c r="BR132" s="660"/>
      <c r="BS132" s="660"/>
      <c r="BT132" s="660"/>
      <c r="BU132" s="660"/>
      <c r="BV132" s="660"/>
      <c r="BW132" s="661"/>
      <c r="BX132" s="658"/>
      <c r="BY132" s="275"/>
    </row>
    <row r="133" spans="1:77" s="201" customFormat="1" ht="37.5" customHeight="1" x14ac:dyDescent="0.25">
      <c r="A133" s="230"/>
      <c r="B133" s="231"/>
      <c r="C133" s="232">
        <v>37</v>
      </c>
      <c r="D133" s="242" t="s">
        <v>247</v>
      </c>
      <c r="E133" s="147">
        <v>4</v>
      </c>
      <c r="F133" s="148">
        <v>144</v>
      </c>
      <c r="G133" s="149"/>
      <c r="H133" s="140"/>
      <c r="I133" s="140"/>
      <c r="J133" s="140"/>
      <c r="K133" s="523">
        <v>4</v>
      </c>
      <c r="L133" s="523"/>
      <c r="M133" s="230"/>
      <c r="N133" s="230"/>
      <c r="O133" s="230"/>
      <c r="P133" s="230"/>
      <c r="Q133" s="230"/>
      <c r="R133" s="235"/>
      <c r="S133" s="236">
        <v>5</v>
      </c>
      <c r="T133" s="237"/>
      <c r="U133" s="237"/>
      <c r="V133" s="238"/>
      <c r="W133" s="112">
        <v>70.400000000000006</v>
      </c>
      <c r="X133" s="113">
        <v>64</v>
      </c>
      <c r="Y133" s="114">
        <v>32</v>
      </c>
      <c r="Z133" s="114">
        <v>32</v>
      </c>
      <c r="AA133" s="115">
        <v>0</v>
      </c>
      <c r="AB133" s="116"/>
      <c r="AC133" s="136"/>
      <c r="AD133" s="117"/>
      <c r="AE133" s="117"/>
      <c r="AF133" s="117"/>
      <c r="AG133" s="118"/>
      <c r="AH133" s="137"/>
      <c r="AI133" s="137"/>
      <c r="AJ133" s="138"/>
      <c r="AK133" s="654">
        <v>73.599999999999994</v>
      </c>
      <c r="AL133" s="632"/>
      <c r="AM133" s="296"/>
      <c r="AN133" s="449"/>
      <c r="AO133" s="450"/>
      <c r="AP133" s="450"/>
      <c r="AQ133" s="240"/>
      <c r="AR133" s="240"/>
      <c r="AS133" s="240"/>
      <c r="AT133" s="450"/>
      <c r="AU133" s="450"/>
      <c r="AV133" s="450"/>
      <c r="AW133" s="240"/>
      <c r="AX133" s="240"/>
      <c r="AY133" s="240"/>
      <c r="AZ133" s="450">
        <v>32</v>
      </c>
      <c r="BA133" s="450">
        <v>32</v>
      </c>
      <c r="BB133" s="450"/>
      <c r="BC133" s="240"/>
      <c r="BD133" s="240"/>
      <c r="BE133" s="240"/>
      <c r="BF133" s="450"/>
      <c r="BG133" s="450"/>
      <c r="BH133" s="450"/>
      <c r="BI133" s="240"/>
      <c r="BJ133" s="240"/>
      <c r="BK133" s="240"/>
      <c r="BL133" s="450"/>
      <c r="BM133" s="450"/>
      <c r="BN133" s="450"/>
      <c r="BO133" s="240"/>
      <c r="BP133" s="240"/>
      <c r="BQ133" s="240"/>
      <c r="BR133" s="450"/>
      <c r="BS133" s="450"/>
      <c r="BT133" s="450"/>
      <c r="BU133" s="240"/>
      <c r="BV133" s="240"/>
      <c r="BW133" s="241"/>
      <c r="BX133" s="200" t="s">
        <v>323</v>
      </c>
      <c r="BY133" s="122">
        <f t="shared" ref="BY133:BY138" si="32">X133/F133*100</f>
        <v>44.444444444444443</v>
      </c>
    </row>
    <row r="134" spans="1:77" s="201" customFormat="1" ht="36.75" customHeight="1" x14ac:dyDescent="0.25">
      <c r="A134" s="230"/>
      <c r="B134" s="231"/>
      <c r="C134" s="232">
        <v>38</v>
      </c>
      <c r="D134" s="242" t="s">
        <v>254</v>
      </c>
      <c r="E134" s="147">
        <v>3</v>
      </c>
      <c r="F134" s="148">
        <v>108</v>
      </c>
      <c r="G134" s="149"/>
      <c r="H134" s="140"/>
      <c r="I134" s="140"/>
      <c r="J134" s="140">
        <v>3</v>
      </c>
      <c r="K134" s="523"/>
      <c r="L134" s="523"/>
      <c r="M134" s="230"/>
      <c r="N134" s="230"/>
      <c r="O134" s="230"/>
      <c r="P134" s="230"/>
      <c r="Q134" s="230"/>
      <c r="R134" s="235"/>
      <c r="S134" s="236"/>
      <c r="T134" s="237"/>
      <c r="U134" s="237">
        <v>4</v>
      </c>
      <c r="V134" s="238"/>
      <c r="W134" s="112">
        <v>52.8</v>
      </c>
      <c r="X134" s="113">
        <v>48</v>
      </c>
      <c r="Y134" s="114">
        <v>16</v>
      </c>
      <c r="Z134" s="114">
        <v>32</v>
      </c>
      <c r="AA134" s="115">
        <v>0</v>
      </c>
      <c r="AB134" s="116"/>
      <c r="AC134" s="136"/>
      <c r="AD134" s="117"/>
      <c r="AE134" s="117"/>
      <c r="AF134" s="117"/>
      <c r="AG134" s="118"/>
      <c r="AH134" s="137"/>
      <c r="AI134" s="137"/>
      <c r="AJ134" s="138"/>
      <c r="AK134" s="654">
        <v>55.2</v>
      </c>
      <c r="AL134" s="632"/>
      <c r="AM134" s="296"/>
      <c r="AN134" s="449"/>
      <c r="AO134" s="450"/>
      <c r="AP134" s="450"/>
      <c r="AQ134" s="240"/>
      <c r="AR134" s="240"/>
      <c r="AS134" s="240"/>
      <c r="AT134" s="450"/>
      <c r="AU134" s="450"/>
      <c r="AV134" s="450"/>
      <c r="AW134" s="240">
        <v>16</v>
      </c>
      <c r="AX134" s="240">
        <v>32</v>
      </c>
      <c r="AY134" s="240"/>
      <c r="AZ134" s="450"/>
      <c r="BA134" s="450"/>
      <c r="BB134" s="450"/>
      <c r="BC134" s="240"/>
      <c r="BD134" s="240"/>
      <c r="BE134" s="240"/>
      <c r="BF134" s="450"/>
      <c r="BG134" s="450"/>
      <c r="BH134" s="450"/>
      <c r="BI134" s="240"/>
      <c r="BJ134" s="240"/>
      <c r="BK134" s="240"/>
      <c r="BL134" s="450"/>
      <c r="BM134" s="450"/>
      <c r="BN134" s="450"/>
      <c r="BO134" s="240"/>
      <c r="BP134" s="240"/>
      <c r="BQ134" s="240"/>
      <c r="BR134" s="450"/>
      <c r="BS134" s="450"/>
      <c r="BT134" s="450"/>
      <c r="BU134" s="240"/>
      <c r="BV134" s="240"/>
      <c r="BW134" s="241"/>
      <c r="BX134" s="200" t="s">
        <v>323</v>
      </c>
      <c r="BY134" s="122">
        <f t="shared" si="32"/>
        <v>44.444444444444443</v>
      </c>
    </row>
    <row r="135" spans="1:77" s="201" customFormat="1" ht="23.1" customHeight="1" x14ac:dyDescent="0.25">
      <c r="A135" s="230"/>
      <c r="B135" s="231"/>
      <c r="C135" s="232">
        <v>39</v>
      </c>
      <c r="D135" s="242" t="s">
        <v>327</v>
      </c>
      <c r="E135" s="147">
        <v>7</v>
      </c>
      <c r="F135" s="148">
        <v>180</v>
      </c>
      <c r="G135" s="149"/>
      <c r="H135" s="140"/>
      <c r="I135" s="140"/>
      <c r="J135" s="140">
        <v>3</v>
      </c>
      <c r="K135" s="523">
        <v>4</v>
      </c>
      <c r="L135" s="523"/>
      <c r="M135" s="230"/>
      <c r="N135" s="230"/>
      <c r="O135" s="230"/>
      <c r="P135" s="230"/>
      <c r="Q135" s="230"/>
      <c r="R135" s="235"/>
      <c r="S135" s="236">
        <v>5</v>
      </c>
      <c r="T135" s="237"/>
      <c r="U135" s="237">
        <v>4</v>
      </c>
      <c r="V135" s="238"/>
      <c r="W135" s="112">
        <v>70.400000000000006</v>
      </c>
      <c r="X135" s="113">
        <v>64</v>
      </c>
      <c r="Y135" s="114">
        <v>32</v>
      </c>
      <c r="Z135" s="114">
        <v>32</v>
      </c>
      <c r="AA135" s="115">
        <v>0</v>
      </c>
      <c r="AB135" s="116"/>
      <c r="AC135" s="136"/>
      <c r="AD135" s="117"/>
      <c r="AE135" s="117"/>
      <c r="AF135" s="117"/>
      <c r="AG135" s="118"/>
      <c r="AH135" s="137"/>
      <c r="AI135" s="137"/>
      <c r="AJ135" s="138"/>
      <c r="AK135" s="654">
        <v>109.6</v>
      </c>
      <c r="AL135" s="632"/>
      <c r="AM135" s="296"/>
      <c r="AN135" s="449"/>
      <c r="AO135" s="450"/>
      <c r="AP135" s="450"/>
      <c r="AQ135" s="240"/>
      <c r="AR135" s="240"/>
      <c r="AS135" s="240"/>
      <c r="AT135" s="450"/>
      <c r="AU135" s="450"/>
      <c r="AV135" s="450"/>
      <c r="AW135" s="240">
        <v>32</v>
      </c>
      <c r="AX135" s="240">
        <v>32</v>
      </c>
      <c r="AY135" s="240"/>
      <c r="AZ135" s="450">
        <v>32</v>
      </c>
      <c r="BA135" s="450">
        <v>32</v>
      </c>
      <c r="BB135" s="450"/>
      <c r="BC135" s="240"/>
      <c r="BD135" s="240"/>
      <c r="BE135" s="240"/>
      <c r="BF135" s="450"/>
      <c r="BG135" s="450"/>
      <c r="BH135" s="450"/>
      <c r="BI135" s="240"/>
      <c r="BJ135" s="240"/>
      <c r="BK135" s="240"/>
      <c r="BL135" s="450"/>
      <c r="BM135" s="450"/>
      <c r="BN135" s="450"/>
      <c r="BO135" s="240"/>
      <c r="BP135" s="240"/>
      <c r="BQ135" s="240"/>
      <c r="BR135" s="450"/>
      <c r="BS135" s="450"/>
      <c r="BT135" s="450"/>
      <c r="BU135" s="240"/>
      <c r="BV135" s="240"/>
      <c r="BW135" s="241"/>
      <c r="BX135" s="200" t="s">
        <v>323</v>
      </c>
      <c r="BY135" s="122">
        <f t="shared" si="32"/>
        <v>35.555555555555557</v>
      </c>
    </row>
    <row r="136" spans="1:77" s="201" customFormat="1" ht="55.5" customHeight="1" x14ac:dyDescent="0.25">
      <c r="A136" s="230"/>
      <c r="B136" s="231"/>
      <c r="C136" s="232">
        <v>40</v>
      </c>
      <c r="D136" s="242" t="s">
        <v>255</v>
      </c>
      <c r="E136" s="147">
        <v>4</v>
      </c>
      <c r="F136" s="148">
        <v>144</v>
      </c>
      <c r="G136" s="149"/>
      <c r="H136" s="140"/>
      <c r="I136" s="140"/>
      <c r="J136" s="140"/>
      <c r="K136" s="523">
        <v>4</v>
      </c>
      <c r="L136" s="523"/>
      <c r="M136" s="230"/>
      <c r="N136" s="230"/>
      <c r="O136" s="230"/>
      <c r="P136" s="230"/>
      <c r="Q136" s="230"/>
      <c r="R136" s="235"/>
      <c r="S136" s="236">
        <v>5</v>
      </c>
      <c r="T136" s="237"/>
      <c r="U136" s="237"/>
      <c r="V136" s="238"/>
      <c r="W136" s="112">
        <v>70.400000000000006</v>
      </c>
      <c r="X136" s="113">
        <v>64</v>
      </c>
      <c r="Y136" s="114">
        <v>32</v>
      </c>
      <c r="Z136" s="114">
        <v>32</v>
      </c>
      <c r="AA136" s="115">
        <v>0</v>
      </c>
      <c r="AB136" s="116"/>
      <c r="AC136" s="136"/>
      <c r="AD136" s="117"/>
      <c r="AE136" s="117"/>
      <c r="AF136" s="117"/>
      <c r="AG136" s="118"/>
      <c r="AH136" s="137"/>
      <c r="AI136" s="137"/>
      <c r="AJ136" s="138"/>
      <c r="AK136" s="654">
        <v>73.599999999999994</v>
      </c>
      <c r="AL136" s="632"/>
      <c r="AM136" s="296"/>
      <c r="AN136" s="449"/>
      <c r="AO136" s="450"/>
      <c r="AP136" s="450"/>
      <c r="AQ136" s="240"/>
      <c r="AR136" s="240"/>
      <c r="AS136" s="240"/>
      <c r="AT136" s="450"/>
      <c r="AU136" s="450"/>
      <c r="AV136" s="450"/>
      <c r="AW136" s="240"/>
      <c r="AX136" s="240"/>
      <c r="AY136" s="240"/>
      <c r="AZ136" s="450">
        <v>32</v>
      </c>
      <c r="BA136" s="450">
        <v>32</v>
      </c>
      <c r="BB136" s="450"/>
      <c r="BC136" s="240"/>
      <c r="BD136" s="240"/>
      <c r="BE136" s="240"/>
      <c r="BF136" s="450"/>
      <c r="BG136" s="450"/>
      <c r="BH136" s="450"/>
      <c r="BI136" s="240"/>
      <c r="BJ136" s="240"/>
      <c r="BK136" s="240"/>
      <c r="BL136" s="450"/>
      <c r="BM136" s="450"/>
      <c r="BN136" s="450"/>
      <c r="BO136" s="240"/>
      <c r="BP136" s="240"/>
      <c r="BQ136" s="240"/>
      <c r="BR136" s="450"/>
      <c r="BS136" s="450"/>
      <c r="BT136" s="450"/>
      <c r="BU136" s="240"/>
      <c r="BV136" s="240"/>
      <c r="BW136" s="241"/>
      <c r="BX136" s="200" t="s">
        <v>323</v>
      </c>
      <c r="BY136" s="122">
        <f t="shared" si="32"/>
        <v>44.444444444444443</v>
      </c>
    </row>
    <row r="137" spans="1:77" s="201" customFormat="1" ht="50.25" customHeight="1" x14ac:dyDescent="0.25">
      <c r="A137" s="230"/>
      <c r="B137" s="231"/>
      <c r="C137" s="232">
        <v>41</v>
      </c>
      <c r="D137" s="242" t="s">
        <v>256</v>
      </c>
      <c r="E137" s="147">
        <v>4</v>
      </c>
      <c r="F137" s="148">
        <v>144</v>
      </c>
      <c r="G137" s="149"/>
      <c r="H137" s="140"/>
      <c r="I137" s="140"/>
      <c r="J137" s="140">
        <v>4</v>
      </c>
      <c r="K137" s="523"/>
      <c r="L137" s="523"/>
      <c r="M137" s="230"/>
      <c r="N137" s="230"/>
      <c r="O137" s="230"/>
      <c r="P137" s="230"/>
      <c r="Q137" s="230"/>
      <c r="R137" s="235"/>
      <c r="S137" s="236">
        <v>4</v>
      </c>
      <c r="T137" s="237"/>
      <c r="U137" s="237"/>
      <c r="V137" s="238"/>
      <c r="W137" s="112">
        <v>70.400000000000006</v>
      </c>
      <c r="X137" s="113">
        <v>64</v>
      </c>
      <c r="Y137" s="114">
        <v>32</v>
      </c>
      <c r="Z137" s="114">
        <v>32</v>
      </c>
      <c r="AA137" s="115">
        <v>0</v>
      </c>
      <c r="AB137" s="116"/>
      <c r="AC137" s="136"/>
      <c r="AD137" s="117"/>
      <c r="AE137" s="117"/>
      <c r="AF137" s="117"/>
      <c r="AG137" s="118"/>
      <c r="AH137" s="137"/>
      <c r="AI137" s="137"/>
      <c r="AJ137" s="138"/>
      <c r="AK137" s="654">
        <v>73.599999999999994</v>
      </c>
      <c r="AL137" s="632"/>
      <c r="AM137" s="296"/>
      <c r="AN137" s="449"/>
      <c r="AO137" s="450"/>
      <c r="AP137" s="450"/>
      <c r="AQ137" s="240"/>
      <c r="AR137" s="240"/>
      <c r="AS137" s="240"/>
      <c r="AT137" s="450"/>
      <c r="AU137" s="450"/>
      <c r="AV137" s="450"/>
      <c r="AW137" s="240">
        <v>32</v>
      </c>
      <c r="AX137" s="240">
        <v>32</v>
      </c>
      <c r="AY137" s="240"/>
      <c r="AZ137" s="450"/>
      <c r="BA137" s="450"/>
      <c r="BB137" s="450"/>
      <c r="BC137" s="240"/>
      <c r="BD137" s="240"/>
      <c r="BE137" s="240"/>
      <c r="BF137" s="450"/>
      <c r="BG137" s="450"/>
      <c r="BH137" s="450"/>
      <c r="BI137" s="240"/>
      <c r="BJ137" s="240"/>
      <c r="BK137" s="240"/>
      <c r="BL137" s="450"/>
      <c r="BM137" s="450"/>
      <c r="BN137" s="450"/>
      <c r="BO137" s="240"/>
      <c r="BP137" s="240"/>
      <c r="BQ137" s="240"/>
      <c r="BR137" s="450"/>
      <c r="BS137" s="450"/>
      <c r="BT137" s="450"/>
      <c r="BU137" s="240"/>
      <c r="BV137" s="240"/>
      <c r="BW137" s="241"/>
      <c r="BX137" s="200" t="s">
        <v>323</v>
      </c>
      <c r="BY137" s="122">
        <f t="shared" si="32"/>
        <v>44.444444444444443</v>
      </c>
    </row>
    <row r="138" spans="1:77" s="201" customFormat="1" ht="32.25" customHeight="1" x14ac:dyDescent="0.25">
      <c r="A138" s="230"/>
      <c r="B138" s="231"/>
      <c r="C138" s="232">
        <v>42</v>
      </c>
      <c r="D138" s="242" t="s">
        <v>257</v>
      </c>
      <c r="E138" s="147">
        <v>3</v>
      </c>
      <c r="F138" s="148">
        <v>108</v>
      </c>
      <c r="G138" s="149"/>
      <c r="H138" s="140"/>
      <c r="I138" s="140"/>
      <c r="J138" s="140"/>
      <c r="K138" s="523"/>
      <c r="L138" s="523">
        <v>3</v>
      </c>
      <c r="M138" s="230"/>
      <c r="N138" s="230"/>
      <c r="O138" s="230"/>
      <c r="P138" s="230"/>
      <c r="Q138" s="230"/>
      <c r="R138" s="235"/>
      <c r="S138" s="236">
        <v>6</v>
      </c>
      <c r="T138" s="237"/>
      <c r="U138" s="237"/>
      <c r="V138" s="238"/>
      <c r="W138" s="112">
        <v>52.8</v>
      </c>
      <c r="X138" s="113">
        <v>48</v>
      </c>
      <c r="Y138" s="114">
        <v>16</v>
      </c>
      <c r="Z138" s="114">
        <v>32</v>
      </c>
      <c r="AA138" s="115">
        <v>0</v>
      </c>
      <c r="AB138" s="116"/>
      <c r="AC138" s="136"/>
      <c r="AD138" s="117"/>
      <c r="AE138" s="117"/>
      <c r="AF138" s="117"/>
      <c r="AG138" s="118"/>
      <c r="AH138" s="137"/>
      <c r="AI138" s="137"/>
      <c r="AJ138" s="138"/>
      <c r="AK138" s="654">
        <v>55.2</v>
      </c>
      <c r="AL138" s="632"/>
      <c r="AM138" s="296"/>
      <c r="AN138" s="449"/>
      <c r="AO138" s="450"/>
      <c r="AP138" s="450"/>
      <c r="AQ138" s="240"/>
      <c r="AR138" s="240"/>
      <c r="AS138" s="240"/>
      <c r="AT138" s="450"/>
      <c r="AU138" s="450"/>
      <c r="AV138" s="450"/>
      <c r="AW138" s="240"/>
      <c r="AX138" s="240"/>
      <c r="AY138" s="240"/>
      <c r="AZ138" s="450"/>
      <c r="BA138" s="450"/>
      <c r="BB138" s="450"/>
      <c r="BC138" s="240">
        <v>16</v>
      </c>
      <c r="BD138" s="240">
        <v>32</v>
      </c>
      <c r="BE138" s="240"/>
      <c r="BF138" s="450"/>
      <c r="BG138" s="450"/>
      <c r="BH138" s="450"/>
      <c r="BI138" s="240"/>
      <c r="BJ138" s="240"/>
      <c r="BK138" s="240"/>
      <c r="BL138" s="450"/>
      <c r="BM138" s="450"/>
      <c r="BN138" s="450"/>
      <c r="BO138" s="240"/>
      <c r="BP138" s="240"/>
      <c r="BQ138" s="240"/>
      <c r="BR138" s="450"/>
      <c r="BS138" s="450"/>
      <c r="BT138" s="450"/>
      <c r="BU138" s="240"/>
      <c r="BV138" s="240"/>
      <c r="BW138" s="241"/>
      <c r="BX138" s="200" t="s">
        <v>323</v>
      </c>
      <c r="BY138" s="122">
        <f t="shared" si="32"/>
        <v>44.444444444444443</v>
      </c>
    </row>
    <row r="139" spans="1:77" s="201" customFormat="1" ht="23.1" customHeight="1" x14ac:dyDescent="0.25">
      <c r="A139" s="230"/>
      <c r="B139" s="231"/>
      <c r="C139" s="232">
        <v>43</v>
      </c>
      <c r="D139" s="242" t="s">
        <v>258</v>
      </c>
      <c r="E139" s="147">
        <v>5</v>
      </c>
      <c r="F139" s="148">
        <v>180</v>
      </c>
      <c r="G139" s="149"/>
      <c r="H139" s="140"/>
      <c r="I139" s="140"/>
      <c r="J139" s="140">
        <v>5</v>
      </c>
      <c r="K139" s="523"/>
      <c r="L139" s="523"/>
      <c r="M139" s="230"/>
      <c r="N139" s="230"/>
      <c r="O139" s="230"/>
      <c r="P139" s="230"/>
      <c r="Q139" s="230"/>
      <c r="R139" s="235"/>
      <c r="S139" s="236">
        <v>4</v>
      </c>
      <c r="T139" s="237"/>
      <c r="U139" s="237"/>
      <c r="V139" s="238"/>
      <c r="W139" s="112">
        <v>70.400000000000006</v>
      </c>
      <c r="X139" s="113">
        <v>64</v>
      </c>
      <c r="Y139" s="114">
        <v>32</v>
      </c>
      <c r="Z139" s="114">
        <v>32</v>
      </c>
      <c r="AA139" s="115">
        <v>0</v>
      </c>
      <c r="AB139" s="116"/>
      <c r="AC139" s="136"/>
      <c r="AD139" s="117"/>
      <c r="AE139" s="117"/>
      <c r="AF139" s="117"/>
      <c r="AG139" s="118"/>
      <c r="AH139" s="137"/>
      <c r="AI139" s="137"/>
      <c r="AJ139" s="138"/>
      <c r="AK139" s="654">
        <v>109.6</v>
      </c>
      <c r="AL139" s="632"/>
      <c r="AM139" s="296"/>
      <c r="AN139" s="449"/>
      <c r="AO139" s="450"/>
      <c r="AP139" s="450"/>
      <c r="AQ139" s="240"/>
      <c r="AR139" s="240"/>
      <c r="AS139" s="240"/>
      <c r="AT139" s="450"/>
      <c r="AU139" s="450"/>
      <c r="AV139" s="450"/>
      <c r="AW139" s="240">
        <v>32</v>
      </c>
      <c r="AX139" s="240">
        <v>32</v>
      </c>
      <c r="AY139" s="240"/>
      <c r="AZ139" s="450"/>
      <c r="BA139" s="450"/>
      <c r="BB139" s="450"/>
      <c r="BC139" s="240"/>
      <c r="BD139" s="240"/>
      <c r="BE139" s="240"/>
      <c r="BF139" s="450"/>
      <c r="BG139" s="450"/>
      <c r="BH139" s="450"/>
      <c r="BI139" s="240"/>
      <c r="BJ139" s="240"/>
      <c r="BK139" s="240"/>
      <c r="BL139" s="450"/>
      <c r="BM139" s="450"/>
      <c r="BN139" s="450"/>
      <c r="BO139" s="240"/>
      <c r="BP139" s="240"/>
      <c r="BQ139" s="240"/>
      <c r="BR139" s="450"/>
      <c r="BS139" s="450"/>
      <c r="BT139" s="450"/>
      <c r="BU139" s="240"/>
      <c r="BV139" s="240"/>
      <c r="BW139" s="241"/>
      <c r="BX139" s="648" t="s">
        <v>319</v>
      </c>
      <c r="BY139" s="122">
        <f t="shared" ref="BY139:BY144" si="33">X139/F139*100</f>
        <v>35.555555555555557</v>
      </c>
    </row>
    <row r="140" spans="1:77" s="201" customFormat="1" ht="23.1" customHeight="1" x14ac:dyDescent="0.25">
      <c r="A140" s="230"/>
      <c r="B140" s="231"/>
      <c r="C140" s="232">
        <v>44</v>
      </c>
      <c r="D140" s="563" t="s">
        <v>259</v>
      </c>
      <c r="E140" s="482">
        <v>3</v>
      </c>
      <c r="F140" s="483">
        <v>108</v>
      </c>
      <c r="G140" s="142"/>
      <c r="H140" s="143"/>
      <c r="I140" s="143"/>
      <c r="J140" s="143"/>
      <c r="K140" s="559"/>
      <c r="L140" s="559"/>
      <c r="M140" s="422"/>
      <c r="N140" s="422">
        <v>3</v>
      </c>
      <c r="O140" s="422"/>
      <c r="P140" s="422"/>
      <c r="Q140" s="422"/>
      <c r="R140" s="564"/>
      <c r="S140" s="552"/>
      <c r="T140" s="553"/>
      <c r="U140" s="143">
        <v>8</v>
      </c>
      <c r="V140" s="560"/>
      <c r="W140" s="308">
        <v>52.8</v>
      </c>
      <c r="X140" s="557">
        <v>48</v>
      </c>
      <c r="Y140" s="558">
        <v>16</v>
      </c>
      <c r="Z140" s="558">
        <v>32</v>
      </c>
      <c r="AA140" s="554">
        <v>0</v>
      </c>
      <c r="AB140" s="204"/>
      <c r="AC140" s="212"/>
      <c r="AD140" s="307"/>
      <c r="AE140" s="307"/>
      <c r="AF140" s="307"/>
      <c r="AG140" s="565"/>
      <c r="AH140" s="215"/>
      <c r="AI140" s="215"/>
      <c r="AJ140" s="216"/>
      <c r="AK140" s="655">
        <v>55.2</v>
      </c>
      <c r="AL140" s="217"/>
      <c r="AM140" s="296"/>
      <c r="AN140" s="578"/>
      <c r="AO140" s="623"/>
      <c r="AP140" s="623"/>
      <c r="AQ140" s="561"/>
      <c r="AR140" s="561"/>
      <c r="AS140" s="561"/>
      <c r="AT140" s="623"/>
      <c r="AU140" s="623"/>
      <c r="AV140" s="623"/>
      <c r="AW140" s="561"/>
      <c r="AX140" s="561"/>
      <c r="AY140" s="561"/>
      <c r="AZ140" s="623"/>
      <c r="BA140" s="623"/>
      <c r="BB140" s="623"/>
      <c r="BC140" s="561"/>
      <c r="BD140" s="561"/>
      <c r="BE140" s="561"/>
      <c r="BF140" s="623"/>
      <c r="BG140" s="623"/>
      <c r="BH140" s="623"/>
      <c r="BI140" s="561">
        <v>16</v>
      </c>
      <c r="BJ140" s="561">
        <v>32</v>
      </c>
      <c r="BK140" s="561"/>
      <c r="BL140" s="623"/>
      <c r="BM140" s="623"/>
      <c r="BN140" s="623"/>
      <c r="BO140" s="240"/>
      <c r="BP140" s="240"/>
      <c r="BQ140" s="240"/>
      <c r="BR140" s="623"/>
      <c r="BS140" s="623"/>
      <c r="BT140" s="623"/>
      <c r="BU140" s="240"/>
      <c r="BV140" s="240"/>
      <c r="BW140" s="241"/>
      <c r="BX140" s="200" t="s">
        <v>323</v>
      </c>
      <c r="BY140" s="122">
        <f t="shared" si="33"/>
        <v>44.444444444444443</v>
      </c>
    </row>
    <row r="141" spans="1:77" s="201" customFormat="1" ht="23.1" customHeight="1" x14ac:dyDescent="0.25">
      <c r="A141" s="230"/>
      <c r="B141" s="231"/>
      <c r="C141" s="232">
        <v>45</v>
      </c>
      <c r="D141" s="242" t="s">
        <v>260</v>
      </c>
      <c r="E141" s="147">
        <v>4</v>
      </c>
      <c r="F141" s="358">
        <v>144</v>
      </c>
      <c r="G141" s="142"/>
      <c r="H141" s="140"/>
      <c r="I141" s="140"/>
      <c r="J141" s="140">
        <v>4</v>
      </c>
      <c r="K141" s="523"/>
      <c r="L141" s="523"/>
      <c r="M141" s="230"/>
      <c r="N141" s="422"/>
      <c r="O141" s="230"/>
      <c r="P141" s="230"/>
      <c r="Q141" s="230"/>
      <c r="R141" s="230"/>
      <c r="S141" s="552"/>
      <c r="T141" s="237">
        <v>4</v>
      </c>
      <c r="U141" s="140"/>
      <c r="V141" s="237"/>
      <c r="W141" s="308">
        <v>70.400000000000006</v>
      </c>
      <c r="X141" s="457">
        <v>64</v>
      </c>
      <c r="Y141" s="457">
        <v>32</v>
      </c>
      <c r="Z141" s="457">
        <v>16</v>
      </c>
      <c r="AA141" s="114">
        <v>16</v>
      </c>
      <c r="AB141" s="107"/>
      <c r="AC141" s="137"/>
      <c r="AD141" s="573"/>
      <c r="AE141" s="573"/>
      <c r="AF141" s="573"/>
      <c r="AG141" s="107"/>
      <c r="AH141" s="137"/>
      <c r="AI141" s="137"/>
      <c r="AJ141" s="137"/>
      <c r="AK141" s="655">
        <v>73.599999999999994</v>
      </c>
      <c r="AL141" s="632"/>
      <c r="AM141" s="296"/>
      <c r="AN141" s="449"/>
      <c r="AO141" s="450"/>
      <c r="AP141" s="450"/>
      <c r="AQ141" s="240"/>
      <c r="AR141" s="240"/>
      <c r="AS141" s="240"/>
      <c r="AT141" s="450"/>
      <c r="AU141" s="450"/>
      <c r="AV141" s="450"/>
      <c r="AW141" s="240">
        <v>32</v>
      </c>
      <c r="AX141" s="240">
        <v>16</v>
      </c>
      <c r="AY141" s="240">
        <v>16</v>
      </c>
      <c r="AZ141" s="450"/>
      <c r="BA141" s="450"/>
      <c r="BB141" s="450"/>
      <c r="BC141" s="240"/>
      <c r="BD141" s="240"/>
      <c r="BE141" s="240"/>
      <c r="BF141" s="450"/>
      <c r="BG141" s="450"/>
      <c r="BH141" s="450"/>
      <c r="BI141" s="240"/>
      <c r="BJ141" s="240"/>
      <c r="BK141" s="240"/>
      <c r="BL141" s="450"/>
      <c r="BM141" s="450"/>
      <c r="BN141" s="450"/>
      <c r="BO141" s="240"/>
      <c r="BP141" s="240"/>
      <c r="BQ141" s="240"/>
      <c r="BR141" s="450"/>
      <c r="BS141" s="450"/>
      <c r="BT141" s="450"/>
      <c r="BU141" s="240"/>
      <c r="BV141" s="240"/>
      <c r="BW141" s="241"/>
      <c r="BX141" s="648" t="s">
        <v>315</v>
      </c>
      <c r="BY141" s="122">
        <f t="shared" si="33"/>
        <v>44.444444444444443</v>
      </c>
    </row>
    <row r="142" spans="1:77" s="201" customFormat="1" ht="40.5" customHeight="1" x14ac:dyDescent="0.25">
      <c r="A142" s="230"/>
      <c r="B142" s="231"/>
      <c r="C142" s="232">
        <v>46</v>
      </c>
      <c r="D142" s="563" t="s">
        <v>245</v>
      </c>
      <c r="E142" s="482">
        <v>4</v>
      </c>
      <c r="F142" s="576">
        <v>144</v>
      </c>
      <c r="G142" s="142"/>
      <c r="H142" s="140"/>
      <c r="I142" s="140"/>
      <c r="J142" s="140"/>
      <c r="K142" s="519"/>
      <c r="L142" s="519"/>
      <c r="M142" s="140"/>
      <c r="N142" s="230">
        <v>4</v>
      </c>
      <c r="O142" s="230"/>
      <c r="P142" s="230"/>
      <c r="Q142" s="230"/>
      <c r="R142" s="577"/>
      <c r="S142" s="552">
        <v>8</v>
      </c>
      <c r="T142" s="140"/>
      <c r="U142" s="140"/>
      <c r="V142" s="237"/>
      <c r="W142" s="308">
        <v>70.400000000000006</v>
      </c>
      <c r="X142" s="457">
        <v>64</v>
      </c>
      <c r="Y142" s="457">
        <v>32</v>
      </c>
      <c r="Z142" s="457">
        <v>32</v>
      </c>
      <c r="AA142" s="114">
        <v>0</v>
      </c>
      <c r="AB142" s="107"/>
      <c r="AC142" s="137"/>
      <c r="AD142" s="573"/>
      <c r="AE142" s="573"/>
      <c r="AF142" s="573"/>
      <c r="AG142" s="107"/>
      <c r="AH142" s="137"/>
      <c r="AI142" s="137"/>
      <c r="AJ142" s="137"/>
      <c r="AK142" s="655">
        <v>73.599999999999994</v>
      </c>
      <c r="AL142" s="632"/>
      <c r="AM142" s="296"/>
      <c r="AN142" s="449"/>
      <c r="AO142" s="450"/>
      <c r="AP142" s="450"/>
      <c r="AQ142" s="240"/>
      <c r="AR142" s="240"/>
      <c r="AS142" s="240"/>
      <c r="AT142" s="450"/>
      <c r="AU142" s="450"/>
      <c r="AV142" s="450"/>
      <c r="AW142" s="240"/>
      <c r="AX142" s="240"/>
      <c r="AY142" s="240"/>
      <c r="AZ142" s="450"/>
      <c r="BA142" s="450"/>
      <c r="BB142" s="450"/>
      <c r="BC142" s="240"/>
      <c r="BD142" s="240"/>
      <c r="BE142" s="240"/>
      <c r="BF142" s="450"/>
      <c r="BG142" s="450"/>
      <c r="BH142" s="450"/>
      <c r="BI142" s="240">
        <v>32</v>
      </c>
      <c r="BJ142" s="240">
        <v>32</v>
      </c>
      <c r="BK142" s="240"/>
      <c r="BL142" s="450"/>
      <c r="BM142" s="450"/>
      <c r="BN142" s="450"/>
      <c r="BO142" s="240"/>
      <c r="BP142" s="240"/>
      <c r="BQ142" s="240"/>
      <c r="BR142" s="450"/>
      <c r="BS142" s="450"/>
      <c r="BT142" s="450"/>
      <c r="BU142" s="240"/>
      <c r="BV142" s="240"/>
      <c r="BW142" s="241"/>
      <c r="BX142" s="742" t="s">
        <v>323</v>
      </c>
      <c r="BY142" s="122">
        <f t="shared" si="33"/>
        <v>44.444444444444443</v>
      </c>
    </row>
    <row r="143" spans="1:77" s="201" customFormat="1" ht="23.1" hidden="1" customHeight="1" x14ac:dyDescent="0.25">
      <c r="A143" s="230"/>
      <c r="B143" s="231" t="s">
        <v>206</v>
      </c>
      <c r="C143" s="232">
        <v>72</v>
      </c>
      <c r="D143" s="242"/>
      <c r="E143" s="566"/>
      <c r="F143" s="567"/>
      <c r="G143" s="478"/>
      <c r="H143" s="478"/>
      <c r="I143" s="478"/>
      <c r="J143" s="478"/>
      <c r="K143" s="568"/>
      <c r="L143" s="568"/>
      <c r="M143" s="478"/>
      <c r="N143" s="569"/>
      <c r="O143" s="230"/>
      <c r="P143" s="230"/>
      <c r="Q143" s="230"/>
      <c r="R143" s="230"/>
      <c r="S143" s="570"/>
      <c r="T143" s="478"/>
      <c r="U143" s="478"/>
      <c r="V143" s="570"/>
      <c r="W143" s="479"/>
      <c r="X143" s="571"/>
      <c r="Y143" s="571"/>
      <c r="Z143" s="571"/>
      <c r="AA143" s="572"/>
      <c r="AB143" s="107"/>
      <c r="AC143" s="137"/>
      <c r="AD143" s="573"/>
      <c r="AE143" s="573"/>
      <c r="AF143" s="573"/>
      <c r="AG143" s="107"/>
      <c r="AH143" s="137"/>
      <c r="AI143" s="137"/>
      <c r="AJ143" s="137"/>
      <c r="AK143" s="481"/>
      <c r="AL143" s="632"/>
      <c r="AM143" s="296"/>
      <c r="AN143" s="662"/>
      <c r="AO143" s="574"/>
      <c r="AP143" s="574"/>
      <c r="AQ143" s="575"/>
      <c r="AR143" s="575"/>
      <c r="AS143" s="575"/>
      <c r="AT143" s="574"/>
      <c r="AU143" s="574"/>
      <c r="AV143" s="574"/>
      <c r="AW143" s="575"/>
      <c r="AX143" s="575"/>
      <c r="AY143" s="575"/>
      <c r="AZ143" s="574"/>
      <c r="BA143" s="574"/>
      <c r="BB143" s="574"/>
      <c r="BC143" s="575"/>
      <c r="BD143" s="575"/>
      <c r="BE143" s="575"/>
      <c r="BF143" s="574"/>
      <c r="BG143" s="574"/>
      <c r="BH143" s="574"/>
      <c r="BI143" s="575"/>
      <c r="BJ143" s="575"/>
      <c r="BK143" s="575"/>
      <c r="BL143" s="239"/>
      <c r="BM143" s="239"/>
      <c r="BN143" s="239"/>
      <c r="BO143" s="240"/>
      <c r="BP143" s="240"/>
      <c r="BQ143" s="240"/>
      <c r="BR143" s="239"/>
      <c r="BS143" s="239"/>
      <c r="BT143" s="239"/>
      <c r="BU143" s="240"/>
      <c r="BV143" s="240"/>
      <c r="BW143" s="241"/>
      <c r="BX143" s="743"/>
      <c r="BY143" s="122" t="e">
        <f t="shared" si="33"/>
        <v>#DIV/0!</v>
      </c>
    </row>
    <row r="144" spans="1:77" s="201" customFormat="1" ht="23.1" hidden="1" customHeight="1" thickBot="1" x14ac:dyDescent="0.3">
      <c r="A144" s="281"/>
      <c r="B144" s="231" t="s">
        <v>206</v>
      </c>
      <c r="C144" s="551">
        <v>73</v>
      </c>
      <c r="D144" s="563"/>
      <c r="E144" s="482">
        <f>G144+H144+I144+J144+K144+L144+M144+N144+O144+P144+Q144+R144</f>
        <v>0</v>
      </c>
      <c r="F144" s="576">
        <f>E144*36</f>
        <v>0</v>
      </c>
      <c r="G144" s="142"/>
      <c r="H144" s="143"/>
      <c r="I144" s="143"/>
      <c r="J144" s="143"/>
      <c r="K144" s="559"/>
      <c r="L144" s="559"/>
      <c r="M144" s="422"/>
      <c r="N144" s="422"/>
      <c r="O144" s="422"/>
      <c r="P144" s="422"/>
      <c r="Q144" s="422"/>
      <c r="R144" s="564"/>
      <c r="S144" s="552"/>
      <c r="T144" s="553"/>
      <c r="U144" s="553"/>
      <c r="V144" s="560"/>
      <c r="W144" s="203">
        <f>X144+X144*0.1</f>
        <v>0</v>
      </c>
      <c r="X144" s="562">
        <f>SUM(Y144:AA144)</f>
        <v>0</v>
      </c>
      <c r="Y144" s="219">
        <f>AN144+AQ144+AT144+AW144+AZ144+BC144+BF144+BI144+BL144+BO144+BR144+BU144</f>
        <v>0</v>
      </c>
      <c r="Z144" s="219">
        <f>AO144+AR144+AU144+AX144+BA144+BD144+BG144+BJ144+BM144+BP144+BS144+BV144</f>
        <v>0</v>
      </c>
      <c r="AA144" s="554">
        <f>AP144+AS144+AV144+AY144+BB144+BE144+BH144+BK144+BN144+BQ144+BT144+BW144</f>
        <v>0</v>
      </c>
      <c r="AB144" s="204"/>
      <c r="AC144" s="212"/>
      <c r="AD144" s="307"/>
      <c r="AE144" s="307"/>
      <c r="AF144" s="307"/>
      <c r="AG144" s="565"/>
      <c r="AH144" s="215"/>
      <c r="AI144" s="215"/>
      <c r="AJ144" s="216"/>
      <c r="AK144" s="655">
        <f>F144-W144</f>
        <v>0</v>
      </c>
      <c r="AL144" s="217"/>
      <c r="AM144" s="218"/>
      <c r="AN144" s="578"/>
      <c r="AO144" s="451"/>
      <c r="AP144" s="451"/>
      <c r="AQ144" s="279"/>
      <c r="AR144" s="279"/>
      <c r="AS144" s="279"/>
      <c r="AT144" s="451"/>
      <c r="AU144" s="451"/>
      <c r="AV144" s="451"/>
      <c r="AW144" s="279"/>
      <c r="AX144" s="279"/>
      <c r="AY144" s="279"/>
      <c r="AZ144" s="451"/>
      <c r="BA144" s="451"/>
      <c r="BB144" s="451"/>
      <c r="BC144" s="279"/>
      <c r="BD144" s="279"/>
      <c r="BE144" s="279"/>
      <c r="BF144" s="451"/>
      <c r="BG144" s="451"/>
      <c r="BH144" s="451"/>
      <c r="BI144" s="279"/>
      <c r="BJ144" s="279"/>
      <c r="BK144" s="279"/>
      <c r="BL144" s="278"/>
      <c r="BM144" s="278"/>
      <c r="BN144" s="278"/>
      <c r="BO144" s="279"/>
      <c r="BP144" s="279"/>
      <c r="BQ144" s="279"/>
      <c r="BR144" s="278"/>
      <c r="BS144" s="278"/>
      <c r="BT144" s="278"/>
      <c r="BU144" s="279"/>
      <c r="BV144" s="279"/>
      <c r="BW144" s="280"/>
      <c r="BX144" s="649"/>
      <c r="BY144" s="266" t="e">
        <f t="shared" si="33"/>
        <v>#DIV/0!</v>
      </c>
    </row>
    <row r="145" spans="1:77" s="201" customFormat="1" ht="37.5" customHeight="1" x14ac:dyDescent="0.25">
      <c r="A145" s="231"/>
      <c r="B145" s="231" t="s">
        <v>206</v>
      </c>
      <c r="C145" s="232"/>
      <c r="D145" s="579" t="s">
        <v>261</v>
      </c>
      <c r="E145" s="289">
        <f>SUM(E146:E158)</f>
        <v>41</v>
      </c>
      <c r="F145" s="396">
        <f>E145*36</f>
        <v>1476</v>
      </c>
      <c r="G145" s="133"/>
      <c r="H145" s="134"/>
      <c r="I145" s="134"/>
      <c r="J145" s="134"/>
      <c r="K145" s="291"/>
      <c r="L145" s="291"/>
      <c r="M145" s="312"/>
      <c r="N145" s="312"/>
      <c r="O145" s="312"/>
      <c r="P145" s="312"/>
      <c r="Q145" s="312"/>
      <c r="R145" s="580"/>
      <c r="S145" s="581"/>
      <c r="T145" s="582"/>
      <c r="U145" s="582"/>
      <c r="V145" s="583"/>
      <c r="W145" s="112"/>
      <c r="X145" s="113"/>
      <c r="Y145" s="114"/>
      <c r="Z145" s="114"/>
      <c r="AA145" s="115"/>
      <c r="AB145" s="116"/>
      <c r="AC145" s="136"/>
      <c r="AD145" s="117"/>
      <c r="AE145" s="117"/>
      <c r="AF145" s="117"/>
      <c r="AG145" s="118"/>
      <c r="AH145" s="137"/>
      <c r="AI145" s="137"/>
      <c r="AJ145" s="138"/>
      <c r="AK145" s="654"/>
      <c r="AL145" s="632"/>
      <c r="AM145" s="296"/>
      <c r="AN145" s="113"/>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15"/>
      <c r="BX145" s="394"/>
      <c r="BY145" s="275"/>
    </row>
    <row r="146" spans="1:77" s="201" customFormat="1" ht="33.75" customHeight="1" x14ac:dyDescent="0.25">
      <c r="A146" s="230"/>
      <c r="B146" s="231"/>
      <c r="C146" s="232">
        <v>37</v>
      </c>
      <c r="D146" s="242" t="s">
        <v>262</v>
      </c>
      <c r="E146" s="147">
        <v>4</v>
      </c>
      <c r="F146" s="148">
        <v>144</v>
      </c>
      <c r="G146" s="149"/>
      <c r="H146" s="140"/>
      <c r="I146" s="140"/>
      <c r="J146" s="140"/>
      <c r="K146" s="523">
        <v>4</v>
      </c>
      <c r="L146" s="523"/>
      <c r="M146" s="230"/>
      <c r="N146" s="230"/>
      <c r="O146" s="230"/>
      <c r="P146" s="230"/>
      <c r="Q146" s="230"/>
      <c r="R146" s="235"/>
      <c r="S146" s="236">
        <v>5</v>
      </c>
      <c r="T146" s="237"/>
      <c r="U146" s="237"/>
      <c r="V146" s="238"/>
      <c r="W146" s="112">
        <v>70.400000000000006</v>
      </c>
      <c r="X146" s="113">
        <v>64</v>
      </c>
      <c r="Y146" s="114">
        <v>32</v>
      </c>
      <c r="Z146" s="114">
        <v>32</v>
      </c>
      <c r="AA146" s="115">
        <v>0</v>
      </c>
      <c r="AB146" s="116"/>
      <c r="AC146" s="136"/>
      <c r="AD146" s="117"/>
      <c r="AE146" s="117"/>
      <c r="AF146" s="117"/>
      <c r="AG146" s="118"/>
      <c r="AH146" s="137"/>
      <c r="AI146" s="137"/>
      <c r="AJ146" s="138"/>
      <c r="AK146" s="654">
        <v>73.599999999999994</v>
      </c>
      <c r="AL146" s="632"/>
      <c r="AM146" s="296"/>
      <c r="AN146" s="449"/>
      <c r="AO146" s="450"/>
      <c r="AP146" s="450"/>
      <c r="AQ146" s="240"/>
      <c r="AR146" s="240"/>
      <c r="AS146" s="240"/>
      <c r="AT146" s="450"/>
      <c r="AU146" s="450"/>
      <c r="AV146" s="450"/>
      <c r="AW146" s="240"/>
      <c r="AX146" s="240"/>
      <c r="AY146" s="240"/>
      <c r="AZ146" s="450">
        <v>32</v>
      </c>
      <c r="BA146" s="450">
        <v>32</v>
      </c>
      <c r="BB146" s="450"/>
      <c r="BC146" s="240"/>
      <c r="BD146" s="240"/>
      <c r="BE146" s="240"/>
      <c r="BF146" s="450"/>
      <c r="BG146" s="450"/>
      <c r="BH146" s="450"/>
      <c r="BI146" s="240"/>
      <c r="BJ146" s="240"/>
      <c r="BK146" s="240"/>
      <c r="BL146" s="450"/>
      <c r="BM146" s="450"/>
      <c r="BN146" s="450"/>
      <c r="BO146" s="240"/>
      <c r="BP146" s="240"/>
      <c r="BQ146" s="240"/>
      <c r="BR146" s="450"/>
      <c r="BS146" s="450"/>
      <c r="BT146" s="450"/>
      <c r="BU146" s="240"/>
      <c r="BV146" s="240"/>
      <c r="BW146" s="241"/>
      <c r="BX146" s="200" t="s">
        <v>323</v>
      </c>
      <c r="BY146" s="122">
        <f t="shared" ref="BY146:BY158" si="34">X146/F146*100</f>
        <v>44.444444444444443</v>
      </c>
    </row>
    <row r="147" spans="1:77" s="201" customFormat="1" ht="23.1" customHeight="1" x14ac:dyDescent="0.25">
      <c r="A147" s="230"/>
      <c r="B147" s="231"/>
      <c r="C147" s="232">
        <v>38</v>
      </c>
      <c r="D147" s="242" t="s">
        <v>263</v>
      </c>
      <c r="E147" s="147">
        <v>3</v>
      </c>
      <c r="F147" s="148">
        <v>108</v>
      </c>
      <c r="G147" s="149"/>
      <c r="H147" s="140"/>
      <c r="I147" s="140"/>
      <c r="J147" s="140">
        <v>3</v>
      </c>
      <c r="K147" s="523"/>
      <c r="L147" s="523"/>
      <c r="M147" s="230"/>
      <c r="N147" s="230"/>
      <c r="O147" s="230"/>
      <c r="P147" s="230"/>
      <c r="Q147" s="230"/>
      <c r="R147" s="235"/>
      <c r="S147" s="236"/>
      <c r="T147" s="237"/>
      <c r="U147" s="237">
        <v>4</v>
      </c>
      <c r="V147" s="238"/>
      <c r="W147" s="112">
        <v>52.8</v>
      </c>
      <c r="X147" s="113">
        <v>48</v>
      </c>
      <c r="Y147" s="114">
        <v>16</v>
      </c>
      <c r="Z147" s="114">
        <v>32</v>
      </c>
      <c r="AA147" s="115">
        <v>0</v>
      </c>
      <c r="AB147" s="116"/>
      <c r="AC147" s="136"/>
      <c r="AD147" s="117"/>
      <c r="AE147" s="117"/>
      <c r="AF147" s="117"/>
      <c r="AG147" s="118"/>
      <c r="AH147" s="137"/>
      <c r="AI147" s="137"/>
      <c r="AJ147" s="138"/>
      <c r="AK147" s="654">
        <v>55.2</v>
      </c>
      <c r="AL147" s="632"/>
      <c r="AM147" s="296"/>
      <c r="AN147" s="449"/>
      <c r="AO147" s="450"/>
      <c r="AP147" s="450"/>
      <c r="AQ147" s="240"/>
      <c r="AR147" s="240"/>
      <c r="AS147" s="240"/>
      <c r="AT147" s="450"/>
      <c r="AU147" s="450"/>
      <c r="AV147" s="450"/>
      <c r="AW147" s="240">
        <v>16</v>
      </c>
      <c r="AX147" s="240">
        <v>32</v>
      </c>
      <c r="AY147" s="240"/>
      <c r="AZ147" s="450"/>
      <c r="BA147" s="450"/>
      <c r="BB147" s="450"/>
      <c r="BC147" s="240"/>
      <c r="BD147" s="240"/>
      <c r="BE147" s="240"/>
      <c r="BF147" s="450"/>
      <c r="BG147" s="450"/>
      <c r="BH147" s="450"/>
      <c r="BI147" s="240"/>
      <c r="BJ147" s="240"/>
      <c r="BK147" s="240"/>
      <c r="BL147" s="450"/>
      <c r="BM147" s="450"/>
      <c r="BN147" s="450"/>
      <c r="BO147" s="240"/>
      <c r="BP147" s="240"/>
      <c r="BQ147" s="240"/>
      <c r="BR147" s="450"/>
      <c r="BS147" s="450"/>
      <c r="BT147" s="450"/>
      <c r="BU147" s="240"/>
      <c r="BV147" s="240"/>
      <c r="BW147" s="241"/>
      <c r="BX147" s="200" t="s">
        <v>323</v>
      </c>
      <c r="BY147" s="122">
        <f t="shared" si="34"/>
        <v>44.444444444444443</v>
      </c>
    </row>
    <row r="148" spans="1:77" s="201" customFormat="1" ht="23.1" customHeight="1" x14ac:dyDescent="0.25">
      <c r="A148" s="230"/>
      <c r="B148" s="231"/>
      <c r="C148" s="232">
        <v>39</v>
      </c>
      <c r="D148" s="242" t="s">
        <v>264</v>
      </c>
      <c r="E148" s="147">
        <v>5</v>
      </c>
      <c r="F148" s="148">
        <v>180</v>
      </c>
      <c r="G148" s="149"/>
      <c r="H148" s="140"/>
      <c r="I148" s="140"/>
      <c r="J148" s="140"/>
      <c r="K148" s="523">
        <v>5</v>
      </c>
      <c r="L148" s="523"/>
      <c r="M148" s="230"/>
      <c r="N148" s="230"/>
      <c r="O148" s="230"/>
      <c r="P148" s="230"/>
      <c r="Q148" s="230"/>
      <c r="R148" s="235"/>
      <c r="S148" s="236">
        <v>5</v>
      </c>
      <c r="T148" s="237"/>
      <c r="U148" s="237"/>
      <c r="V148" s="238"/>
      <c r="W148" s="112">
        <v>70.400000000000006</v>
      </c>
      <c r="X148" s="113">
        <v>64</v>
      </c>
      <c r="Y148" s="114">
        <v>32</v>
      </c>
      <c r="Z148" s="114">
        <v>32</v>
      </c>
      <c r="AA148" s="115">
        <v>0</v>
      </c>
      <c r="AB148" s="116"/>
      <c r="AC148" s="136"/>
      <c r="AD148" s="117"/>
      <c r="AE148" s="117"/>
      <c r="AF148" s="117"/>
      <c r="AG148" s="118"/>
      <c r="AH148" s="137"/>
      <c r="AI148" s="137"/>
      <c r="AJ148" s="138"/>
      <c r="AK148" s="654">
        <v>109.6</v>
      </c>
      <c r="AL148" s="632"/>
      <c r="AM148" s="296"/>
      <c r="AN148" s="449"/>
      <c r="AO148" s="450"/>
      <c r="AP148" s="450"/>
      <c r="AQ148" s="240"/>
      <c r="AR148" s="240"/>
      <c r="AS148" s="240"/>
      <c r="AT148" s="450"/>
      <c r="AU148" s="450"/>
      <c r="AV148" s="450"/>
      <c r="AW148" s="240"/>
      <c r="AX148" s="240"/>
      <c r="AY148" s="240"/>
      <c r="AZ148" s="450">
        <v>32</v>
      </c>
      <c r="BA148" s="450">
        <v>32</v>
      </c>
      <c r="BB148" s="450"/>
      <c r="BC148" s="240"/>
      <c r="BD148" s="240"/>
      <c r="BE148" s="240"/>
      <c r="BF148" s="450"/>
      <c r="BG148" s="450"/>
      <c r="BH148" s="450"/>
      <c r="BI148" s="240"/>
      <c r="BJ148" s="240"/>
      <c r="BK148" s="240"/>
      <c r="BL148" s="450"/>
      <c r="BM148" s="450"/>
      <c r="BN148" s="450"/>
      <c r="BO148" s="240"/>
      <c r="BP148" s="240"/>
      <c r="BQ148" s="240"/>
      <c r="BR148" s="450"/>
      <c r="BS148" s="450"/>
      <c r="BT148" s="450"/>
      <c r="BU148" s="240"/>
      <c r="BV148" s="240"/>
      <c r="BW148" s="241"/>
      <c r="BX148" s="200" t="s">
        <v>323</v>
      </c>
      <c r="BY148" s="122">
        <f t="shared" si="34"/>
        <v>35.555555555555557</v>
      </c>
    </row>
    <row r="149" spans="1:77" s="201" customFormat="1" ht="32.25" customHeight="1" x14ac:dyDescent="0.25">
      <c r="A149" s="230"/>
      <c r="B149" s="231"/>
      <c r="C149" s="232">
        <v>40</v>
      </c>
      <c r="D149" s="242" t="s">
        <v>265</v>
      </c>
      <c r="E149" s="147">
        <v>4</v>
      </c>
      <c r="F149" s="148">
        <v>144</v>
      </c>
      <c r="G149" s="149"/>
      <c r="H149" s="140"/>
      <c r="I149" s="140"/>
      <c r="J149" s="140"/>
      <c r="K149" s="523">
        <v>4</v>
      </c>
      <c r="L149" s="523"/>
      <c r="M149" s="230"/>
      <c r="N149" s="230"/>
      <c r="O149" s="230"/>
      <c r="P149" s="230"/>
      <c r="Q149" s="230"/>
      <c r="R149" s="235"/>
      <c r="S149" s="236">
        <v>5</v>
      </c>
      <c r="T149" s="237"/>
      <c r="U149" s="237"/>
      <c r="V149" s="238"/>
      <c r="W149" s="112">
        <v>70.400000000000006</v>
      </c>
      <c r="X149" s="113">
        <v>64</v>
      </c>
      <c r="Y149" s="114">
        <v>32</v>
      </c>
      <c r="Z149" s="114">
        <v>32</v>
      </c>
      <c r="AA149" s="115">
        <v>0</v>
      </c>
      <c r="AB149" s="116"/>
      <c r="AC149" s="136"/>
      <c r="AD149" s="117"/>
      <c r="AE149" s="117"/>
      <c r="AF149" s="117"/>
      <c r="AG149" s="118"/>
      <c r="AH149" s="137"/>
      <c r="AI149" s="137"/>
      <c r="AJ149" s="138"/>
      <c r="AK149" s="654">
        <v>73.599999999999994</v>
      </c>
      <c r="AL149" s="632"/>
      <c r="AM149" s="296"/>
      <c r="AN149" s="449"/>
      <c r="AO149" s="450"/>
      <c r="AP149" s="450"/>
      <c r="AQ149" s="240"/>
      <c r="AR149" s="240"/>
      <c r="AS149" s="240"/>
      <c r="AT149" s="450"/>
      <c r="AU149" s="450"/>
      <c r="AV149" s="450"/>
      <c r="AW149" s="240"/>
      <c r="AX149" s="240"/>
      <c r="AY149" s="240"/>
      <c r="AZ149" s="450">
        <v>32</v>
      </c>
      <c r="BA149" s="450">
        <v>32</v>
      </c>
      <c r="BB149" s="450"/>
      <c r="BC149" s="240"/>
      <c r="BD149" s="240"/>
      <c r="BE149" s="240"/>
      <c r="BF149" s="450"/>
      <c r="BG149" s="450"/>
      <c r="BH149" s="450"/>
      <c r="BI149" s="240"/>
      <c r="BJ149" s="240"/>
      <c r="BK149" s="240"/>
      <c r="BL149" s="450"/>
      <c r="BM149" s="450"/>
      <c r="BN149" s="450"/>
      <c r="BO149" s="240"/>
      <c r="BP149" s="240"/>
      <c r="BQ149" s="240"/>
      <c r="BR149" s="450"/>
      <c r="BS149" s="450"/>
      <c r="BT149" s="450"/>
      <c r="BU149" s="240"/>
      <c r="BV149" s="240"/>
      <c r="BW149" s="241"/>
      <c r="BX149" s="200" t="s">
        <v>323</v>
      </c>
      <c r="BY149" s="122">
        <f t="shared" si="34"/>
        <v>44.444444444444443</v>
      </c>
    </row>
    <row r="150" spans="1:77" s="201" customFormat="1" ht="27.75" customHeight="1" x14ac:dyDescent="0.25">
      <c r="A150" s="230"/>
      <c r="B150" s="231"/>
      <c r="C150" s="232">
        <v>41</v>
      </c>
      <c r="D150" s="242" t="s">
        <v>266</v>
      </c>
      <c r="E150" s="147">
        <v>4</v>
      </c>
      <c r="F150" s="148">
        <v>144</v>
      </c>
      <c r="G150" s="149"/>
      <c r="H150" s="140"/>
      <c r="I150" s="140"/>
      <c r="J150" s="140">
        <v>4</v>
      </c>
      <c r="K150" s="523"/>
      <c r="L150" s="523"/>
      <c r="M150" s="230"/>
      <c r="N150" s="230"/>
      <c r="O150" s="230"/>
      <c r="P150" s="230"/>
      <c r="Q150" s="230"/>
      <c r="R150" s="235"/>
      <c r="S150" s="236">
        <v>4</v>
      </c>
      <c r="T150" s="237"/>
      <c r="U150" s="237"/>
      <c r="V150" s="238"/>
      <c r="W150" s="112">
        <v>70.400000000000006</v>
      </c>
      <c r="X150" s="113">
        <v>64</v>
      </c>
      <c r="Y150" s="114">
        <v>32</v>
      </c>
      <c r="Z150" s="114">
        <v>32</v>
      </c>
      <c r="AA150" s="115">
        <v>0</v>
      </c>
      <c r="AB150" s="116"/>
      <c r="AC150" s="136"/>
      <c r="AD150" s="117"/>
      <c r="AE150" s="117"/>
      <c r="AF150" s="117"/>
      <c r="AG150" s="118"/>
      <c r="AH150" s="137"/>
      <c r="AI150" s="137"/>
      <c r="AJ150" s="138"/>
      <c r="AK150" s="654">
        <v>73.599999999999994</v>
      </c>
      <c r="AL150" s="632"/>
      <c r="AM150" s="296"/>
      <c r="AN150" s="449"/>
      <c r="AO150" s="450"/>
      <c r="AP150" s="450"/>
      <c r="AQ150" s="240"/>
      <c r="AR150" s="240"/>
      <c r="AS150" s="240"/>
      <c r="AT150" s="450"/>
      <c r="AU150" s="450"/>
      <c r="AV150" s="450"/>
      <c r="AW150" s="240">
        <v>32</v>
      </c>
      <c r="AX150" s="240">
        <v>32</v>
      </c>
      <c r="AY150" s="240"/>
      <c r="AZ150" s="450"/>
      <c r="BA150" s="450"/>
      <c r="BB150" s="450"/>
      <c r="BC150" s="240"/>
      <c r="BD150" s="240"/>
      <c r="BE150" s="240"/>
      <c r="BF150" s="450"/>
      <c r="BG150" s="450"/>
      <c r="BH150" s="450"/>
      <c r="BI150" s="240"/>
      <c r="BJ150" s="240"/>
      <c r="BK150" s="240"/>
      <c r="BL150" s="450"/>
      <c r="BM150" s="450"/>
      <c r="BN150" s="450"/>
      <c r="BO150" s="240"/>
      <c r="BP150" s="240"/>
      <c r="BQ150" s="240"/>
      <c r="BR150" s="450"/>
      <c r="BS150" s="450"/>
      <c r="BT150" s="450"/>
      <c r="BU150" s="240"/>
      <c r="BV150" s="240"/>
      <c r="BW150" s="241"/>
      <c r="BX150" s="200" t="s">
        <v>323</v>
      </c>
      <c r="BY150" s="122">
        <f t="shared" si="34"/>
        <v>44.444444444444443</v>
      </c>
    </row>
    <row r="151" spans="1:77" s="201" customFormat="1" ht="34.5" customHeight="1" x14ac:dyDescent="0.25">
      <c r="A151" s="230"/>
      <c r="B151" s="231"/>
      <c r="C151" s="232">
        <v>42</v>
      </c>
      <c r="D151" s="242" t="s">
        <v>267</v>
      </c>
      <c r="E151" s="147">
        <v>2</v>
      </c>
      <c r="F151" s="148">
        <v>72</v>
      </c>
      <c r="G151" s="149"/>
      <c r="H151" s="140"/>
      <c r="I151" s="140"/>
      <c r="J151" s="140">
        <v>2</v>
      </c>
      <c r="K151" s="523"/>
      <c r="L151" s="523"/>
      <c r="M151" s="230"/>
      <c r="N151" s="230"/>
      <c r="O151" s="230"/>
      <c r="P151" s="230"/>
      <c r="Q151" s="230"/>
      <c r="R151" s="235"/>
      <c r="S151" s="236"/>
      <c r="T151" s="237">
        <v>4</v>
      </c>
      <c r="U151" s="237"/>
      <c r="V151" s="238"/>
      <c r="W151" s="112">
        <v>35.200000000000003</v>
      </c>
      <c r="X151" s="113">
        <v>32</v>
      </c>
      <c r="Y151" s="114">
        <v>16</v>
      </c>
      <c r="Z151" s="114">
        <v>16</v>
      </c>
      <c r="AA151" s="115">
        <v>0</v>
      </c>
      <c r="AB151" s="116"/>
      <c r="AC151" s="136"/>
      <c r="AD151" s="117"/>
      <c r="AE151" s="117"/>
      <c r="AF151" s="117"/>
      <c r="AG151" s="118"/>
      <c r="AH151" s="137"/>
      <c r="AI151" s="137"/>
      <c r="AJ151" s="138"/>
      <c r="AK151" s="654">
        <v>36.799999999999997</v>
      </c>
      <c r="AL151" s="632"/>
      <c r="AM151" s="296"/>
      <c r="AN151" s="449"/>
      <c r="AO151" s="450"/>
      <c r="AP151" s="450"/>
      <c r="AQ151" s="240"/>
      <c r="AR151" s="240"/>
      <c r="AS151" s="240"/>
      <c r="AT151" s="450"/>
      <c r="AU151" s="450"/>
      <c r="AV151" s="450"/>
      <c r="AW151" s="240">
        <v>16</v>
      </c>
      <c r="AX151" s="240">
        <v>16</v>
      </c>
      <c r="AY151" s="240"/>
      <c r="AZ151" s="450"/>
      <c r="BA151" s="450"/>
      <c r="BB151" s="450"/>
      <c r="BC151" s="240"/>
      <c r="BD151" s="240"/>
      <c r="BE151" s="240"/>
      <c r="BF151" s="450"/>
      <c r="BG151" s="450"/>
      <c r="BH151" s="450"/>
      <c r="BI151" s="240"/>
      <c r="BJ151" s="240"/>
      <c r="BK151" s="240"/>
      <c r="BL151" s="450"/>
      <c r="BM151" s="450"/>
      <c r="BN151" s="450"/>
      <c r="BO151" s="240"/>
      <c r="BP151" s="240"/>
      <c r="BQ151" s="240"/>
      <c r="BR151" s="450"/>
      <c r="BS151" s="450"/>
      <c r="BT151" s="450"/>
      <c r="BU151" s="240"/>
      <c r="BV151" s="240"/>
      <c r="BW151" s="241"/>
      <c r="BX151" s="648" t="s">
        <v>282</v>
      </c>
      <c r="BY151" s="122">
        <f t="shared" si="34"/>
        <v>44.444444444444443</v>
      </c>
    </row>
    <row r="152" spans="1:77" s="201" customFormat="1" ht="34.5" customHeight="1" x14ac:dyDescent="0.25">
      <c r="A152" s="230"/>
      <c r="B152" s="231"/>
      <c r="C152" s="232">
        <v>43</v>
      </c>
      <c r="D152" s="242" t="s">
        <v>268</v>
      </c>
      <c r="E152" s="147">
        <v>3</v>
      </c>
      <c r="F152" s="148">
        <v>108</v>
      </c>
      <c r="G152" s="149"/>
      <c r="H152" s="140"/>
      <c r="I152" s="140"/>
      <c r="J152" s="140"/>
      <c r="K152" s="523"/>
      <c r="L152" s="523">
        <v>3</v>
      </c>
      <c r="M152" s="230"/>
      <c r="N152" s="230"/>
      <c r="O152" s="230"/>
      <c r="P152" s="230"/>
      <c r="Q152" s="230"/>
      <c r="R152" s="235"/>
      <c r="S152" s="236">
        <v>6</v>
      </c>
      <c r="T152" s="237"/>
      <c r="U152" s="237"/>
      <c r="V152" s="238"/>
      <c r="W152" s="112">
        <v>52.8</v>
      </c>
      <c r="X152" s="113">
        <v>48</v>
      </c>
      <c r="Y152" s="114">
        <v>16</v>
      </c>
      <c r="Z152" s="114">
        <v>32</v>
      </c>
      <c r="AA152" s="115">
        <v>0</v>
      </c>
      <c r="AB152" s="116"/>
      <c r="AC152" s="136"/>
      <c r="AD152" s="117"/>
      <c r="AE152" s="117"/>
      <c r="AF152" s="117"/>
      <c r="AG152" s="118"/>
      <c r="AH152" s="137"/>
      <c r="AI152" s="137"/>
      <c r="AJ152" s="138"/>
      <c r="AK152" s="654">
        <v>55.2</v>
      </c>
      <c r="AL152" s="632"/>
      <c r="AM152" s="296"/>
      <c r="AN152" s="449"/>
      <c r="AO152" s="450"/>
      <c r="AP152" s="450"/>
      <c r="AQ152" s="240"/>
      <c r="AR152" s="240"/>
      <c r="AS152" s="240"/>
      <c r="AT152" s="450"/>
      <c r="AU152" s="450"/>
      <c r="AV152" s="450"/>
      <c r="AW152" s="240"/>
      <c r="AX152" s="240"/>
      <c r="AY152" s="240"/>
      <c r="AZ152" s="450"/>
      <c r="BA152" s="450"/>
      <c r="BB152" s="450"/>
      <c r="BC152" s="240">
        <v>16</v>
      </c>
      <c r="BD152" s="240">
        <v>32</v>
      </c>
      <c r="BE152" s="240"/>
      <c r="BF152" s="450"/>
      <c r="BG152" s="450"/>
      <c r="BH152" s="450"/>
      <c r="BI152" s="240"/>
      <c r="BJ152" s="240"/>
      <c r="BK152" s="240"/>
      <c r="BL152" s="450"/>
      <c r="BM152" s="450"/>
      <c r="BN152" s="450"/>
      <c r="BO152" s="240"/>
      <c r="BP152" s="240"/>
      <c r="BQ152" s="240"/>
      <c r="BR152" s="450"/>
      <c r="BS152" s="450"/>
      <c r="BT152" s="450"/>
      <c r="BU152" s="240"/>
      <c r="BV152" s="240"/>
      <c r="BW152" s="241"/>
      <c r="BX152" s="200" t="s">
        <v>323</v>
      </c>
      <c r="BY152" s="122">
        <f t="shared" si="34"/>
        <v>44.444444444444443</v>
      </c>
    </row>
    <row r="153" spans="1:77" s="201" customFormat="1" ht="22.5" customHeight="1" x14ac:dyDescent="0.25">
      <c r="A153" s="230"/>
      <c r="B153" s="231"/>
      <c r="C153" s="232">
        <v>44</v>
      </c>
      <c r="D153" s="242" t="s">
        <v>258</v>
      </c>
      <c r="E153" s="147">
        <v>5</v>
      </c>
      <c r="F153" s="148">
        <v>180</v>
      </c>
      <c r="G153" s="149"/>
      <c r="H153" s="140"/>
      <c r="I153" s="140"/>
      <c r="J153" s="140">
        <v>5</v>
      </c>
      <c r="K153" s="523"/>
      <c r="L153" s="523"/>
      <c r="M153" s="230"/>
      <c r="N153" s="230"/>
      <c r="O153" s="230"/>
      <c r="P153" s="230"/>
      <c r="Q153" s="230"/>
      <c r="R153" s="235"/>
      <c r="S153" s="236">
        <v>4</v>
      </c>
      <c r="T153" s="237"/>
      <c r="U153" s="237"/>
      <c r="V153" s="238"/>
      <c r="W153" s="112">
        <v>70.400000000000006</v>
      </c>
      <c r="X153" s="113">
        <v>64</v>
      </c>
      <c r="Y153" s="114">
        <v>32</v>
      </c>
      <c r="Z153" s="114">
        <v>32</v>
      </c>
      <c r="AA153" s="115">
        <v>0</v>
      </c>
      <c r="AB153" s="116"/>
      <c r="AC153" s="136"/>
      <c r="AD153" s="117"/>
      <c r="AE153" s="117"/>
      <c r="AF153" s="117"/>
      <c r="AG153" s="118"/>
      <c r="AH153" s="137"/>
      <c r="AI153" s="137"/>
      <c r="AJ153" s="138"/>
      <c r="AK153" s="654">
        <v>109.6</v>
      </c>
      <c r="AL153" s="632"/>
      <c r="AM153" s="296"/>
      <c r="AN153" s="449"/>
      <c r="AO153" s="450"/>
      <c r="AP153" s="450"/>
      <c r="AQ153" s="240"/>
      <c r="AR153" s="240"/>
      <c r="AS153" s="240"/>
      <c r="AT153" s="450"/>
      <c r="AU153" s="450"/>
      <c r="AV153" s="450"/>
      <c r="AW153" s="240">
        <v>32</v>
      </c>
      <c r="AX153" s="240">
        <v>32</v>
      </c>
      <c r="AY153" s="240"/>
      <c r="AZ153" s="450"/>
      <c r="BA153" s="450"/>
      <c r="BB153" s="450"/>
      <c r="BC153" s="240"/>
      <c r="BD153" s="240"/>
      <c r="BE153" s="240"/>
      <c r="BF153" s="450"/>
      <c r="BG153" s="450"/>
      <c r="BH153" s="450"/>
      <c r="BI153" s="240"/>
      <c r="BJ153" s="240"/>
      <c r="BK153" s="240"/>
      <c r="BL153" s="450"/>
      <c r="BM153" s="450"/>
      <c r="BN153" s="450"/>
      <c r="BO153" s="240"/>
      <c r="BP153" s="240"/>
      <c r="BQ153" s="240"/>
      <c r="BR153" s="450"/>
      <c r="BS153" s="450"/>
      <c r="BT153" s="450"/>
      <c r="BU153" s="240"/>
      <c r="BV153" s="240"/>
      <c r="BW153" s="241"/>
      <c r="BX153" s="648" t="s">
        <v>319</v>
      </c>
      <c r="BY153" s="122">
        <f t="shared" si="34"/>
        <v>35.555555555555557</v>
      </c>
    </row>
    <row r="154" spans="1:77" s="201" customFormat="1" ht="32.25" customHeight="1" x14ac:dyDescent="0.25">
      <c r="A154" s="230"/>
      <c r="B154" s="231"/>
      <c r="C154" s="232">
        <v>45</v>
      </c>
      <c r="D154" s="242" t="s">
        <v>269</v>
      </c>
      <c r="E154" s="482">
        <v>3</v>
      </c>
      <c r="F154" s="483">
        <v>108</v>
      </c>
      <c r="G154" s="142"/>
      <c r="H154" s="143"/>
      <c r="I154" s="143"/>
      <c r="J154" s="143"/>
      <c r="K154" s="559"/>
      <c r="L154" s="555"/>
      <c r="M154" s="143"/>
      <c r="N154" s="422">
        <v>3</v>
      </c>
      <c r="O154" s="422"/>
      <c r="P154" s="422"/>
      <c r="Q154" s="422"/>
      <c r="R154" s="564"/>
      <c r="S154" s="552"/>
      <c r="T154" s="553"/>
      <c r="U154" s="143">
        <v>8</v>
      </c>
      <c r="V154" s="560"/>
      <c r="W154" s="308">
        <v>52.8</v>
      </c>
      <c r="X154" s="557">
        <v>48</v>
      </c>
      <c r="Y154" s="558">
        <v>16</v>
      </c>
      <c r="Z154" s="558">
        <v>32</v>
      </c>
      <c r="AA154" s="558">
        <v>0</v>
      </c>
      <c r="AB154" s="204"/>
      <c r="AC154" s="212"/>
      <c r="AD154" s="307"/>
      <c r="AE154" s="307"/>
      <c r="AF154" s="307"/>
      <c r="AG154" s="565"/>
      <c r="AH154" s="215"/>
      <c r="AI154" s="215"/>
      <c r="AJ154" s="216"/>
      <c r="AK154" s="655">
        <v>55.2</v>
      </c>
      <c r="AL154" s="217"/>
      <c r="AM154" s="296"/>
      <c r="AN154" s="578"/>
      <c r="AO154" s="623"/>
      <c r="AP154" s="623"/>
      <c r="AQ154" s="617"/>
      <c r="AR154" s="617"/>
      <c r="AS154" s="617"/>
      <c r="AT154" s="623"/>
      <c r="AU154" s="623"/>
      <c r="AV154" s="623"/>
      <c r="AW154" s="617"/>
      <c r="AX154" s="617"/>
      <c r="AY154" s="617"/>
      <c r="AZ154" s="623"/>
      <c r="BA154" s="623"/>
      <c r="BB154" s="623"/>
      <c r="BC154" s="617"/>
      <c r="BD154" s="617"/>
      <c r="BE154" s="617"/>
      <c r="BF154" s="623"/>
      <c r="BG154" s="623"/>
      <c r="BH154" s="623"/>
      <c r="BI154" s="617">
        <v>16</v>
      </c>
      <c r="BJ154" s="617">
        <v>32</v>
      </c>
      <c r="BK154" s="491"/>
      <c r="BL154" s="623"/>
      <c r="BM154" s="623"/>
      <c r="BN154" s="623"/>
      <c r="BO154" s="240"/>
      <c r="BP154" s="240"/>
      <c r="BQ154" s="240"/>
      <c r="BR154" s="623"/>
      <c r="BS154" s="623"/>
      <c r="BT154" s="623"/>
      <c r="BU154" s="240"/>
      <c r="BV154" s="240"/>
      <c r="BW154" s="241"/>
      <c r="BX154" s="200" t="s">
        <v>323</v>
      </c>
      <c r="BY154" s="122">
        <f t="shared" si="34"/>
        <v>44.444444444444443</v>
      </c>
    </row>
    <row r="155" spans="1:77" s="201" customFormat="1" ht="23.1" customHeight="1" x14ac:dyDescent="0.25">
      <c r="A155" s="230"/>
      <c r="B155" s="231"/>
      <c r="C155" s="232">
        <v>46</v>
      </c>
      <c r="D155" s="242" t="s">
        <v>260</v>
      </c>
      <c r="E155" s="147">
        <v>4</v>
      </c>
      <c r="F155" s="369">
        <v>144</v>
      </c>
      <c r="G155" s="149"/>
      <c r="H155" s="140"/>
      <c r="I155" s="140"/>
      <c r="J155" s="140">
        <v>4</v>
      </c>
      <c r="K155" s="523"/>
      <c r="L155" s="519"/>
      <c r="M155" s="140"/>
      <c r="N155" s="230"/>
      <c r="O155" s="230"/>
      <c r="P155" s="230"/>
      <c r="Q155" s="230"/>
      <c r="R155" s="235"/>
      <c r="S155" s="236"/>
      <c r="T155" s="237">
        <v>4</v>
      </c>
      <c r="U155" s="140"/>
      <c r="V155" s="238"/>
      <c r="W155" s="119">
        <v>70.400000000000006</v>
      </c>
      <c r="X155" s="584">
        <v>64</v>
      </c>
      <c r="Y155" s="457">
        <v>32</v>
      </c>
      <c r="Z155" s="457">
        <v>16</v>
      </c>
      <c r="AA155" s="457">
        <v>16</v>
      </c>
      <c r="AB155" s="116"/>
      <c r="AC155" s="136"/>
      <c r="AD155" s="117"/>
      <c r="AE155" s="117"/>
      <c r="AF155" s="117"/>
      <c r="AG155" s="118"/>
      <c r="AH155" s="137"/>
      <c r="AI155" s="137"/>
      <c r="AJ155" s="138"/>
      <c r="AK155" s="654">
        <v>73.599999999999994</v>
      </c>
      <c r="AL155" s="632"/>
      <c r="AM155" s="296"/>
      <c r="AN155" s="449"/>
      <c r="AO155" s="450"/>
      <c r="AP155" s="450"/>
      <c r="AQ155" s="605"/>
      <c r="AR155" s="605"/>
      <c r="AS155" s="605"/>
      <c r="AT155" s="450"/>
      <c r="AU155" s="450"/>
      <c r="AV155" s="450"/>
      <c r="AW155" s="605">
        <v>32</v>
      </c>
      <c r="AX155" s="605">
        <v>16</v>
      </c>
      <c r="AY155" s="605">
        <v>16</v>
      </c>
      <c r="AZ155" s="450"/>
      <c r="BA155" s="450"/>
      <c r="BB155" s="450"/>
      <c r="BC155" s="605"/>
      <c r="BD155" s="605"/>
      <c r="BE155" s="605"/>
      <c r="BF155" s="450"/>
      <c r="BG155" s="450"/>
      <c r="BH155" s="450"/>
      <c r="BI155" s="605"/>
      <c r="BJ155" s="605"/>
      <c r="BK155" s="478"/>
      <c r="BL155" s="450"/>
      <c r="BM155" s="450"/>
      <c r="BN155" s="450"/>
      <c r="BO155" s="240"/>
      <c r="BP155" s="240"/>
      <c r="BQ155" s="240"/>
      <c r="BR155" s="450"/>
      <c r="BS155" s="450"/>
      <c r="BT155" s="450"/>
      <c r="BU155" s="240"/>
      <c r="BV155" s="240"/>
      <c r="BW155" s="241"/>
      <c r="BX155" s="648" t="s">
        <v>315</v>
      </c>
      <c r="BY155" s="122">
        <f t="shared" si="34"/>
        <v>44.444444444444443</v>
      </c>
    </row>
    <row r="156" spans="1:77" s="201" customFormat="1" ht="33" customHeight="1" x14ac:dyDescent="0.25">
      <c r="A156" s="230"/>
      <c r="B156" s="231"/>
      <c r="C156" s="232">
        <v>47</v>
      </c>
      <c r="D156" s="242" t="s">
        <v>270</v>
      </c>
      <c r="E156" s="147">
        <v>4</v>
      </c>
      <c r="F156" s="148">
        <v>144</v>
      </c>
      <c r="G156" s="149"/>
      <c r="H156" s="140"/>
      <c r="I156" s="140"/>
      <c r="J156" s="140"/>
      <c r="K156" s="523"/>
      <c r="L156" s="523"/>
      <c r="M156" s="230"/>
      <c r="N156" s="230">
        <v>4</v>
      </c>
      <c r="O156" s="230"/>
      <c r="P156" s="230"/>
      <c r="Q156" s="230"/>
      <c r="R156" s="235"/>
      <c r="S156" s="236">
        <v>8</v>
      </c>
      <c r="T156" s="237"/>
      <c r="U156" s="237"/>
      <c r="V156" s="238"/>
      <c r="W156" s="112">
        <v>70.400000000000006</v>
      </c>
      <c r="X156" s="113">
        <v>64</v>
      </c>
      <c r="Y156" s="114">
        <v>32</v>
      </c>
      <c r="Z156" s="114">
        <v>32</v>
      </c>
      <c r="AA156" s="115">
        <v>0</v>
      </c>
      <c r="AB156" s="116"/>
      <c r="AC156" s="136"/>
      <c r="AD156" s="117"/>
      <c r="AE156" s="117"/>
      <c r="AF156" s="117"/>
      <c r="AG156" s="118"/>
      <c r="AH156" s="137"/>
      <c r="AI156" s="137"/>
      <c r="AJ156" s="138"/>
      <c r="AK156" s="654">
        <v>73.599999999999994</v>
      </c>
      <c r="AL156" s="632"/>
      <c r="AM156" s="296"/>
      <c r="AN156" s="449"/>
      <c r="AO156" s="450"/>
      <c r="AP156" s="450"/>
      <c r="AQ156" s="240"/>
      <c r="AR156" s="240"/>
      <c r="AS156" s="240"/>
      <c r="AT156" s="450"/>
      <c r="AU156" s="450"/>
      <c r="AV156" s="450"/>
      <c r="AW156" s="240"/>
      <c r="AX156" s="240"/>
      <c r="AY156" s="240"/>
      <c r="AZ156" s="450"/>
      <c r="BA156" s="450"/>
      <c r="BB156" s="450"/>
      <c r="BC156" s="240"/>
      <c r="BD156" s="240"/>
      <c r="BE156" s="240"/>
      <c r="BF156" s="450"/>
      <c r="BG156" s="450"/>
      <c r="BH156" s="450"/>
      <c r="BI156" s="240">
        <v>32</v>
      </c>
      <c r="BJ156" s="240">
        <v>32</v>
      </c>
      <c r="BK156" s="240"/>
      <c r="BL156" s="450"/>
      <c r="BM156" s="450"/>
      <c r="BN156" s="450"/>
      <c r="BO156" s="240"/>
      <c r="BP156" s="240"/>
      <c r="BQ156" s="240"/>
      <c r="BR156" s="450"/>
      <c r="BS156" s="450"/>
      <c r="BT156" s="450"/>
      <c r="BU156" s="240"/>
      <c r="BV156" s="240"/>
      <c r="BW156" s="241"/>
      <c r="BX156" s="200" t="s">
        <v>323</v>
      </c>
      <c r="BY156" s="122">
        <f t="shared" si="34"/>
        <v>44.444444444444443</v>
      </c>
    </row>
    <row r="157" spans="1:77" s="201" customFormat="1" ht="23.1" hidden="1" customHeight="1" x14ac:dyDescent="0.25">
      <c r="A157" s="230"/>
      <c r="B157" s="231" t="s">
        <v>206</v>
      </c>
      <c r="C157" s="232">
        <v>72</v>
      </c>
      <c r="D157" s="242"/>
      <c r="E157" s="147">
        <f>G157+H157+I157+J157+K157+L157+M157+N157+O157+P157+Q157+R157</f>
        <v>0</v>
      </c>
      <c r="F157" s="148">
        <f>E157*36</f>
        <v>0</v>
      </c>
      <c r="G157" s="149"/>
      <c r="H157" s="140"/>
      <c r="I157" s="140"/>
      <c r="J157" s="140"/>
      <c r="K157" s="523"/>
      <c r="L157" s="523"/>
      <c r="M157" s="230"/>
      <c r="N157" s="230"/>
      <c r="O157" s="230"/>
      <c r="P157" s="230"/>
      <c r="Q157" s="230"/>
      <c r="R157" s="235"/>
      <c r="S157" s="236"/>
      <c r="T157" s="237"/>
      <c r="U157" s="237"/>
      <c r="V157" s="238"/>
      <c r="W157" s="112">
        <f>X157+X157*0.1</f>
        <v>0</v>
      </c>
      <c r="X157" s="113">
        <f>SUM(Y157:AA157)</f>
        <v>0</v>
      </c>
      <c r="Y157" s="114">
        <f t="shared" ref="Y157:AA158" si="35">AN157+AQ157+AT157+AW157+AZ157+BC157+BF157+BI157+BL157+BO157+BR157+BU157</f>
        <v>0</v>
      </c>
      <c r="Z157" s="114">
        <f t="shared" si="35"/>
        <v>0</v>
      </c>
      <c r="AA157" s="115">
        <f t="shared" si="35"/>
        <v>0</v>
      </c>
      <c r="AB157" s="116"/>
      <c r="AC157" s="136"/>
      <c r="AD157" s="117"/>
      <c r="AE157" s="117"/>
      <c r="AF157" s="117"/>
      <c r="AG157" s="118"/>
      <c r="AH157" s="137"/>
      <c r="AI157" s="137"/>
      <c r="AJ157" s="138"/>
      <c r="AK157" s="654">
        <f>F157-W157</f>
        <v>0</v>
      </c>
      <c r="AL157" s="632"/>
      <c r="AM157" s="296"/>
      <c r="AN157" s="449"/>
      <c r="AO157" s="450"/>
      <c r="AP157" s="450"/>
      <c r="AQ157" s="240"/>
      <c r="AR157" s="240"/>
      <c r="AS157" s="240"/>
      <c r="AT157" s="450"/>
      <c r="AU157" s="450"/>
      <c r="AV157" s="450"/>
      <c r="AW157" s="240"/>
      <c r="AX157" s="240"/>
      <c r="AY157" s="240"/>
      <c r="AZ157" s="450"/>
      <c r="BA157" s="450"/>
      <c r="BB157" s="450"/>
      <c r="BC157" s="240"/>
      <c r="BD157" s="240"/>
      <c r="BE157" s="240"/>
      <c r="BF157" s="450"/>
      <c r="BG157" s="450"/>
      <c r="BH157" s="450"/>
      <c r="BI157" s="240"/>
      <c r="BJ157" s="240"/>
      <c r="BK157" s="240"/>
      <c r="BL157" s="450"/>
      <c r="BM157" s="450"/>
      <c r="BN157" s="450"/>
      <c r="BO157" s="240"/>
      <c r="BP157" s="240"/>
      <c r="BQ157" s="240"/>
      <c r="BR157" s="450"/>
      <c r="BS157" s="450"/>
      <c r="BT157" s="450"/>
      <c r="BU157" s="240"/>
      <c r="BV157" s="240"/>
      <c r="BW157" s="241"/>
      <c r="BX157" s="648"/>
      <c r="BY157" s="122" t="e">
        <f t="shared" si="34"/>
        <v>#DIV/0!</v>
      </c>
    </row>
    <row r="158" spans="1:77" s="201" customFormat="1" ht="23.1" hidden="1" customHeight="1" x14ac:dyDescent="0.25">
      <c r="A158" s="230"/>
      <c r="B158" s="231" t="s">
        <v>206</v>
      </c>
      <c r="C158" s="232">
        <v>73</v>
      </c>
      <c r="D158" s="242"/>
      <c r="E158" s="147">
        <f>G158+H158+I158+J158+K158+L158+M158+N158+O158+P158+Q158+R158</f>
        <v>0</v>
      </c>
      <c r="F158" s="148">
        <f>E158*36</f>
        <v>0</v>
      </c>
      <c r="G158" s="149"/>
      <c r="H158" s="140"/>
      <c r="I158" s="140"/>
      <c r="J158" s="140"/>
      <c r="K158" s="523"/>
      <c r="L158" s="523"/>
      <c r="M158" s="230"/>
      <c r="N158" s="230"/>
      <c r="O158" s="230"/>
      <c r="P158" s="230"/>
      <c r="Q158" s="230"/>
      <c r="R158" s="235"/>
      <c r="S158" s="236"/>
      <c r="T158" s="237"/>
      <c r="U158" s="237"/>
      <c r="V158" s="238"/>
      <c r="W158" s="112">
        <f>X158+X158*0.1</f>
        <v>0</v>
      </c>
      <c r="X158" s="113">
        <f>SUM(Y158:AA158)</f>
        <v>0</v>
      </c>
      <c r="Y158" s="114">
        <f t="shared" si="35"/>
        <v>0</v>
      </c>
      <c r="Z158" s="114">
        <f t="shared" si="35"/>
        <v>0</v>
      </c>
      <c r="AA158" s="115">
        <f t="shared" si="35"/>
        <v>0</v>
      </c>
      <c r="AB158" s="116"/>
      <c r="AC158" s="136"/>
      <c r="AD158" s="117"/>
      <c r="AE158" s="117"/>
      <c r="AF158" s="117"/>
      <c r="AG158" s="118"/>
      <c r="AH158" s="137"/>
      <c r="AI158" s="137"/>
      <c r="AJ158" s="138"/>
      <c r="AK158" s="654">
        <f>F158-W158</f>
        <v>0</v>
      </c>
      <c r="AL158" s="632"/>
      <c r="AM158" s="296"/>
      <c r="AN158" s="449"/>
      <c r="AO158" s="450"/>
      <c r="AP158" s="450"/>
      <c r="AQ158" s="240"/>
      <c r="AR158" s="240"/>
      <c r="AS158" s="240"/>
      <c r="AT158" s="450"/>
      <c r="AU158" s="450"/>
      <c r="AV158" s="450"/>
      <c r="AW158" s="240"/>
      <c r="AX158" s="240"/>
      <c r="AY158" s="240"/>
      <c r="AZ158" s="450"/>
      <c r="BA158" s="450"/>
      <c r="BB158" s="450"/>
      <c r="BC158" s="240"/>
      <c r="BD158" s="240"/>
      <c r="BE158" s="240"/>
      <c r="BF158" s="450"/>
      <c r="BG158" s="450"/>
      <c r="BH158" s="450"/>
      <c r="BI158" s="240"/>
      <c r="BJ158" s="240"/>
      <c r="BK158" s="240"/>
      <c r="BL158" s="450"/>
      <c r="BM158" s="450"/>
      <c r="BN158" s="450"/>
      <c r="BO158" s="240"/>
      <c r="BP158" s="240"/>
      <c r="BQ158" s="240"/>
      <c r="BR158" s="450"/>
      <c r="BS158" s="450"/>
      <c r="BT158" s="450"/>
      <c r="BU158" s="240"/>
      <c r="BV158" s="240"/>
      <c r="BW158" s="241"/>
      <c r="BX158" s="648"/>
      <c r="BY158" s="122" t="e">
        <f t="shared" si="34"/>
        <v>#DIV/0!</v>
      </c>
    </row>
    <row r="159" spans="1:77" s="201" customFormat="1" ht="36" hidden="1" customHeight="1" x14ac:dyDescent="0.25">
      <c r="A159" s="231"/>
      <c r="B159" s="231" t="s">
        <v>206</v>
      </c>
      <c r="C159" s="232"/>
      <c r="D159" s="267" t="s">
        <v>237</v>
      </c>
      <c r="E159" s="268">
        <f>SUM(E160:E175)</f>
        <v>0</v>
      </c>
      <c r="F159" s="269">
        <f>E159*36</f>
        <v>0</v>
      </c>
      <c r="G159" s="173"/>
      <c r="H159" s="174"/>
      <c r="I159" s="174"/>
      <c r="J159" s="174"/>
      <c r="K159" s="353"/>
      <c r="L159" s="353"/>
      <c r="M159" s="270"/>
      <c r="N159" s="270"/>
      <c r="O159" s="270"/>
      <c r="P159" s="270"/>
      <c r="Q159" s="270"/>
      <c r="R159" s="271"/>
      <c r="S159" s="272"/>
      <c r="T159" s="273"/>
      <c r="U159" s="273"/>
      <c r="V159" s="274"/>
      <c r="W159" s="179"/>
      <c r="X159" s="180"/>
      <c r="Y159" s="120"/>
      <c r="Z159" s="120"/>
      <c r="AA159" s="181"/>
      <c r="AB159" s="182"/>
      <c r="AC159" s="183"/>
      <c r="AD159" s="184"/>
      <c r="AE159" s="184"/>
      <c r="AF159" s="184"/>
      <c r="AG159" s="185"/>
      <c r="AH159" s="186"/>
      <c r="AI159" s="186"/>
      <c r="AJ159" s="187"/>
      <c r="AK159" s="653"/>
      <c r="AL159" s="633"/>
      <c r="AM159" s="634"/>
      <c r="AN159" s="18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616"/>
      <c r="BX159" s="658"/>
      <c r="BY159" s="275"/>
    </row>
    <row r="160" spans="1:77" s="201" customFormat="1" ht="23.1" hidden="1" customHeight="1" x14ac:dyDescent="0.25">
      <c r="A160" s="230"/>
      <c r="B160" s="231" t="s">
        <v>206</v>
      </c>
      <c r="C160" s="232">
        <v>61</v>
      </c>
      <c r="D160" s="242"/>
      <c r="E160" s="147"/>
      <c r="F160" s="148"/>
      <c r="G160" s="149"/>
      <c r="H160" s="140"/>
      <c r="I160" s="140"/>
      <c r="J160" s="140"/>
      <c r="K160" s="523"/>
      <c r="L160" s="523"/>
      <c r="M160" s="230"/>
      <c r="N160" s="230"/>
      <c r="O160" s="230"/>
      <c r="P160" s="230"/>
      <c r="Q160" s="230"/>
      <c r="R160" s="235"/>
      <c r="S160" s="236"/>
      <c r="T160" s="237"/>
      <c r="U160" s="237"/>
      <c r="V160" s="238"/>
      <c r="W160" s="112"/>
      <c r="X160" s="113"/>
      <c r="Y160" s="114"/>
      <c r="Z160" s="114"/>
      <c r="AA160" s="115"/>
      <c r="AB160" s="116"/>
      <c r="AC160" s="136"/>
      <c r="AD160" s="117"/>
      <c r="AE160" s="117"/>
      <c r="AF160" s="117"/>
      <c r="AG160" s="118"/>
      <c r="AH160" s="137"/>
      <c r="AI160" s="137"/>
      <c r="AJ160" s="138"/>
      <c r="AK160" s="654"/>
      <c r="AL160" s="632"/>
      <c r="AM160" s="296"/>
      <c r="AN160" s="449"/>
      <c r="AO160" s="450"/>
      <c r="AP160" s="450"/>
      <c r="AQ160" s="240"/>
      <c r="AR160" s="240"/>
      <c r="AS160" s="240"/>
      <c r="AT160" s="450"/>
      <c r="AU160" s="450"/>
      <c r="AV160" s="450"/>
      <c r="AW160" s="240"/>
      <c r="AX160" s="240"/>
      <c r="AY160" s="240"/>
      <c r="AZ160" s="450"/>
      <c r="BA160" s="450"/>
      <c r="BB160" s="450"/>
      <c r="BC160" s="240"/>
      <c r="BD160" s="240"/>
      <c r="BE160" s="240"/>
      <c r="BF160" s="450"/>
      <c r="BG160" s="450"/>
      <c r="BH160" s="450"/>
      <c r="BI160" s="240"/>
      <c r="BJ160" s="240"/>
      <c r="BK160" s="240"/>
      <c r="BL160" s="450"/>
      <c r="BM160" s="450"/>
      <c r="BN160" s="450"/>
      <c r="BO160" s="240"/>
      <c r="BP160" s="240"/>
      <c r="BQ160" s="240"/>
      <c r="BR160" s="450"/>
      <c r="BS160" s="450"/>
      <c r="BT160" s="450"/>
      <c r="BU160" s="240"/>
      <c r="BV160" s="240"/>
      <c r="BW160" s="241"/>
      <c r="BX160" s="648"/>
      <c r="BY160" s="122" t="e">
        <f t="shared" ref="BY160:BY175" si="36">X160/F160*100</f>
        <v>#DIV/0!</v>
      </c>
    </row>
    <row r="161" spans="1:77" s="201" customFormat="1" ht="45.75" hidden="1" customHeight="1" x14ac:dyDescent="0.25">
      <c r="A161" s="230"/>
      <c r="B161" s="231" t="s">
        <v>206</v>
      </c>
      <c r="C161" s="232">
        <v>62</v>
      </c>
      <c r="D161" s="242"/>
      <c r="E161" s="147"/>
      <c r="F161" s="148"/>
      <c r="G161" s="149"/>
      <c r="H161" s="140"/>
      <c r="I161" s="140"/>
      <c r="J161" s="140"/>
      <c r="K161" s="523"/>
      <c r="L161" s="523"/>
      <c r="M161" s="230"/>
      <c r="N161" s="230"/>
      <c r="O161" s="230"/>
      <c r="P161" s="230"/>
      <c r="Q161" s="230"/>
      <c r="R161" s="235"/>
      <c r="S161" s="236"/>
      <c r="T161" s="237"/>
      <c r="U161" s="237"/>
      <c r="V161" s="238"/>
      <c r="W161" s="112"/>
      <c r="X161" s="113"/>
      <c r="Y161" s="114"/>
      <c r="Z161" s="114"/>
      <c r="AA161" s="115"/>
      <c r="AB161" s="116"/>
      <c r="AC161" s="136"/>
      <c r="AD161" s="117"/>
      <c r="AE161" s="117"/>
      <c r="AF161" s="117"/>
      <c r="AG161" s="118"/>
      <c r="AH161" s="137"/>
      <c r="AI161" s="137"/>
      <c r="AJ161" s="138"/>
      <c r="AK161" s="654"/>
      <c r="AL161" s="632"/>
      <c r="AM161" s="296"/>
      <c r="AN161" s="449"/>
      <c r="AO161" s="450"/>
      <c r="AP161" s="450"/>
      <c r="AQ161" s="240"/>
      <c r="AR161" s="240"/>
      <c r="AS161" s="240"/>
      <c r="AT161" s="450"/>
      <c r="AU161" s="450"/>
      <c r="AV161" s="450"/>
      <c r="AW161" s="240"/>
      <c r="AX161" s="240"/>
      <c r="AY161" s="240"/>
      <c r="AZ161" s="450"/>
      <c r="BA161" s="450"/>
      <c r="BB161" s="450"/>
      <c r="BC161" s="240"/>
      <c r="BD161" s="240"/>
      <c r="BE161" s="240"/>
      <c r="BF161" s="450"/>
      <c r="BG161" s="450"/>
      <c r="BH161" s="450"/>
      <c r="BI161" s="240"/>
      <c r="BJ161" s="240"/>
      <c r="BK161" s="240"/>
      <c r="BL161" s="450"/>
      <c r="BM161" s="450"/>
      <c r="BN161" s="450"/>
      <c r="BO161" s="240"/>
      <c r="BP161" s="240"/>
      <c r="BQ161" s="240"/>
      <c r="BR161" s="450"/>
      <c r="BS161" s="450"/>
      <c r="BT161" s="450"/>
      <c r="BU161" s="240"/>
      <c r="BV161" s="240"/>
      <c r="BW161" s="241"/>
      <c r="BX161" s="648"/>
      <c r="BY161" s="122" t="e">
        <f t="shared" si="36"/>
        <v>#DIV/0!</v>
      </c>
    </row>
    <row r="162" spans="1:77" s="201" customFormat="1" ht="23.1" hidden="1" customHeight="1" x14ac:dyDescent="0.25">
      <c r="A162" s="230"/>
      <c r="B162" s="231" t="s">
        <v>206</v>
      </c>
      <c r="C162" s="232">
        <v>63</v>
      </c>
      <c r="D162" s="242"/>
      <c r="E162" s="147"/>
      <c r="F162" s="148"/>
      <c r="G162" s="149"/>
      <c r="H162" s="140"/>
      <c r="I162" s="140"/>
      <c r="J162" s="140"/>
      <c r="K162" s="523"/>
      <c r="L162" s="523"/>
      <c r="M162" s="230"/>
      <c r="N162" s="230"/>
      <c r="O162" s="230"/>
      <c r="P162" s="230"/>
      <c r="Q162" s="230"/>
      <c r="R162" s="235"/>
      <c r="S162" s="236"/>
      <c r="T162" s="237"/>
      <c r="U162" s="237"/>
      <c r="V162" s="238"/>
      <c r="W162" s="112"/>
      <c r="X162" s="113"/>
      <c r="Y162" s="114"/>
      <c r="Z162" s="114"/>
      <c r="AA162" s="115"/>
      <c r="AB162" s="116"/>
      <c r="AC162" s="136"/>
      <c r="AD162" s="117"/>
      <c r="AE162" s="117"/>
      <c r="AF162" s="117"/>
      <c r="AG162" s="118"/>
      <c r="AH162" s="137"/>
      <c r="AI162" s="137"/>
      <c r="AJ162" s="138"/>
      <c r="AK162" s="654"/>
      <c r="AL162" s="632"/>
      <c r="AM162" s="296"/>
      <c r="AN162" s="449"/>
      <c r="AO162" s="450"/>
      <c r="AP162" s="450"/>
      <c r="AQ162" s="240"/>
      <c r="AR162" s="240"/>
      <c r="AS162" s="240"/>
      <c r="AT162" s="450"/>
      <c r="AU162" s="450"/>
      <c r="AV162" s="450"/>
      <c r="AW162" s="240"/>
      <c r="AX162" s="240"/>
      <c r="AY162" s="240"/>
      <c r="AZ162" s="450"/>
      <c r="BA162" s="450"/>
      <c r="BB162" s="450"/>
      <c r="BC162" s="240"/>
      <c r="BD162" s="240"/>
      <c r="BE162" s="240"/>
      <c r="BF162" s="450"/>
      <c r="BG162" s="450"/>
      <c r="BH162" s="450"/>
      <c r="BI162" s="240"/>
      <c r="BJ162" s="240"/>
      <c r="BK162" s="240"/>
      <c r="BL162" s="450"/>
      <c r="BM162" s="450"/>
      <c r="BN162" s="450"/>
      <c r="BO162" s="240"/>
      <c r="BP162" s="240"/>
      <c r="BQ162" s="240"/>
      <c r="BR162" s="450"/>
      <c r="BS162" s="450"/>
      <c r="BT162" s="450"/>
      <c r="BU162" s="240"/>
      <c r="BV162" s="240"/>
      <c r="BW162" s="241"/>
      <c r="BX162" s="648"/>
      <c r="BY162" s="122" t="e">
        <f t="shared" si="36"/>
        <v>#DIV/0!</v>
      </c>
    </row>
    <row r="163" spans="1:77" s="201" customFormat="1" ht="23.1" hidden="1" customHeight="1" x14ac:dyDescent="0.25">
      <c r="A163" s="230"/>
      <c r="B163" s="231" t="s">
        <v>206</v>
      </c>
      <c r="C163" s="232">
        <v>64</v>
      </c>
      <c r="D163" s="242"/>
      <c r="E163" s="147"/>
      <c r="F163" s="148"/>
      <c r="G163" s="149"/>
      <c r="H163" s="140"/>
      <c r="I163" s="140"/>
      <c r="J163" s="140"/>
      <c r="K163" s="523"/>
      <c r="L163" s="523"/>
      <c r="M163" s="230"/>
      <c r="N163" s="230"/>
      <c r="O163" s="230"/>
      <c r="P163" s="230"/>
      <c r="Q163" s="230"/>
      <c r="R163" s="235"/>
      <c r="S163" s="236"/>
      <c r="T163" s="237"/>
      <c r="U163" s="237"/>
      <c r="V163" s="238"/>
      <c r="W163" s="112"/>
      <c r="X163" s="113"/>
      <c r="Y163" s="114"/>
      <c r="Z163" s="114"/>
      <c r="AA163" s="115"/>
      <c r="AB163" s="116"/>
      <c r="AC163" s="136"/>
      <c r="AD163" s="117"/>
      <c r="AE163" s="117"/>
      <c r="AF163" s="117"/>
      <c r="AG163" s="118"/>
      <c r="AH163" s="137"/>
      <c r="AI163" s="137"/>
      <c r="AJ163" s="138"/>
      <c r="AK163" s="654"/>
      <c r="AL163" s="632"/>
      <c r="AM163" s="296"/>
      <c r="AN163" s="449"/>
      <c r="AO163" s="450"/>
      <c r="AP163" s="450"/>
      <c r="AQ163" s="240"/>
      <c r="AR163" s="240"/>
      <c r="AS163" s="240"/>
      <c r="AT163" s="450"/>
      <c r="AU163" s="450"/>
      <c r="AV163" s="450"/>
      <c r="AW163" s="240"/>
      <c r="AX163" s="240"/>
      <c r="AY163" s="240"/>
      <c r="AZ163" s="450"/>
      <c r="BA163" s="450"/>
      <c r="BB163" s="450"/>
      <c r="BC163" s="240"/>
      <c r="BD163" s="240"/>
      <c r="BE163" s="240"/>
      <c r="BF163" s="450"/>
      <c r="BG163" s="450"/>
      <c r="BH163" s="450"/>
      <c r="BI163" s="240"/>
      <c r="BJ163" s="240"/>
      <c r="BK163" s="240"/>
      <c r="BL163" s="450"/>
      <c r="BM163" s="450"/>
      <c r="BN163" s="450"/>
      <c r="BO163" s="240"/>
      <c r="BP163" s="240"/>
      <c r="BQ163" s="240"/>
      <c r="BR163" s="450"/>
      <c r="BS163" s="450"/>
      <c r="BT163" s="450"/>
      <c r="BU163" s="240"/>
      <c r="BV163" s="240"/>
      <c r="BW163" s="241"/>
      <c r="BX163" s="648"/>
      <c r="BY163" s="122" t="e">
        <f t="shared" si="36"/>
        <v>#DIV/0!</v>
      </c>
    </row>
    <row r="164" spans="1:77" s="201" customFormat="1" ht="23.1" hidden="1" customHeight="1" x14ac:dyDescent="0.25">
      <c r="A164" s="230"/>
      <c r="B164" s="231" t="s">
        <v>206</v>
      </c>
      <c r="C164" s="232">
        <v>65</v>
      </c>
      <c r="D164" s="242"/>
      <c r="E164" s="147"/>
      <c r="F164" s="148"/>
      <c r="G164" s="149"/>
      <c r="H164" s="140"/>
      <c r="I164" s="140"/>
      <c r="J164" s="140"/>
      <c r="K164" s="523"/>
      <c r="L164" s="523"/>
      <c r="M164" s="230"/>
      <c r="N164" s="230"/>
      <c r="O164" s="230"/>
      <c r="P164" s="230"/>
      <c r="Q164" s="230"/>
      <c r="R164" s="235"/>
      <c r="S164" s="236"/>
      <c r="T164" s="237"/>
      <c r="U164" s="237"/>
      <c r="V164" s="238"/>
      <c r="W164" s="112"/>
      <c r="X164" s="113"/>
      <c r="Y164" s="114"/>
      <c r="Z164" s="114"/>
      <c r="AA164" s="115"/>
      <c r="AB164" s="116"/>
      <c r="AC164" s="136"/>
      <c r="AD164" s="117"/>
      <c r="AE164" s="117"/>
      <c r="AF164" s="117"/>
      <c r="AG164" s="118"/>
      <c r="AH164" s="137"/>
      <c r="AI164" s="137"/>
      <c r="AJ164" s="138"/>
      <c r="AK164" s="654"/>
      <c r="AL164" s="632"/>
      <c r="AM164" s="296"/>
      <c r="AN164" s="449"/>
      <c r="AO164" s="450"/>
      <c r="AP164" s="450"/>
      <c r="AQ164" s="240"/>
      <c r="AR164" s="240"/>
      <c r="AS164" s="240"/>
      <c r="AT164" s="450"/>
      <c r="AU164" s="450"/>
      <c r="AV164" s="450"/>
      <c r="AW164" s="240"/>
      <c r="AX164" s="240"/>
      <c r="AY164" s="240"/>
      <c r="AZ164" s="450"/>
      <c r="BA164" s="450"/>
      <c r="BB164" s="450"/>
      <c r="BC164" s="240"/>
      <c r="BD164" s="240"/>
      <c r="BE164" s="240"/>
      <c r="BF164" s="450"/>
      <c r="BG164" s="450"/>
      <c r="BH164" s="450"/>
      <c r="BI164" s="240"/>
      <c r="BJ164" s="240"/>
      <c r="BK164" s="240"/>
      <c r="BL164" s="450"/>
      <c r="BM164" s="450"/>
      <c r="BN164" s="450"/>
      <c r="BO164" s="240"/>
      <c r="BP164" s="240"/>
      <c r="BQ164" s="240"/>
      <c r="BR164" s="450"/>
      <c r="BS164" s="450"/>
      <c r="BT164" s="450"/>
      <c r="BU164" s="240"/>
      <c r="BV164" s="240"/>
      <c r="BW164" s="241"/>
      <c r="BX164" s="648"/>
      <c r="BY164" s="122" t="e">
        <f t="shared" si="36"/>
        <v>#DIV/0!</v>
      </c>
    </row>
    <row r="165" spans="1:77" s="201" customFormat="1" ht="23.1" hidden="1" customHeight="1" x14ac:dyDescent="0.25">
      <c r="A165" s="230"/>
      <c r="B165" s="231" t="s">
        <v>206</v>
      </c>
      <c r="C165" s="232">
        <v>66</v>
      </c>
      <c r="D165" s="242"/>
      <c r="E165" s="147"/>
      <c r="F165" s="148"/>
      <c r="G165" s="149"/>
      <c r="H165" s="140"/>
      <c r="I165" s="140"/>
      <c r="J165" s="140"/>
      <c r="K165" s="523"/>
      <c r="L165" s="523"/>
      <c r="M165" s="230"/>
      <c r="N165" s="230"/>
      <c r="O165" s="230"/>
      <c r="P165" s="230"/>
      <c r="Q165" s="230"/>
      <c r="R165" s="235"/>
      <c r="S165" s="236"/>
      <c r="T165" s="237"/>
      <c r="U165" s="237"/>
      <c r="V165" s="238"/>
      <c r="W165" s="112"/>
      <c r="X165" s="113"/>
      <c r="Y165" s="114"/>
      <c r="Z165" s="114"/>
      <c r="AA165" s="115"/>
      <c r="AB165" s="116"/>
      <c r="AC165" s="136"/>
      <c r="AD165" s="117"/>
      <c r="AE165" s="117"/>
      <c r="AF165" s="117"/>
      <c r="AG165" s="118"/>
      <c r="AH165" s="137"/>
      <c r="AI165" s="137"/>
      <c r="AJ165" s="138"/>
      <c r="AK165" s="654"/>
      <c r="AL165" s="632"/>
      <c r="AM165" s="296"/>
      <c r="AN165" s="449"/>
      <c r="AO165" s="450"/>
      <c r="AP165" s="450"/>
      <c r="AQ165" s="240"/>
      <c r="AR165" s="240"/>
      <c r="AS165" s="240"/>
      <c r="AT165" s="450"/>
      <c r="AU165" s="450"/>
      <c r="AV165" s="450"/>
      <c r="AW165" s="240"/>
      <c r="AX165" s="240"/>
      <c r="AY165" s="240"/>
      <c r="AZ165" s="450"/>
      <c r="BA165" s="450"/>
      <c r="BB165" s="450"/>
      <c r="BC165" s="240"/>
      <c r="BD165" s="240"/>
      <c r="BE165" s="240"/>
      <c r="BF165" s="450"/>
      <c r="BG165" s="450"/>
      <c r="BH165" s="450"/>
      <c r="BI165" s="240"/>
      <c r="BJ165" s="240"/>
      <c r="BK165" s="240"/>
      <c r="BL165" s="450"/>
      <c r="BM165" s="450"/>
      <c r="BN165" s="450"/>
      <c r="BO165" s="240"/>
      <c r="BP165" s="240"/>
      <c r="BQ165" s="240"/>
      <c r="BR165" s="450"/>
      <c r="BS165" s="450"/>
      <c r="BT165" s="450"/>
      <c r="BU165" s="240"/>
      <c r="BV165" s="240"/>
      <c r="BW165" s="241"/>
      <c r="BX165" s="648"/>
      <c r="BY165" s="122" t="e">
        <f t="shared" si="36"/>
        <v>#DIV/0!</v>
      </c>
    </row>
    <row r="166" spans="1:77" s="201" customFormat="1" ht="23.1" hidden="1" customHeight="1" x14ac:dyDescent="0.25">
      <c r="A166" s="230"/>
      <c r="B166" s="231" t="s">
        <v>206</v>
      </c>
      <c r="C166" s="232">
        <v>67</v>
      </c>
      <c r="D166" s="242"/>
      <c r="E166" s="147"/>
      <c r="F166" s="148"/>
      <c r="G166" s="149"/>
      <c r="H166" s="140"/>
      <c r="I166" s="140"/>
      <c r="J166" s="140"/>
      <c r="K166" s="523"/>
      <c r="L166" s="523"/>
      <c r="M166" s="230"/>
      <c r="N166" s="230"/>
      <c r="O166" s="230"/>
      <c r="P166" s="230"/>
      <c r="Q166" s="230"/>
      <c r="R166" s="235"/>
      <c r="S166" s="236"/>
      <c r="T166" s="237"/>
      <c r="U166" s="237"/>
      <c r="V166" s="238"/>
      <c r="W166" s="112"/>
      <c r="X166" s="113"/>
      <c r="Y166" s="114"/>
      <c r="Z166" s="114"/>
      <c r="AA166" s="115"/>
      <c r="AB166" s="116"/>
      <c r="AC166" s="136"/>
      <c r="AD166" s="117"/>
      <c r="AE166" s="117"/>
      <c r="AF166" s="117"/>
      <c r="AG166" s="118"/>
      <c r="AH166" s="137"/>
      <c r="AI166" s="137"/>
      <c r="AJ166" s="138"/>
      <c r="AK166" s="654"/>
      <c r="AL166" s="632"/>
      <c r="AM166" s="296"/>
      <c r="AN166" s="449"/>
      <c r="AO166" s="450"/>
      <c r="AP166" s="450"/>
      <c r="AQ166" s="240"/>
      <c r="AR166" s="240"/>
      <c r="AS166" s="240"/>
      <c r="AT166" s="450"/>
      <c r="AU166" s="450"/>
      <c r="AV166" s="450"/>
      <c r="AW166" s="240"/>
      <c r="AX166" s="240"/>
      <c r="AY166" s="240"/>
      <c r="AZ166" s="450"/>
      <c r="BA166" s="450"/>
      <c r="BB166" s="450"/>
      <c r="BC166" s="240"/>
      <c r="BD166" s="240"/>
      <c r="BE166" s="240"/>
      <c r="BF166" s="450"/>
      <c r="BG166" s="450"/>
      <c r="BH166" s="450"/>
      <c r="BI166" s="240"/>
      <c r="BJ166" s="240"/>
      <c r="BK166" s="240"/>
      <c r="BL166" s="450"/>
      <c r="BM166" s="450"/>
      <c r="BN166" s="450"/>
      <c r="BO166" s="240"/>
      <c r="BP166" s="240"/>
      <c r="BQ166" s="240"/>
      <c r="BR166" s="450"/>
      <c r="BS166" s="450"/>
      <c r="BT166" s="450"/>
      <c r="BU166" s="240"/>
      <c r="BV166" s="240"/>
      <c r="BW166" s="241"/>
      <c r="BX166" s="648"/>
      <c r="BY166" s="122" t="e">
        <f t="shared" si="36"/>
        <v>#DIV/0!</v>
      </c>
    </row>
    <row r="167" spans="1:77" s="201" customFormat="1" ht="23.1" hidden="1" customHeight="1" x14ac:dyDescent="0.25">
      <c r="A167" s="230"/>
      <c r="B167" s="231" t="s">
        <v>206</v>
      </c>
      <c r="C167" s="232">
        <v>68</v>
      </c>
      <c r="D167" s="242"/>
      <c r="E167" s="147"/>
      <c r="F167" s="148"/>
      <c r="G167" s="149"/>
      <c r="H167" s="140"/>
      <c r="I167" s="140"/>
      <c r="J167" s="140"/>
      <c r="K167" s="523"/>
      <c r="L167" s="523"/>
      <c r="M167" s="230"/>
      <c r="N167" s="230"/>
      <c r="O167" s="230"/>
      <c r="P167" s="230"/>
      <c r="Q167" s="230"/>
      <c r="R167" s="235"/>
      <c r="S167" s="236"/>
      <c r="T167" s="237"/>
      <c r="U167" s="237"/>
      <c r="V167" s="238"/>
      <c r="W167" s="112"/>
      <c r="X167" s="113"/>
      <c r="Y167" s="114"/>
      <c r="Z167" s="114"/>
      <c r="AA167" s="115"/>
      <c r="AB167" s="116"/>
      <c r="AC167" s="136"/>
      <c r="AD167" s="117"/>
      <c r="AE167" s="117"/>
      <c r="AF167" s="117"/>
      <c r="AG167" s="118"/>
      <c r="AH167" s="137"/>
      <c r="AI167" s="137"/>
      <c r="AJ167" s="138"/>
      <c r="AK167" s="654"/>
      <c r="AL167" s="632"/>
      <c r="AM167" s="296"/>
      <c r="AN167" s="449"/>
      <c r="AO167" s="450"/>
      <c r="AP167" s="450"/>
      <c r="AQ167" s="240"/>
      <c r="AR167" s="240"/>
      <c r="AS167" s="240"/>
      <c r="AT167" s="450"/>
      <c r="AU167" s="450"/>
      <c r="AV167" s="450"/>
      <c r="AW167" s="240"/>
      <c r="AX167" s="240"/>
      <c r="AY167" s="240"/>
      <c r="AZ167" s="450"/>
      <c r="BA167" s="450"/>
      <c r="BB167" s="450"/>
      <c r="BC167" s="240"/>
      <c r="BD167" s="240"/>
      <c r="BE167" s="240"/>
      <c r="BF167" s="450"/>
      <c r="BG167" s="450"/>
      <c r="BH167" s="450"/>
      <c r="BI167" s="240"/>
      <c r="BJ167" s="240"/>
      <c r="BK167" s="240"/>
      <c r="BL167" s="450"/>
      <c r="BM167" s="450"/>
      <c r="BN167" s="450"/>
      <c r="BO167" s="240"/>
      <c r="BP167" s="240"/>
      <c r="BQ167" s="240"/>
      <c r="BR167" s="450"/>
      <c r="BS167" s="450"/>
      <c r="BT167" s="450"/>
      <c r="BU167" s="240"/>
      <c r="BV167" s="240"/>
      <c r="BW167" s="241"/>
      <c r="BX167" s="648"/>
      <c r="BY167" s="122" t="e">
        <f>X167/F167*100</f>
        <v>#DIV/0!</v>
      </c>
    </row>
    <row r="168" spans="1:77" s="201" customFormat="1" ht="33" hidden="1" customHeight="1" x14ac:dyDescent="0.25">
      <c r="A168" s="230"/>
      <c r="B168" s="231" t="s">
        <v>206</v>
      </c>
      <c r="C168" s="232">
        <v>69</v>
      </c>
      <c r="D168" s="242"/>
      <c r="E168" s="147"/>
      <c r="F168" s="148"/>
      <c r="G168" s="149"/>
      <c r="H168" s="140"/>
      <c r="I168" s="140"/>
      <c r="J168" s="140"/>
      <c r="K168" s="523"/>
      <c r="L168" s="523"/>
      <c r="M168" s="230"/>
      <c r="N168" s="230"/>
      <c r="O168" s="230"/>
      <c r="P168" s="230"/>
      <c r="Q168" s="230"/>
      <c r="R168" s="235"/>
      <c r="S168" s="236"/>
      <c r="T168" s="237"/>
      <c r="U168" s="237"/>
      <c r="V168" s="238"/>
      <c r="W168" s="112"/>
      <c r="X168" s="113"/>
      <c r="Y168" s="114"/>
      <c r="Z168" s="114"/>
      <c r="AA168" s="115"/>
      <c r="AB168" s="116"/>
      <c r="AC168" s="136"/>
      <c r="AD168" s="117"/>
      <c r="AE168" s="117"/>
      <c r="AF168" s="117"/>
      <c r="AG168" s="118"/>
      <c r="AH168" s="137"/>
      <c r="AI168" s="137"/>
      <c r="AJ168" s="138"/>
      <c r="AK168" s="654"/>
      <c r="AL168" s="632"/>
      <c r="AM168" s="296"/>
      <c r="AN168" s="449"/>
      <c r="AO168" s="450"/>
      <c r="AP168" s="450"/>
      <c r="AQ168" s="240"/>
      <c r="AR168" s="240"/>
      <c r="AS168" s="240"/>
      <c r="AT168" s="450"/>
      <c r="AU168" s="450"/>
      <c r="AV168" s="450"/>
      <c r="AW168" s="240"/>
      <c r="AX168" s="240"/>
      <c r="AY168" s="240"/>
      <c r="AZ168" s="450"/>
      <c r="BA168" s="450"/>
      <c r="BB168" s="450"/>
      <c r="BC168" s="240"/>
      <c r="BD168" s="240"/>
      <c r="BE168" s="240"/>
      <c r="BF168" s="450"/>
      <c r="BG168" s="450"/>
      <c r="BH168" s="450"/>
      <c r="BI168" s="240"/>
      <c r="BJ168" s="240"/>
      <c r="BK168" s="240"/>
      <c r="BL168" s="450"/>
      <c r="BM168" s="450"/>
      <c r="BN168" s="450"/>
      <c r="BO168" s="240"/>
      <c r="BP168" s="240"/>
      <c r="BQ168" s="240"/>
      <c r="BR168" s="450"/>
      <c r="BS168" s="450"/>
      <c r="BT168" s="450"/>
      <c r="BU168" s="240"/>
      <c r="BV168" s="240"/>
      <c r="BW168" s="241"/>
      <c r="BX168" s="648"/>
      <c r="BY168" s="122" t="e">
        <f>X168/F168*100</f>
        <v>#DIV/0!</v>
      </c>
    </row>
    <row r="169" spans="1:77" s="201" customFormat="1" ht="23.1" hidden="1" customHeight="1" x14ac:dyDescent="0.25">
      <c r="A169" s="230"/>
      <c r="B169" s="231" t="s">
        <v>206</v>
      </c>
      <c r="C169" s="232">
        <v>70</v>
      </c>
      <c r="D169" s="242"/>
      <c r="E169" s="147"/>
      <c r="F169" s="148"/>
      <c r="G169" s="149"/>
      <c r="H169" s="140"/>
      <c r="I169" s="140"/>
      <c r="J169" s="140"/>
      <c r="K169" s="523"/>
      <c r="L169" s="523"/>
      <c r="M169" s="230"/>
      <c r="N169" s="230"/>
      <c r="O169" s="230"/>
      <c r="P169" s="230"/>
      <c r="Q169" s="230"/>
      <c r="R169" s="235"/>
      <c r="S169" s="236"/>
      <c r="T169" s="237"/>
      <c r="U169" s="237"/>
      <c r="V169" s="238"/>
      <c r="W169" s="112"/>
      <c r="X169" s="113"/>
      <c r="Y169" s="114"/>
      <c r="Z169" s="114"/>
      <c r="AA169" s="115"/>
      <c r="AB169" s="116"/>
      <c r="AC169" s="136"/>
      <c r="AD169" s="117"/>
      <c r="AE169" s="117"/>
      <c r="AF169" s="117"/>
      <c r="AG169" s="118"/>
      <c r="AH169" s="137"/>
      <c r="AI169" s="137"/>
      <c r="AJ169" s="138"/>
      <c r="AK169" s="654"/>
      <c r="AL169" s="632"/>
      <c r="AM169" s="296"/>
      <c r="AN169" s="449"/>
      <c r="AO169" s="450"/>
      <c r="AP169" s="450"/>
      <c r="AQ169" s="240"/>
      <c r="AR169" s="240"/>
      <c r="AS169" s="240"/>
      <c r="AT169" s="450"/>
      <c r="AU169" s="450"/>
      <c r="AV169" s="450"/>
      <c r="AW169" s="240"/>
      <c r="AX169" s="240"/>
      <c r="AY169" s="240"/>
      <c r="AZ169" s="450"/>
      <c r="BA169" s="450"/>
      <c r="BB169" s="450"/>
      <c r="BC169" s="240"/>
      <c r="BD169" s="240"/>
      <c r="BE169" s="240"/>
      <c r="BF169" s="450"/>
      <c r="BG169" s="450"/>
      <c r="BH169" s="450"/>
      <c r="BI169" s="240"/>
      <c r="BJ169" s="240"/>
      <c r="BK169" s="240"/>
      <c r="BL169" s="450"/>
      <c r="BM169" s="450"/>
      <c r="BN169" s="450"/>
      <c r="BO169" s="240"/>
      <c r="BP169" s="240"/>
      <c r="BQ169" s="240"/>
      <c r="BR169" s="450"/>
      <c r="BS169" s="450"/>
      <c r="BT169" s="450"/>
      <c r="BU169" s="240"/>
      <c r="BV169" s="240"/>
      <c r="BW169" s="241"/>
      <c r="BX169" s="648"/>
      <c r="BY169" s="122" t="e">
        <f>X169/F169*100</f>
        <v>#DIV/0!</v>
      </c>
    </row>
    <row r="170" spans="1:77" s="201" customFormat="1" ht="23.1" hidden="1" customHeight="1" x14ac:dyDescent="0.25">
      <c r="A170" s="230"/>
      <c r="B170" s="231" t="s">
        <v>206</v>
      </c>
      <c r="C170" s="942">
        <v>71</v>
      </c>
      <c r="D170" s="242"/>
      <c r="E170" s="701"/>
      <c r="F170" s="703"/>
      <c r="G170" s="705"/>
      <c r="H170" s="693"/>
      <c r="I170" s="693"/>
      <c r="J170" s="693"/>
      <c r="K170" s="707"/>
      <c r="L170" s="709"/>
      <c r="M170" s="693"/>
      <c r="N170" s="711"/>
      <c r="O170" s="230"/>
      <c r="P170" s="230"/>
      <c r="Q170" s="230"/>
      <c r="R170" s="235"/>
      <c r="S170" s="713"/>
      <c r="T170" s="693"/>
      <c r="U170" s="693"/>
      <c r="V170" s="715"/>
      <c r="W170" s="717"/>
      <c r="X170" s="719"/>
      <c r="Y170" s="721"/>
      <c r="Z170" s="721"/>
      <c r="AA170" s="723"/>
      <c r="AB170" s="116"/>
      <c r="AC170" s="136"/>
      <c r="AD170" s="117"/>
      <c r="AE170" s="117"/>
      <c r="AF170" s="117"/>
      <c r="AG170" s="118"/>
      <c r="AH170" s="137"/>
      <c r="AI170" s="137"/>
      <c r="AJ170" s="138"/>
      <c r="AK170" s="725"/>
      <c r="AL170" s="632"/>
      <c r="AM170" s="296"/>
      <c r="AN170" s="727"/>
      <c r="AO170" s="697"/>
      <c r="AP170" s="697"/>
      <c r="AQ170" s="693"/>
      <c r="AR170" s="693"/>
      <c r="AS170" s="693"/>
      <c r="AT170" s="697"/>
      <c r="AU170" s="697"/>
      <c r="AV170" s="697"/>
      <c r="AW170" s="693"/>
      <c r="AX170" s="693"/>
      <c r="AY170" s="693"/>
      <c r="AZ170" s="697"/>
      <c r="BA170" s="697"/>
      <c r="BB170" s="697"/>
      <c r="BC170" s="693"/>
      <c r="BD170" s="693"/>
      <c r="BE170" s="693"/>
      <c r="BF170" s="697"/>
      <c r="BG170" s="697"/>
      <c r="BH170" s="697"/>
      <c r="BI170" s="693"/>
      <c r="BJ170" s="693"/>
      <c r="BK170" s="693"/>
      <c r="BL170" s="697"/>
      <c r="BM170" s="697"/>
      <c r="BN170" s="697"/>
      <c r="BO170" s="240"/>
      <c r="BP170" s="240"/>
      <c r="BQ170" s="240"/>
      <c r="BR170" s="697"/>
      <c r="BS170" s="697"/>
      <c r="BT170" s="697"/>
      <c r="BU170" s="240"/>
      <c r="BV170" s="240"/>
      <c r="BW170" s="241"/>
      <c r="BX170" s="742"/>
      <c r="BY170" s="122" t="e">
        <f t="shared" si="36"/>
        <v>#DIV/0!</v>
      </c>
    </row>
    <row r="171" spans="1:77" s="201" customFormat="1" ht="23.1" hidden="1" customHeight="1" x14ac:dyDescent="0.25">
      <c r="A171" s="230"/>
      <c r="B171" s="231" t="s">
        <v>206</v>
      </c>
      <c r="C171" s="943"/>
      <c r="D171" s="242"/>
      <c r="E171" s="702"/>
      <c r="F171" s="704"/>
      <c r="G171" s="706"/>
      <c r="H171" s="699"/>
      <c r="I171" s="699"/>
      <c r="J171" s="699"/>
      <c r="K171" s="708"/>
      <c r="L171" s="710"/>
      <c r="M171" s="699"/>
      <c r="N171" s="712"/>
      <c r="O171" s="230"/>
      <c r="P171" s="230"/>
      <c r="Q171" s="230"/>
      <c r="R171" s="235"/>
      <c r="S171" s="714"/>
      <c r="T171" s="699"/>
      <c r="U171" s="699"/>
      <c r="V171" s="716"/>
      <c r="W171" s="718"/>
      <c r="X171" s="720"/>
      <c r="Y171" s="722"/>
      <c r="Z171" s="722"/>
      <c r="AA171" s="724"/>
      <c r="AB171" s="116"/>
      <c r="AC171" s="136"/>
      <c r="AD171" s="117"/>
      <c r="AE171" s="117"/>
      <c r="AF171" s="117"/>
      <c r="AG171" s="118"/>
      <c r="AH171" s="137"/>
      <c r="AI171" s="137"/>
      <c r="AJ171" s="138"/>
      <c r="AK171" s="726"/>
      <c r="AL171" s="632"/>
      <c r="AM171" s="296"/>
      <c r="AN171" s="728"/>
      <c r="AO171" s="698"/>
      <c r="AP171" s="698"/>
      <c r="AQ171" s="699"/>
      <c r="AR171" s="699"/>
      <c r="AS171" s="699"/>
      <c r="AT171" s="698"/>
      <c r="AU171" s="698"/>
      <c r="AV171" s="698"/>
      <c r="AW171" s="699"/>
      <c r="AX171" s="699"/>
      <c r="AY171" s="699"/>
      <c r="AZ171" s="698"/>
      <c r="BA171" s="698"/>
      <c r="BB171" s="698"/>
      <c r="BC171" s="699"/>
      <c r="BD171" s="699"/>
      <c r="BE171" s="699"/>
      <c r="BF171" s="698"/>
      <c r="BG171" s="698"/>
      <c r="BH171" s="698"/>
      <c r="BI171" s="699"/>
      <c r="BJ171" s="699"/>
      <c r="BK171" s="699"/>
      <c r="BL171" s="698"/>
      <c r="BM171" s="698"/>
      <c r="BN171" s="698"/>
      <c r="BO171" s="240"/>
      <c r="BP171" s="240"/>
      <c r="BQ171" s="240"/>
      <c r="BR171" s="698"/>
      <c r="BS171" s="698"/>
      <c r="BT171" s="698"/>
      <c r="BU171" s="240"/>
      <c r="BV171" s="240"/>
      <c r="BW171" s="241"/>
      <c r="BX171" s="743"/>
      <c r="BY171" s="122" t="e">
        <f t="shared" si="36"/>
        <v>#DIV/0!</v>
      </c>
    </row>
    <row r="172" spans="1:77" s="201" customFormat="1" ht="23.1" hidden="1" customHeight="1" x14ac:dyDescent="0.25">
      <c r="A172" s="230"/>
      <c r="B172" s="231" t="s">
        <v>206</v>
      </c>
      <c r="C172" s="942">
        <v>72</v>
      </c>
      <c r="D172" s="242"/>
      <c r="E172" s="701"/>
      <c r="F172" s="703"/>
      <c r="G172" s="705"/>
      <c r="H172" s="693"/>
      <c r="I172" s="693"/>
      <c r="J172" s="693"/>
      <c r="K172" s="707"/>
      <c r="L172" s="709"/>
      <c r="M172" s="693"/>
      <c r="N172" s="711"/>
      <c r="O172" s="230"/>
      <c r="P172" s="230"/>
      <c r="Q172" s="230"/>
      <c r="R172" s="235"/>
      <c r="S172" s="713"/>
      <c r="T172" s="693"/>
      <c r="U172" s="693"/>
      <c r="V172" s="715"/>
      <c r="W172" s="717"/>
      <c r="X172" s="719"/>
      <c r="Y172" s="721"/>
      <c r="Z172" s="721"/>
      <c r="AA172" s="723"/>
      <c r="AB172" s="116"/>
      <c r="AC172" s="136"/>
      <c r="AD172" s="117"/>
      <c r="AE172" s="117"/>
      <c r="AF172" s="117"/>
      <c r="AG172" s="118"/>
      <c r="AH172" s="137"/>
      <c r="AI172" s="137"/>
      <c r="AJ172" s="138"/>
      <c r="AK172" s="725"/>
      <c r="AL172" s="632"/>
      <c r="AM172" s="296"/>
      <c r="AN172" s="727"/>
      <c r="AO172" s="697"/>
      <c r="AP172" s="697"/>
      <c r="AQ172" s="693"/>
      <c r="AR172" s="693"/>
      <c r="AS172" s="693"/>
      <c r="AT172" s="697"/>
      <c r="AU172" s="697"/>
      <c r="AV172" s="697"/>
      <c r="AW172" s="693"/>
      <c r="AX172" s="693"/>
      <c r="AY172" s="693"/>
      <c r="AZ172" s="697"/>
      <c r="BA172" s="697"/>
      <c r="BB172" s="697"/>
      <c r="BC172" s="693"/>
      <c r="BD172" s="693"/>
      <c r="BE172" s="693"/>
      <c r="BF172" s="697"/>
      <c r="BG172" s="697"/>
      <c r="BH172" s="697"/>
      <c r="BI172" s="693"/>
      <c r="BJ172" s="693"/>
      <c r="BK172" s="693"/>
      <c r="BL172" s="697"/>
      <c r="BM172" s="697"/>
      <c r="BN172" s="697"/>
      <c r="BO172" s="240"/>
      <c r="BP172" s="240"/>
      <c r="BQ172" s="240"/>
      <c r="BR172" s="697"/>
      <c r="BS172" s="697"/>
      <c r="BT172" s="697"/>
      <c r="BU172" s="240"/>
      <c r="BV172" s="240"/>
      <c r="BW172" s="241"/>
      <c r="BX172" s="648"/>
      <c r="BY172" s="122" t="e">
        <f t="shared" si="36"/>
        <v>#DIV/0!</v>
      </c>
    </row>
    <row r="173" spans="1:77" s="201" customFormat="1" ht="23.1" hidden="1" customHeight="1" x14ac:dyDescent="0.25">
      <c r="A173" s="230"/>
      <c r="B173" s="231" t="s">
        <v>206</v>
      </c>
      <c r="C173" s="943"/>
      <c r="D173" s="242"/>
      <c r="E173" s="702"/>
      <c r="F173" s="704"/>
      <c r="G173" s="706"/>
      <c r="H173" s="699"/>
      <c r="I173" s="699"/>
      <c r="J173" s="699"/>
      <c r="K173" s="708"/>
      <c r="L173" s="710"/>
      <c r="M173" s="699"/>
      <c r="N173" s="712"/>
      <c r="O173" s="230"/>
      <c r="P173" s="230"/>
      <c r="Q173" s="230"/>
      <c r="R173" s="235"/>
      <c r="S173" s="714"/>
      <c r="T173" s="699"/>
      <c r="U173" s="699"/>
      <c r="V173" s="716"/>
      <c r="W173" s="718"/>
      <c r="X173" s="720"/>
      <c r="Y173" s="722"/>
      <c r="Z173" s="722"/>
      <c r="AA173" s="724"/>
      <c r="AB173" s="116"/>
      <c r="AC173" s="136"/>
      <c r="AD173" s="117"/>
      <c r="AE173" s="117"/>
      <c r="AF173" s="117"/>
      <c r="AG173" s="118"/>
      <c r="AH173" s="137"/>
      <c r="AI173" s="137"/>
      <c r="AJ173" s="138"/>
      <c r="AK173" s="726"/>
      <c r="AL173" s="632"/>
      <c r="AM173" s="296"/>
      <c r="AN173" s="728"/>
      <c r="AO173" s="698"/>
      <c r="AP173" s="698"/>
      <c r="AQ173" s="699"/>
      <c r="AR173" s="699"/>
      <c r="AS173" s="699"/>
      <c r="AT173" s="698"/>
      <c r="AU173" s="698"/>
      <c r="AV173" s="698"/>
      <c r="AW173" s="699"/>
      <c r="AX173" s="699"/>
      <c r="AY173" s="699"/>
      <c r="AZ173" s="698"/>
      <c r="BA173" s="698"/>
      <c r="BB173" s="698"/>
      <c r="BC173" s="699"/>
      <c r="BD173" s="699"/>
      <c r="BE173" s="699"/>
      <c r="BF173" s="698"/>
      <c r="BG173" s="698"/>
      <c r="BH173" s="698"/>
      <c r="BI173" s="699"/>
      <c r="BJ173" s="699"/>
      <c r="BK173" s="699"/>
      <c r="BL173" s="698"/>
      <c r="BM173" s="698"/>
      <c r="BN173" s="698"/>
      <c r="BO173" s="240"/>
      <c r="BP173" s="240"/>
      <c r="BQ173" s="240"/>
      <c r="BR173" s="698"/>
      <c r="BS173" s="698"/>
      <c r="BT173" s="698"/>
      <c r="BU173" s="240"/>
      <c r="BV173" s="240"/>
      <c r="BW173" s="241"/>
      <c r="BX173" s="648"/>
      <c r="BY173" s="122" t="e">
        <f t="shared" si="36"/>
        <v>#DIV/0!</v>
      </c>
    </row>
    <row r="174" spans="1:77" s="201" customFormat="1" ht="23.1" hidden="1" customHeight="1" x14ac:dyDescent="0.25">
      <c r="A174" s="230"/>
      <c r="B174" s="231" t="s">
        <v>206</v>
      </c>
      <c r="C174" s="942">
        <v>73</v>
      </c>
      <c r="D174" s="242"/>
      <c r="E174" s="701"/>
      <c r="F174" s="703"/>
      <c r="G174" s="705"/>
      <c r="H174" s="693"/>
      <c r="I174" s="693"/>
      <c r="J174" s="693"/>
      <c r="K174" s="707"/>
      <c r="L174" s="707"/>
      <c r="M174" s="711"/>
      <c r="N174" s="711"/>
      <c r="O174" s="230"/>
      <c r="P174" s="230"/>
      <c r="Q174" s="230"/>
      <c r="R174" s="235"/>
      <c r="S174" s="713"/>
      <c r="T174" s="693"/>
      <c r="U174" s="693"/>
      <c r="V174" s="715"/>
      <c r="W174" s="717"/>
      <c r="X174" s="719"/>
      <c r="Y174" s="721"/>
      <c r="Z174" s="721"/>
      <c r="AA174" s="723"/>
      <c r="AB174" s="116"/>
      <c r="AC174" s="136"/>
      <c r="AD174" s="117"/>
      <c r="AE174" s="117"/>
      <c r="AF174" s="117"/>
      <c r="AG174" s="118"/>
      <c r="AH174" s="137"/>
      <c r="AI174" s="137"/>
      <c r="AJ174" s="138"/>
      <c r="AK174" s="725"/>
      <c r="AL174" s="632"/>
      <c r="AM174" s="296"/>
      <c r="AN174" s="727"/>
      <c r="AO174" s="697"/>
      <c r="AP174" s="697"/>
      <c r="AQ174" s="693"/>
      <c r="AR174" s="693"/>
      <c r="AS174" s="693"/>
      <c r="AT174" s="697"/>
      <c r="AU174" s="697"/>
      <c r="AV174" s="697"/>
      <c r="AW174" s="693"/>
      <c r="AX174" s="693"/>
      <c r="AY174" s="693"/>
      <c r="AZ174" s="697"/>
      <c r="BA174" s="697"/>
      <c r="BB174" s="697"/>
      <c r="BC174" s="693"/>
      <c r="BD174" s="693"/>
      <c r="BE174" s="693"/>
      <c r="BF174" s="697"/>
      <c r="BG174" s="697"/>
      <c r="BH174" s="697"/>
      <c r="BI174" s="693"/>
      <c r="BJ174" s="693"/>
      <c r="BK174" s="693"/>
      <c r="BL174" s="697"/>
      <c r="BM174" s="697"/>
      <c r="BN174" s="697"/>
      <c r="BO174" s="240"/>
      <c r="BP174" s="240"/>
      <c r="BQ174" s="240"/>
      <c r="BR174" s="697"/>
      <c r="BS174" s="697"/>
      <c r="BT174" s="697"/>
      <c r="BU174" s="240"/>
      <c r="BV174" s="240"/>
      <c r="BW174" s="241"/>
      <c r="BX174" s="648"/>
      <c r="BY174" s="122" t="e">
        <f t="shared" si="36"/>
        <v>#DIV/0!</v>
      </c>
    </row>
    <row r="175" spans="1:77" s="201" customFormat="1" ht="23.1" hidden="1" customHeight="1" x14ac:dyDescent="0.25">
      <c r="A175" s="281"/>
      <c r="B175" s="231" t="s">
        <v>206</v>
      </c>
      <c r="C175" s="943"/>
      <c r="D175" s="242"/>
      <c r="E175" s="702"/>
      <c r="F175" s="704"/>
      <c r="G175" s="706"/>
      <c r="H175" s="699"/>
      <c r="I175" s="699"/>
      <c r="J175" s="699"/>
      <c r="K175" s="708"/>
      <c r="L175" s="708"/>
      <c r="M175" s="712"/>
      <c r="N175" s="712"/>
      <c r="O175" s="230"/>
      <c r="P175" s="230"/>
      <c r="Q175" s="230"/>
      <c r="R175" s="235"/>
      <c r="S175" s="714"/>
      <c r="T175" s="699"/>
      <c r="U175" s="699"/>
      <c r="V175" s="716"/>
      <c r="W175" s="718"/>
      <c r="X175" s="720"/>
      <c r="Y175" s="722"/>
      <c r="Z175" s="722"/>
      <c r="AA175" s="724"/>
      <c r="AB175" s="116"/>
      <c r="AC175" s="136"/>
      <c r="AD175" s="117"/>
      <c r="AE175" s="117"/>
      <c r="AF175" s="117"/>
      <c r="AG175" s="118"/>
      <c r="AH175" s="137"/>
      <c r="AI175" s="137"/>
      <c r="AJ175" s="138"/>
      <c r="AK175" s="726"/>
      <c r="AL175" s="632"/>
      <c r="AM175" s="296"/>
      <c r="AN175" s="728"/>
      <c r="AO175" s="698"/>
      <c r="AP175" s="698"/>
      <c r="AQ175" s="699"/>
      <c r="AR175" s="699"/>
      <c r="AS175" s="699"/>
      <c r="AT175" s="698"/>
      <c r="AU175" s="698"/>
      <c r="AV175" s="698"/>
      <c r="AW175" s="699"/>
      <c r="AX175" s="699"/>
      <c r="AY175" s="699"/>
      <c r="AZ175" s="698"/>
      <c r="BA175" s="698"/>
      <c r="BB175" s="698"/>
      <c r="BC175" s="699"/>
      <c r="BD175" s="699"/>
      <c r="BE175" s="699"/>
      <c r="BF175" s="698"/>
      <c r="BG175" s="698"/>
      <c r="BH175" s="698"/>
      <c r="BI175" s="699"/>
      <c r="BJ175" s="699"/>
      <c r="BK175" s="699"/>
      <c r="BL175" s="698"/>
      <c r="BM175" s="698"/>
      <c r="BN175" s="698"/>
      <c r="BO175" s="240"/>
      <c r="BP175" s="240"/>
      <c r="BQ175" s="240"/>
      <c r="BR175" s="698"/>
      <c r="BS175" s="698"/>
      <c r="BT175" s="698"/>
      <c r="BU175" s="240"/>
      <c r="BV175" s="240"/>
      <c r="BW175" s="241"/>
      <c r="BX175" s="648"/>
      <c r="BY175" s="122" t="e">
        <f t="shared" si="36"/>
        <v>#DIV/0!</v>
      </c>
    </row>
    <row r="176" spans="1:77" s="201" customFormat="1" ht="23.1" hidden="1" customHeight="1" x14ac:dyDescent="0.25">
      <c r="A176" s="231"/>
      <c r="B176" s="231" t="s">
        <v>206</v>
      </c>
      <c r="C176" s="232"/>
      <c r="D176" s="267" t="s">
        <v>207</v>
      </c>
      <c r="E176" s="268">
        <f>SUM(E177:E189)</f>
        <v>0</v>
      </c>
      <c r="F176" s="269">
        <f>E176*36</f>
        <v>0</v>
      </c>
      <c r="G176" s="173"/>
      <c r="H176" s="174"/>
      <c r="I176" s="174"/>
      <c r="J176" s="174"/>
      <c r="K176" s="524"/>
      <c r="L176" s="524"/>
      <c r="M176" s="270"/>
      <c r="N176" s="270"/>
      <c r="O176" s="270"/>
      <c r="P176" s="270"/>
      <c r="Q176" s="270"/>
      <c r="R176" s="271"/>
      <c r="S176" s="272"/>
      <c r="T176" s="273"/>
      <c r="U176" s="273"/>
      <c r="V176" s="274"/>
      <c r="W176" s="179"/>
      <c r="X176" s="180"/>
      <c r="Y176" s="120"/>
      <c r="Z176" s="120"/>
      <c r="AA176" s="181"/>
      <c r="AB176" s="182"/>
      <c r="AC176" s="183"/>
      <c r="AD176" s="184"/>
      <c r="AE176" s="184"/>
      <c r="AF176" s="184"/>
      <c r="AG176" s="185"/>
      <c r="AH176" s="186"/>
      <c r="AI176" s="186"/>
      <c r="AJ176" s="187"/>
      <c r="AK176" s="653"/>
      <c r="AL176" s="633"/>
      <c r="AM176" s="634"/>
      <c r="AN176" s="18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616"/>
      <c r="BX176" s="658"/>
      <c r="BY176" s="275"/>
    </row>
    <row r="177" spans="1:77" s="201" customFormat="1" ht="23.1" hidden="1" customHeight="1" x14ac:dyDescent="0.25">
      <c r="A177" s="230"/>
      <c r="B177" s="231" t="s">
        <v>206</v>
      </c>
      <c r="C177" s="232">
        <v>61</v>
      </c>
      <c r="D177" s="233" t="s">
        <v>185</v>
      </c>
      <c r="E177" s="147">
        <f t="shared" ref="E177:E189" si="37">G177+H177+I177+J177+K177+L177+M177+N177+O177+P177+Q177+R177</f>
        <v>0</v>
      </c>
      <c r="F177" s="148">
        <f t="shared" ref="F177:F189" si="38">E177*36</f>
        <v>0</v>
      </c>
      <c r="G177" s="149"/>
      <c r="H177" s="140"/>
      <c r="I177" s="140"/>
      <c r="J177" s="140"/>
      <c r="K177" s="523"/>
      <c r="L177" s="523"/>
      <c r="M177" s="230"/>
      <c r="N177" s="230"/>
      <c r="O177" s="230"/>
      <c r="P177" s="230"/>
      <c r="Q177" s="230"/>
      <c r="R177" s="235"/>
      <c r="S177" s="236"/>
      <c r="T177" s="237"/>
      <c r="U177" s="237"/>
      <c r="V177" s="238"/>
      <c r="W177" s="112">
        <f t="shared" ref="W177:W189" si="39">X177+X177*0.1</f>
        <v>0</v>
      </c>
      <c r="X177" s="113">
        <f t="shared" ref="X177:X189" si="40">SUM(Y177:AA177)</f>
        <v>0</v>
      </c>
      <c r="Y177" s="114">
        <f t="shared" ref="Y177:Y189" si="41">AN177+AQ177+AT177+AW177+AZ177+BC177+BF177+BI177+BL177+BO177+BR177+BU177</f>
        <v>0</v>
      </c>
      <c r="Z177" s="114">
        <f t="shared" ref="Z177:Z189" si="42">AO177+AR177+AU177+AX177+BA177+BD177+BG177+BJ177+BM177+BP177+BS177+BV177</f>
        <v>0</v>
      </c>
      <c r="AA177" s="115">
        <f t="shared" ref="AA177:AA189" si="43">AP177+AS177+AV177+AY177+BB177+BE177+BH177+BK177+BN177+BQ177+BT177+BW177</f>
        <v>0</v>
      </c>
      <c r="AB177" s="116"/>
      <c r="AC177" s="136"/>
      <c r="AD177" s="117"/>
      <c r="AE177" s="117"/>
      <c r="AF177" s="117"/>
      <c r="AG177" s="118"/>
      <c r="AH177" s="137"/>
      <c r="AI177" s="137"/>
      <c r="AJ177" s="138"/>
      <c r="AK177" s="654">
        <f t="shared" ref="AK177:AK189" si="44">F177-W177</f>
        <v>0</v>
      </c>
      <c r="AL177" s="632"/>
      <c r="AM177" s="296"/>
      <c r="AN177" s="449"/>
      <c r="AO177" s="450"/>
      <c r="AP177" s="450"/>
      <c r="AQ177" s="240"/>
      <c r="AR177" s="240"/>
      <c r="AS177" s="240"/>
      <c r="AT177" s="450"/>
      <c r="AU177" s="450"/>
      <c r="AV177" s="450"/>
      <c r="AW177" s="240"/>
      <c r="AX177" s="240"/>
      <c r="AY177" s="240"/>
      <c r="AZ177" s="450"/>
      <c r="BA177" s="450"/>
      <c r="BB177" s="450"/>
      <c r="BC177" s="240"/>
      <c r="BD177" s="240"/>
      <c r="BE177" s="240"/>
      <c r="BF177" s="450"/>
      <c r="BG177" s="450"/>
      <c r="BH177" s="450"/>
      <c r="BI177" s="240"/>
      <c r="BJ177" s="240"/>
      <c r="BK177" s="240"/>
      <c r="BL177" s="450"/>
      <c r="BM177" s="450"/>
      <c r="BN177" s="450"/>
      <c r="BO177" s="240"/>
      <c r="BP177" s="240"/>
      <c r="BQ177" s="240"/>
      <c r="BR177" s="450"/>
      <c r="BS177" s="450"/>
      <c r="BT177" s="450"/>
      <c r="BU177" s="240"/>
      <c r="BV177" s="240"/>
      <c r="BW177" s="241"/>
      <c r="BX177" s="648"/>
      <c r="BY177" s="122" t="e">
        <f t="shared" ref="BY177:BY189" si="45">X177/F177*100</f>
        <v>#DIV/0!</v>
      </c>
    </row>
    <row r="178" spans="1:77" s="201" customFormat="1" ht="23.1" hidden="1" customHeight="1" x14ac:dyDescent="0.25">
      <c r="A178" s="230"/>
      <c r="B178" s="231" t="s">
        <v>206</v>
      </c>
      <c r="C178" s="232">
        <v>62</v>
      </c>
      <c r="D178" s="233" t="s">
        <v>185</v>
      </c>
      <c r="E178" s="147">
        <f t="shared" si="37"/>
        <v>0</v>
      </c>
      <c r="F178" s="148">
        <f t="shared" si="38"/>
        <v>0</v>
      </c>
      <c r="G178" s="149"/>
      <c r="H178" s="140"/>
      <c r="I178" s="140"/>
      <c r="J178" s="140"/>
      <c r="K178" s="523"/>
      <c r="L178" s="523"/>
      <c r="M178" s="230"/>
      <c r="N178" s="230"/>
      <c r="O178" s="230"/>
      <c r="P178" s="230"/>
      <c r="Q178" s="230"/>
      <c r="R178" s="235"/>
      <c r="S178" s="236"/>
      <c r="T178" s="237"/>
      <c r="U178" s="237"/>
      <c r="V178" s="238"/>
      <c r="W178" s="112">
        <f t="shared" si="39"/>
        <v>0</v>
      </c>
      <c r="X178" s="113">
        <f t="shared" si="40"/>
        <v>0</v>
      </c>
      <c r="Y178" s="114">
        <f t="shared" si="41"/>
        <v>0</v>
      </c>
      <c r="Z178" s="114">
        <f t="shared" si="42"/>
        <v>0</v>
      </c>
      <c r="AA178" s="115">
        <f t="shared" si="43"/>
        <v>0</v>
      </c>
      <c r="AB178" s="116"/>
      <c r="AC178" s="136"/>
      <c r="AD178" s="117"/>
      <c r="AE178" s="117"/>
      <c r="AF178" s="117"/>
      <c r="AG178" s="118"/>
      <c r="AH178" s="137"/>
      <c r="AI178" s="137"/>
      <c r="AJ178" s="138"/>
      <c r="AK178" s="654">
        <f t="shared" si="44"/>
        <v>0</v>
      </c>
      <c r="AL178" s="632"/>
      <c r="AM178" s="296"/>
      <c r="AN178" s="449"/>
      <c r="AO178" s="450"/>
      <c r="AP178" s="450"/>
      <c r="AQ178" s="240"/>
      <c r="AR178" s="240"/>
      <c r="AS178" s="240"/>
      <c r="AT178" s="450"/>
      <c r="AU178" s="450"/>
      <c r="AV178" s="450"/>
      <c r="AW178" s="240"/>
      <c r="AX178" s="240"/>
      <c r="AY178" s="240"/>
      <c r="AZ178" s="450"/>
      <c r="BA178" s="450"/>
      <c r="BB178" s="450"/>
      <c r="BC178" s="240"/>
      <c r="BD178" s="240"/>
      <c r="BE178" s="240"/>
      <c r="BF178" s="450"/>
      <c r="BG178" s="450"/>
      <c r="BH178" s="450"/>
      <c r="BI178" s="240"/>
      <c r="BJ178" s="240"/>
      <c r="BK178" s="240"/>
      <c r="BL178" s="450"/>
      <c r="BM178" s="450"/>
      <c r="BN178" s="450"/>
      <c r="BO178" s="240"/>
      <c r="BP178" s="240"/>
      <c r="BQ178" s="240"/>
      <c r="BR178" s="450"/>
      <c r="BS178" s="450"/>
      <c r="BT178" s="450"/>
      <c r="BU178" s="240"/>
      <c r="BV178" s="240"/>
      <c r="BW178" s="241"/>
      <c r="BX178" s="648"/>
      <c r="BY178" s="122" t="e">
        <f t="shared" si="45"/>
        <v>#DIV/0!</v>
      </c>
    </row>
    <row r="179" spans="1:77" s="201" customFormat="1" ht="23.1" hidden="1" customHeight="1" x14ac:dyDescent="0.25">
      <c r="A179" s="230"/>
      <c r="B179" s="231" t="s">
        <v>206</v>
      </c>
      <c r="C179" s="232">
        <v>63</v>
      </c>
      <c r="D179" s="233" t="s">
        <v>185</v>
      </c>
      <c r="E179" s="147">
        <f t="shared" si="37"/>
        <v>0</v>
      </c>
      <c r="F179" s="148">
        <f t="shared" si="38"/>
        <v>0</v>
      </c>
      <c r="G179" s="149"/>
      <c r="H179" s="140"/>
      <c r="I179" s="140"/>
      <c r="J179" s="140"/>
      <c r="K179" s="523"/>
      <c r="L179" s="523"/>
      <c r="M179" s="230"/>
      <c r="N179" s="230"/>
      <c r="O179" s="230"/>
      <c r="P179" s="230"/>
      <c r="Q179" s="230"/>
      <c r="R179" s="235"/>
      <c r="S179" s="236"/>
      <c r="T179" s="237"/>
      <c r="U179" s="237"/>
      <c r="V179" s="238"/>
      <c r="W179" s="112">
        <f t="shared" si="39"/>
        <v>0</v>
      </c>
      <c r="X179" s="113">
        <f t="shared" si="40"/>
        <v>0</v>
      </c>
      <c r="Y179" s="114">
        <f t="shared" si="41"/>
        <v>0</v>
      </c>
      <c r="Z179" s="114">
        <f t="shared" si="42"/>
        <v>0</v>
      </c>
      <c r="AA179" s="115">
        <f t="shared" si="43"/>
        <v>0</v>
      </c>
      <c r="AB179" s="116"/>
      <c r="AC179" s="136"/>
      <c r="AD179" s="117"/>
      <c r="AE179" s="117"/>
      <c r="AF179" s="117"/>
      <c r="AG179" s="118"/>
      <c r="AH179" s="137"/>
      <c r="AI179" s="137"/>
      <c r="AJ179" s="138"/>
      <c r="AK179" s="654">
        <f t="shared" si="44"/>
        <v>0</v>
      </c>
      <c r="AL179" s="632"/>
      <c r="AM179" s="296"/>
      <c r="AN179" s="449"/>
      <c r="AO179" s="450"/>
      <c r="AP179" s="450"/>
      <c r="AQ179" s="240"/>
      <c r="AR179" s="240"/>
      <c r="AS179" s="240"/>
      <c r="AT179" s="450"/>
      <c r="AU179" s="450"/>
      <c r="AV179" s="450"/>
      <c r="AW179" s="240"/>
      <c r="AX179" s="240"/>
      <c r="AY179" s="240"/>
      <c r="AZ179" s="450"/>
      <c r="BA179" s="450"/>
      <c r="BB179" s="450"/>
      <c r="BC179" s="240"/>
      <c r="BD179" s="240"/>
      <c r="BE179" s="240"/>
      <c r="BF179" s="450"/>
      <c r="BG179" s="450"/>
      <c r="BH179" s="450"/>
      <c r="BI179" s="240"/>
      <c r="BJ179" s="240"/>
      <c r="BK179" s="240"/>
      <c r="BL179" s="450"/>
      <c r="BM179" s="450"/>
      <c r="BN179" s="450"/>
      <c r="BO179" s="240"/>
      <c r="BP179" s="240"/>
      <c r="BQ179" s="240"/>
      <c r="BR179" s="450"/>
      <c r="BS179" s="450"/>
      <c r="BT179" s="450"/>
      <c r="BU179" s="240"/>
      <c r="BV179" s="240"/>
      <c r="BW179" s="241"/>
      <c r="BX179" s="648"/>
      <c r="BY179" s="122" t="e">
        <f t="shared" si="45"/>
        <v>#DIV/0!</v>
      </c>
    </row>
    <row r="180" spans="1:77" s="201" customFormat="1" ht="23.1" hidden="1" customHeight="1" x14ac:dyDescent="0.25">
      <c r="A180" s="230"/>
      <c r="B180" s="231" t="s">
        <v>206</v>
      </c>
      <c r="C180" s="232">
        <v>64</v>
      </c>
      <c r="D180" s="233" t="s">
        <v>185</v>
      </c>
      <c r="E180" s="147">
        <f t="shared" si="37"/>
        <v>0</v>
      </c>
      <c r="F180" s="148">
        <f t="shared" si="38"/>
        <v>0</v>
      </c>
      <c r="G180" s="149"/>
      <c r="H180" s="140"/>
      <c r="I180" s="140"/>
      <c r="J180" s="140"/>
      <c r="K180" s="523"/>
      <c r="L180" s="523"/>
      <c r="M180" s="230"/>
      <c r="N180" s="230"/>
      <c r="O180" s="230"/>
      <c r="P180" s="230"/>
      <c r="Q180" s="230"/>
      <c r="R180" s="235"/>
      <c r="S180" s="236"/>
      <c r="T180" s="237"/>
      <c r="U180" s="237"/>
      <c r="V180" s="238"/>
      <c r="W180" s="112">
        <f t="shared" si="39"/>
        <v>0</v>
      </c>
      <c r="X180" s="113">
        <f t="shared" si="40"/>
        <v>0</v>
      </c>
      <c r="Y180" s="114">
        <f t="shared" si="41"/>
        <v>0</v>
      </c>
      <c r="Z180" s="114">
        <f t="shared" si="42"/>
        <v>0</v>
      </c>
      <c r="AA180" s="115">
        <f t="shared" si="43"/>
        <v>0</v>
      </c>
      <c r="AB180" s="116"/>
      <c r="AC180" s="136"/>
      <c r="AD180" s="117"/>
      <c r="AE180" s="117"/>
      <c r="AF180" s="117"/>
      <c r="AG180" s="118"/>
      <c r="AH180" s="137"/>
      <c r="AI180" s="137"/>
      <c r="AJ180" s="138"/>
      <c r="AK180" s="654">
        <f t="shared" si="44"/>
        <v>0</v>
      </c>
      <c r="AL180" s="632"/>
      <c r="AM180" s="296"/>
      <c r="AN180" s="449"/>
      <c r="AO180" s="450"/>
      <c r="AP180" s="450"/>
      <c r="AQ180" s="240"/>
      <c r="AR180" s="240"/>
      <c r="AS180" s="240"/>
      <c r="AT180" s="450"/>
      <c r="AU180" s="450"/>
      <c r="AV180" s="450"/>
      <c r="AW180" s="240"/>
      <c r="AX180" s="240"/>
      <c r="AY180" s="240"/>
      <c r="AZ180" s="450"/>
      <c r="BA180" s="450"/>
      <c r="BB180" s="450"/>
      <c r="BC180" s="240"/>
      <c r="BD180" s="240"/>
      <c r="BE180" s="240"/>
      <c r="BF180" s="450"/>
      <c r="BG180" s="450"/>
      <c r="BH180" s="450"/>
      <c r="BI180" s="240"/>
      <c r="BJ180" s="240"/>
      <c r="BK180" s="240"/>
      <c r="BL180" s="450"/>
      <c r="BM180" s="450"/>
      <c r="BN180" s="450"/>
      <c r="BO180" s="240"/>
      <c r="BP180" s="240"/>
      <c r="BQ180" s="240"/>
      <c r="BR180" s="450"/>
      <c r="BS180" s="450"/>
      <c r="BT180" s="450"/>
      <c r="BU180" s="240"/>
      <c r="BV180" s="240"/>
      <c r="BW180" s="241"/>
      <c r="BX180" s="648"/>
      <c r="BY180" s="122" t="e">
        <f t="shared" si="45"/>
        <v>#DIV/0!</v>
      </c>
    </row>
    <row r="181" spans="1:77" s="201" customFormat="1" ht="23.1" hidden="1" customHeight="1" x14ac:dyDescent="0.25">
      <c r="A181" s="230"/>
      <c r="B181" s="231" t="s">
        <v>206</v>
      </c>
      <c r="C181" s="232">
        <v>65</v>
      </c>
      <c r="D181" s="242"/>
      <c r="E181" s="147">
        <f t="shared" si="37"/>
        <v>0</v>
      </c>
      <c r="F181" s="148">
        <f t="shared" si="38"/>
        <v>0</v>
      </c>
      <c r="G181" s="149"/>
      <c r="H181" s="140"/>
      <c r="I181" s="140"/>
      <c r="J181" s="140"/>
      <c r="K181" s="523"/>
      <c r="L181" s="523"/>
      <c r="M181" s="230"/>
      <c r="N181" s="230"/>
      <c r="O181" s="230"/>
      <c r="P181" s="230"/>
      <c r="Q181" s="230"/>
      <c r="R181" s="235"/>
      <c r="S181" s="236"/>
      <c r="T181" s="237"/>
      <c r="U181" s="237"/>
      <c r="V181" s="238"/>
      <c r="W181" s="112">
        <f t="shared" si="39"/>
        <v>0</v>
      </c>
      <c r="X181" s="113">
        <f t="shared" si="40"/>
        <v>0</v>
      </c>
      <c r="Y181" s="114">
        <f t="shared" si="41"/>
        <v>0</v>
      </c>
      <c r="Z181" s="114">
        <f t="shared" si="42"/>
        <v>0</v>
      </c>
      <c r="AA181" s="115">
        <f t="shared" si="43"/>
        <v>0</v>
      </c>
      <c r="AB181" s="116"/>
      <c r="AC181" s="136"/>
      <c r="AD181" s="117"/>
      <c r="AE181" s="117"/>
      <c r="AF181" s="117"/>
      <c r="AG181" s="118"/>
      <c r="AH181" s="137"/>
      <c r="AI181" s="137"/>
      <c r="AJ181" s="138"/>
      <c r="AK181" s="654">
        <f t="shared" si="44"/>
        <v>0</v>
      </c>
      <c r="AL181" s="632"/>
      <c r="AM181" s="296"/>
      <c r="AN181" s="449"/>
      <c r="AO181" s="450"/>
      <c r="AP181" s="450"/>
      <c r="AQ181" s="240"/>
      <c r="AR181" s="240"/>
      <c r="AS181" s="240"/>
      <c r="AT181" s="450"/>
      <c r="AU181" s="450"/>
      <c r="AV181" s="450"/>
      <c r="AW181" s="240"/>
      <c r="AX181" s="240"/>
      <c r="AY181" s="240"/>
      <c r="AZ181" s="450"/>
      <c r="BA181" s="450"/>
      <c r="BB181" s="450"/>
      <c r="BC181" s="240"/>
      <c r="BD181" s="240"/>
      <c r="BE181" s="240"/>
      <c r="BF181" s="450"/>
      <c r="BG181" s="450"/>
      <c r="BH181" s="450"/>
      <c r="BI181" s="240"/>
      <c r="BJ181" s="240"/>
      <c r="BK181" s="240"/>
      <c r="BL181" s="450"/>
      <c r="BM181" s="450"/>
      <c r="BN181" s="450"/>
      <c r="BO181" s="240"/>
      <c r="BP181" s="240"/>
      <c r="BQ181" s="240"/>
      <c r="BR181" s="450"/>
      <c r="BS181" s="450"/>
      <c r="BT181" s="450"/>
      <c r="BU181" s="240"/>
      <c r="BV181" s="240"/>
      <c r="BW181" s="241"/>
      <c r="BX181" s="648"/>
      <c r="BY181" s="122" t="e">
        <f t="shared" si="45"/>
        <v>#DIV/0!</v>
      </c>
    </row>
    <row r="182" spans="1:77" s="201" customFormat="1" ht="23.1" hidden="1" customHeight="1" x14ac:dyDescent="0.25">
      <c r="A182" s="230"/>
      <c r="B182" s="231" t="s">
        <v>206</v>
      </c>
      <c r="C182" s="232">
        <v>66</v>
      </c>
      <c r="D182" s="242"/>
      <c r="E182" s="147">
        <f t="shared" si="37"/>
        <v>0</v>
      </c>
      <c r="F182" s="148">
        <f t="shared" si="38"/>
        <v>0</v>
      </c>
      <c r="G182" s="149"/>
      <c r="H182" s="140"/>
      <c r="I182" s="140"/>
      <c r="J182" s="140"/>
      <c r="K182" s="523"/>
      <c r="L182" s="523"/>
      <c r="M182" s="230"/>
      <c r="N182" s="230"/>
      <c r="O182" s="230"/>
      <c r="P182" s="230"/>
      <c r="Q182" s="230"/>
      <c r="R182" s="235"/>
      <c r="S182" s="236"/>
      <c r="T182" s="237"/>
      <c r="U182" s="237"/>
      <c r="V182" s="238"/>
      <c r="W182" s="112">
        <f t="shared" si="39"/>
        <v>0</v>
      </c>
      <c r="X182" s="113">
        <f t="shared" si="40"/>
        <v>0</v>
      </c>
      <c r="Y182" s="114">
        <f t="shared" si="41"/>
        <v>0</v>
      </c>
      <c r="Z182" s="114">
        <f t="shared" si="42"/>
        <v>0</v>
      </c>
      <c r="AA182" s="115">
        <f t="shared" si="43"/>
        <v>0</v>
      </c>
      <c r="AB182" s="116"/>
      <c r="AC182" s="136"/>
      <c r="AD182" s="117"/>
      <c r="AE182" s="117"/>
      <c r="AF182" s="117"/>
      <c r="AG182" s="118"/>
      <c r="AH182" s="137"/>
      <c r="AI182" s="137"/>
      <c r="AJ182" s="138"/>
      <c r="AK182" s="654">
        <f t="shared" si="44"/>
        <v>0</v>
      </c>
      <c r="AL182" s="632"/>
      <c r="AM182" s="296"/>
      <c r="AN182" s="449"/>
      <c r="AO182" s="450"/>
      <c r="AP182" s="450"/>
      <c r="AQ182" s="240"/>
      <c r="AR182" s="240"/>
      <c r="AS182" s="240"/>
      <c r="AT182" s="450"/>
      <c r="AU182" s="450"/>
      <c r="AV182" s="450"/>
      <c r="AW182" s="240"/>
      <c r="AX182" s="240"/>
      <c r="AY182" s="240"/>
      <c r="AZ182" s="450"/>
      <c r="BA182" s="450"/>
      <c r="BB182" s="450"/>
      <c r="BC182" s="240"/>
      <c r="BD182" s="240"/>
      <c r="BE182" s="240"/>
      <c r="BF182" s="450"/>
      <c r="BG182" s="450"/>
      <c r="BH182" s="450"/>
      <c r="BI182" s="240"/>
      <c r="BJ182" s="240"/>
      <c r="BK182" s="240"/>
      <c r="BL182" s="450"/>
      <c r="BM182" s="450"/>
      <c r="BN182" s="450"/>
      <c r="BO182" s="240"/>
      <c r="BP182" s="240"/>
      <c r="BQ182" s="240"/>
      <c r="BR182" s="450"/>
      <c r="BS182" s="450"/>
      <c r="BT182" s="450"/>
      <c r="BU182" s="240"/>
      <c r="BV182" s="240"/>
      <c r="BW182" s="241"/>
      <c r="BX182" s="648"/>
      <c r="BY182" s="122" t="e">
        <f t="shared" si="45"/>
        <v>#DIV/0!</v>
      </c>
    </row>
    <row r="183" spans="1:77" s="201" customFormat="1" ht="23.1" hidden="1" customHeight="1" x14ac:dyDescent="0.25">
      <c r="A183" s="230"/>
      <c r="B183" s="231" t="s">
        <v>206</v>
      </c>
      <c r="C183" s="232">
        <v>67</v>
      </c>
      <c r="D183" s="242"/>
      <c r="E183" s="147">
        <f t="shared" si="37"/>
        <v>0</v>
      </c>
      <c r="F183" s="148">
        <f t="shared" si="38"/>
        <v>0</v>
      </c>
      <c r="G183" s="149"/>
      <c r="H183" s="140"/>
      <c r="I183" s="140"/>
      <c r="J183" s="140"/>
      <c r="K183" s="523"/>
      <c r="L183" s="523"/>
      <c r="M183" s="230"/>
      <c r="N183" s="230"/>
      <c r="O183" s="230"/>
      <c r="P183" s="230"/>
      <c r="Q183" s="230"/>
      <c r="R183" s="235"/>
      <c r="S183" s="236"/>
      <c r="T183" s="237"/>
      <c r="U183" s="237"/>
      <c r="V183" s="238"/>
      <c r="W183" s="112">
        <f t="shared" si="39"/>
        <v>0</v>
      </c>
      <c r="X183" s="113">
        <f t="shared" si="40"/>
        <v>0</v>
      </c>
      <c r="Y183" s="114">
        <f t="shared" si="41"/>
        <v>0</v>
      </c>
      <c r="Z183" s="114">
        <f t="shared" si="42"/>
        <v>0</v>
      </c>
      <c r="AA183" s="115">
        <f t="shared" si="43"/>
        <v>0</v>
      </c>
      <c r="AB183" s="116"/>
      <c r="AC183" s="136"/>
      <c r="AD183" s="117"/>
      <c r="AE183" s="117"/>
      <c r="AF183" s="117"/>
      <c r="AG183" s="118"/>
      <c r="AH183" s="137"/>
      <c r="AI183" s="137"/>
      <c r="AJ183" s="138"/>
      <c r="AK183" s="654">
        <f t="shared" si="44"/>
        <v>0</v>
      </c>
      <c r="AL183" s="632"/>
      <c r="AM183" s="296"/>
      <c r="AN183" s="449"/>
      <c r="AO183" s="450"/>
      <c r="AP183" s="450"/>
      <c r="AQ183" s="240"/>
      <c r="AR183" s="240"/>
      <c r="AS183" s="240"/>
      <c r="AT183" s="450"/>
      <c r="AU183" s="450"/>
      <c r="AV183" s="450"/>
      <c r="AW183" s="240"/>
      <c r="AX183" s="240"/>
      <c r="AY183" s="240"/>
      <c r="AZ183" s="450"/>
      <c r="BA183" s="450"/>
      <c r="BB183" s="450"/>
      <c r="BC183" s="240"/>
      <c r="BD183" s="240"/>
      <c r="BE183" s="240"/>
      <c r="BF183" s="450"/>
      <c r="BG183" s="450"/>
      <c r="BH183" s="450"/>
      <c r="BI183" s="240"/>
      <c r="BJ183" s="240"/>
      <c r="BK183" s="240"/>
      <c r="BL183" s="450"/>
      <c r="BM183" s="450"/>
      <c r="BN183" s="450"/>
      <c r="BO183" s="240"/>
      <c r="BP183" s="240"/>
      <c r="BQ183" s="240"/>
      <c r="BR183" s="450"/>
      <c r="BS183" s="450"/>
      <c r="BT183" s="450"/>
      <c r="BU183" s="240"/>
      <c r="BV183" s="240"/>
      <c r="BW183" s="241"/>
      <c r="BX183" s="648"/>
      <c r="BY183" s="122" t="e">
        <f t="shared" si="45"/>
        <v>#DIV/0!</v>
      </c>
    </row>
    <row r="184" spans="1:77" s="201" customFormat="1" ht="23.1" hidden="1" customHeight="1" x14ac:dyDescent="0.25">
      <c r="A184" s="230"/>
      <c r="B184" s="231" t="s">
        <v>206</v>
      </c>
      <c r="C184" s="232">
        <v>68</v>
      </c>
      <c r="D184" s="242"/>
      <c r="E184" s="147">
        <f t="shared" si="37"/>
        <v>0</v>
      </c>
      <c r="F184" s="148">
        <f t="shared" si="38"/>
        <v>0</v>
      </c>
      <c r="G184" s="149"/>
      <c r="H184" s="140"/>
      <c r="I184" s="140"/>
      <c r="J184" s="140"/>
      <c r="K184" s="523"/>
      <c r="L184" s="523"/>
      <c r="M184" s="230"/>
      <c r="N184" s="230"/>
      <c r="O184" s="230"/>
      <c r="P184" s="230"/>
      <c r="Q184" s="230"/>
      <c r="R184" s="235"/>
      <c r="S184" s="236"/>
      <c r="T184" s="237"/>
      <c r="U184" s="237"/>
      <c r="V184" s="238"/>
      <c r="W184" s="112">
        <f t="shared" si="39"/>
        <v>0</v>
      </c>
      <c r="X184" s="113">
        <f t="shared" si="40"/>
        <v>0</v>
      </c>
      <c r="Y184" s="114">
        <f t="shared" si="41"/>
        <v>0</v>
      </c>
      <c r="Z184" s="114">
        <f t="shared" si="42"/>
        <v>0</v>
      </c>
      <c r="AA184" s="115">
        <f t="shared" si="43"/>
        <v>0</v>
      </c>
      <c r="AB184" s="116"/>
      <c r="AC184" s="136"/>
      <c r="AD184" s="117"/>
      <c r="AE184" s="117"/>
      <c r="AF184" s="117"/>
      <c r="AG184" s="118"/>
      <c r="AH184" s="137"/>
      <c r="AI184" s="137"/>
      <c r="AJ184" s="138"/>
      <c r="AK184" s="654">
        <f t="shared" si="44"/>
        <v>0</v>
      </c>
      <c r="AL184" s="632"/>
      <c r="AM184" s="296"/>
      <c r="AN184" s="449"/>
      <c r="AO184" s="450"/>
      <c r="AP184" s="450"/>
      <c r="AQ184" s="240"/>
      <c r="AR184" s="240"/>
      <c r="AS184" s="240"/>
      <c r="AT184" s="450"/>
      <c r="AU184" s="450"/>
      <c r="AV184" s="450"/>
      <c r="AW184" s="240"/>
      <c r="AX184" s="240"/>
      <c r="AY184" s="240"/>
      <c r="AZ184" s="450"/>
      <c r="BA184" s="450"/>
      <c r="BB184" s="450"/>
      <c r="BC184" s="240"/>
      <c r="BD184" s="240"/>
      <c r="BE184" s="240"/>
      <c r="BF184" s="450"/>
      <c r="BG184" s="450"/>
      <c r="BH184" s="450"/>
      <c r="BI184" s="240"/>
      <c r="BJ184" s="240"/>
      <c r="BK184" s="240"/>
      <c r="BL184" s="450"/>
      <c r="BM184" s="450"/>
      <c r="BN184" s="450"/>
      <c r="BO184" s="240"/>
      <c r="BP184" s="240"/>
      <c r="BQ184" s="240"/>
      <c r="BR184" s="450"/>
      <c r="BS184" s="450"/>
      <c r="BT184" s="450"/>
      <c r="BU184" s="240"/>
      <c r="BV184" s="240"/>
      <c r="BW184" s="241"/>
      <c r="BX184" s="648"/>
      <c r="BY184" s="122" t="e">
        <f t="shared" si="45"/>
        <v>#DIV/0!</v>
      </c>
    </row>
    <row r="185" spans="1:77" s="201" customFormat="1" ht="23.1" hidden="1" customHeight="1" x14ac:dyDescent="0.25">
      <c r="A185" s="230"/>
      <c r="B185" s="231" t="s">
        <v>206</v>
      </c>
      <c r="C185" s="232">
        <v>69</v>
      </c>
      <c r="D185" s="242"/>
      <c r="E185" s="147">
        <f t="shared" si="37"/>
        <v>0</v>
      </c>
      <c r="F185" s="148">
        <f t="shared" si="38"/>
        <v>0</v>
      </c>
      <c r="G185" s="149"/>
      <c r="H185" s="140"/>
      <c r="I185" s="140"/>
      <c r="J185" s="140"/>
      <c r="K185" s="523"/>
      <c r="L185" s="523"/>
      <c r="M185" s="230"/>
      <c r="N185" s="230"/>
      <c r="O185" s="230"/>
      <c r="P185" s="230"/>
      <c r="Q185" s="230"/>
      <c r="R185" s="235"/>
      <c r="S185" s="236"/>
      <c r="T185" s="237"/>
      <c r="U185" s="237"/>
      <c r="V185" s="238"/>
      <c r="W185" s="112">
        <f t="shared" si="39"/>
        <v>0</v>
      </c>
      <c r="X185" s="113">
        <f t="shared" si="40"/>
        <v>0</v>
      </c>
      <c r="Y185" s="114">
        <f t="shared" si="41"/>
        <v>0</v>
      </c>
      <c r="Z185" s="114">
        <f t="shared" si="42"/>
        <v>0</v>
      </c>
      <c r="AA185" s="115">
        <f t="shared" si="43"/>
        <v>0</v>
      </c>
      <c r="AB185" s="116"/>
      <c r="AC185" s="136"/>
      <c r="AD185" s="117"/>
      <c r="AE185" s="117"/>
      <c r="AF185" s="117"/>
      <c r="AG185" s="118"/>
      <c r="AH185" s="137"/>
      <c r="AI185" s="137"/>
      <c r="AJ185" s="138"/>
      <c r="AK185" s="654">
        <f t="shared" si="44"/>
        <v>0</v>
      </c>
      <c r="AL185" s="632"/>
      <c r="AM185" s="296"/>
      <c r="AN185" s="449"/>
      <c r="AO185" s="450"/>
      <c r="AP185" s="450"/>
      <c r="AQ185" s="240"/>
      <c r="AR185" s="240"/>
      <c r="AS185" s="240"/>
      <c r="AT185" s="450"/>
      <c r="AU185" s="450"/>
      <c r="AV185" s="450"/>
      <c r="AW185" s="240"/>
      <c r="AX185" s="240"/>
      <c r="AY185" s="240"/>
      <c r="AZ185" s="450"/>
      <c r="BA185" s="450"/>
      <c r="BB185" s="450"/>
      <c r="BC185" s="240"/>
      <c r="BD185" s="240"/>
      <c r="BE185" s="240"/>
      <c r="BF185" s="450"/>
      <c r="BG185" s="450"/>
      <c r="BH185" s="450"/>
      <c r="BI185" s="240"/>
      <c r="BJ185" s="240"/>
      <c r="BK185" s="240"/>
      <c r="BL185" s="450"/>
      <c r="BM185" s="450"/>
      <c r="BN185" s="450"/>
      <c r="BO185" s="240"/>
      <c r="BP185" s="240"/>
      <c r="BQ185" s="240"/>
      <c r="BR185" s="450"/>
      <c r="BS185" s="450"/>
      <c r="BT185" s="450"/>
      <c r="BU185" s="240"/>
      <c r="BV185" s="240"/>
      <c r="BW185" s="241"/>
      <c r="BX185" s="648"/>
      <c r="BY185" s="122" t="e">
        <f t="shared" si="45"/>
        <v>#DIV/0!</v>
      </c>
    </row>
    <row r="186" spans="1:77" s="201" customFormat="1" ht="23.1" hidden="1" customHeight="1" x14ac:dyDescent="0.25">
      <c r="A186" s="230"/>
      <c r="B186" s="231" t="s">
        <v>206</v>
      </c>
      <c r="C186" s="232">
        <v>70</v>
      </c>
      <c r="D186" s="242"/>
      <c r="E186" s="147">
        <f t="shared" si="37"/>
        <v>0</v>
      </c>
      <c r="F186" s="148">
        <f t="shared" si="38"/>
        <v>0</v>
      </c>
      <c r="G186" s="149"/>
      <c r="H186" s="140"/>
      <c r="I186" s="140"/>
      <c r="J186" s="140"/>
      <c r="K186" s="523"/>
      <c r="L186" s="523"/>
      <c r="M186" s="230"/>
      <c r="N186" s="230"/>
      <c r="O186" s="230"/>
      <c r="P186" s="230"/>
      <c r="Q186" s="230"/>
      <c r="R186" s="235"/>
      <c r="S186" s="236"/>
      <c r="T186" s="237"/>
      <c r="U186" s="237"/>
      <c r="V186" s="238"/>
      <c r="W186" s="112">
        <f t="shared" si="39"/>
        <v>0</v>
      </c>
      <c r="X186" s="113">
        <f t="shared" si="40"/>
        <v>0</v>
      </c>
      <c r="Y186" s="114">
        <f t="shared" si="41"/>
        <v>0</v>
      </c>
      <c r="Z186" s="114">
        <f t="shared" si="42"/>
        <v>0</v>
      </c>
      <c r="AA186" s="115">
        <f t="shared" si="43"/>
        <v>0</v>
      </c>
      <c r="AB186" s="116"/>
      <c r="AC186" s="136"/>
      <c r="AD186" s="117"/>
      <c r="AE186" s="117"/>
      <c r="AF186" s="117"/>
      <c r="AG186" s="118"/>
      <c r="AH186" s="137"/>
      <c r="AI186" s="137"/>
      <c r="AJ186" s="138"/>
      <c r="AK186" s="654">
        <f t="shared" si="44"/>
        <v>0</v>
      </c>
      <c r="AL186" s="632"/>
      <c r="AM186" s="296"/>
      <c r="AN186" s="449"/>
      <c r="AO186" s="450"/>
      <c r="AP186" s="450"/>
      <c r="AQ186" s="240"/>
      <c r="AR186" s="240"/>
      <c r="AS186" s="240"/>
      <c r="AT186" s="450"/>
      <c r="AU186" s="450"/>
      <c r="AV186" s="450"/>
      <c r="AW186" s="240"/>
      <c r="AX186" s="240"/>
      <c r="AY186" s="240"/>
      <c r="AZ186" s="450"/>
      <c r="BA186" s="450"/>
      <c r="BB186" s="450"/>
      <c r="BC186" s="240"/>
      <c r="BD186" s="240"/>
      <c r="BE186" s="240"/>
      <c r="BF186" s="450"/>
      <c r="BG186" s="450"/>
      <c r="BH186" s="450"/>
      <c r="BI186" s="240"/>
      <c r="BJ186" s="240"/>
      <c r="BK186" s="240"/>
      <c r="BL186" s="450"/>
      <c r="BM186" s="450"/>
      <c r="BN186" s="450"/>
      <c r="BO186" s="240"/>
      <c r="BP186" s="240"/>
      <c r="BQ186" s="240"/>
      <c r="BR186" s="450"/>
      <c r="BS186" s="450"/>
      <c r="BT186" s="450"/>
      <c r="BU186" s="240"/>
      <c r="BV186" s="240"/>
      <c r="BW186" s="241"/>
      <c r="BX186" s="648"/>
      <c r="BY186" s="122" t="e">
        <f t="shared" si="45"/>
        <v>#DIV/0!</v>
      </c>
    </row>
    <row r="187" spans="1:77" s="201" customFormat="1" ht="23.1" hidden="1" customHeight="1" x14ac:dyDescent="0.25">
      <c r="A187" s="230"/>
      <c r="B187" s="231" t="s">
        <v>206</v>
      </c>
      <c r="C187" s="232">
        <v>71</v>
      </c>
      <c r="D187" s="242"/>
      <c r="E187" s="147">
        <f t="shared" si="37"/>
        <v>0</v>
      </c>
      <c r="F187" s="148">
        <f t="shared" si="38"/>
        <v>0</v>
      </c>
      <c r="G187" s="149"/>
      <c r="H187" s="140"/>
      <c r="I187" s="140"/>
      <c r="J187" s="140"/>
      <c r="K187" s="523"/>
      <c r="L187" s="523"/>
      <c r="M187" s="230"/>
      <c r="N187" s="230"/>
      <c r="O187" s="230"/>
      <c r="P187" s="230"/>
      <c r="Q187" s="230"/>
      <c r="R187" s="235"/>
      <c r="S187" s="236"/>
      <c r="T187" s="237"/>
      <c r="U187" s="237"/>
      <c r="V187" s="238"/>
      <c r="W187" s="112">
        <f t="shared" si="39"/>
        <v>0</v>
      </c>
      <c r="X187" s="113">
        <f t="shared" si="40"/>
        <v>0</v>
      </c>
      <c r="Y187" s="114">
        <f t="shared" si="41"/>
        <v>0</v>
      </c>
      <c r="Z187" s="114">
        <f t="shared" si="42"/>
        <v>0</v>
      </c>
      <c r="AA187" s="115">
        <f t="shared" si="43"/>
        <v>0</v>
      </c>
      <c r="AB187" s="116"/>
      <c r="AC187" s="136"/>
      <c r="AD187" s="117"/>
      <c r="AE187" s="117"/>
      <c r="AF187" s="117"/>
      <c r="AG187" s="118"/>
      <c r="AH187" s="137"/>
      <c r="AI187" s="137"/>
      <c r="AJ187" s="138"/>
      <c r="AK187" s="654">
        <f t="shared" si="44"/>
        <v>0</v>
      </c>
      <c r="AL187" s="632"/>
      <c r="AM187" s="296"/>
      <c r="AN187" s="449"/>
      <c r="AO187" s="450"/>
      <c r="AP187" s="450"/>
      <c r="AQ187" s="240"/>
      <c r="AR187" s="240"/>
      <c r="AS187" s="240"/>
      <c r="AT187" s="450"/>
      <c r="AU187" s="450"/>
      <c r="AV187" s="450"/>
      <c r="AW187" s="240"/>
      <c r="AX187" s="240"/>
      <c r="AY187" s="240"/>
      <c r="AZ187" s="450"/>
      <c r="BA187" s="450"/>
      <c r="BB187" s="450"/>
      <c r="BC187" s="240"/>
      <c r="BD187" s="240"/>
      <c r="BE187" s="240"/>
      <c r="BF187" s="450"/>
      <c r="BG187" s="450"/>
      <c r="BH187" s="450"/>
      <c r="BI187" s="240"/>
      <c r="BJ187" s="240"/>
      <c r="BK187" s="240"/>
      <c r="BL187" s="450"/>
      <c r="BM187" s="450"/>
      <c r="BN187" s="450"/>
      <c r="BO187" s="240"/>
      <c r="BP187" s="240"/>
      <c r="BQ187" s="240"/>
      <c r="BR187" s="450"/>
      <c r="BS187" s="450"/>
      <c r="BT187" s="450"/>
      <c r="BU187" s="240"/>
      <c r="BV187" s="240"/>
      <c r="BW187" s="241"/>
      <c r="BX187" s="648"/>
      <c r="BY187" s="122" t="e">
        <f t="shared" si="45"/>
        <v>#DIV/0!</v>
      </c>
    </row>
    <row r="188" spans="1:77" s="201" customFormat="1" ht="23.1" hidden="1" customHeight="1" x14ac:dyDescent="0.25">
      <c r="A188" s="230"/>
      <c r="B188" s="231" t="s">
        <v>206</v>
      </c>
      <c r="C188" s="232">
        <v>72</v>
      </c>
      <c r="D188" s="242"/>
      <c r="E188" s="147">
        <f t="shared" si="37"/>
        <v>0</v>
      </c>
      <c r="F188" s="148">
        <f t="shared" si="38"/>
        <v>0</v>
      </c>
      <c r="G188" s="149"/>
      <c r="H188" s="140"/>
      <c r="I188" s="140"/>
      <c r="J188" s="140"/>
      <c r="K188" s="523"/>
      <c r="L188" s="523"/>
      <c r="M188" s="230"/>
      <c r="N188" s="230"/>
      <c r="O188" s="230"/>
      <c r="P188" s="230"/>
      <c r="Q188" s="230"/>
      <c r="R188" s="235"/>
      <c r="S188" s="236"/>
      <c r="T188" s="237"/>
      <c r="U188" s="237"/>
      <c r="V188" s="238"/>
      <c r="W188" s="112">
        <f t="shared" si="39"/>
        <v>0</v>
      </c>
      <c r="X188" s="113">
        <f t="shared" si="40"/>
        <v>0</v>
      </c>
      <c r="Y188" s="114">
        <f t="shared" si="41"/>
        <v>0</v>
      </c>
      <c r="Z188" s="114">
        <f t="shared" si="42"/>
        <v>0</v>
      </c>
      <c r="AA188" s="115">
        <f t="shared" si="43"/>
        <v>0</v>
      </c>
      <c r="AB188" s="116"/>
      <c r="AC188" s="136"/>
      <c r="AD188" s="117"/>
      <c r="AE188" s="117"/>
      <c r="AF188" s="117"/>
      <c r="AG188" s="118"/>
      <c r="AH188" s="137"/>
      <c r="AI188" s="137"/>
      <c r="AJ188" s="138"/>
      <c r="AK188" s="654">
        <f t="shared" si="44"/>
        <v>0</v>
      </c>
      <c r="AL188" s="632"/>
      <c r="AM188" s="296"/>
      <c r="AN188" s="449"/>
      <c r="AO188" s="450"/>
      <c r="AP188" s="450"/>
      <c r="AQ188" s="240"/>
      <c r="AR188" s="240"/>
      <c r="AS188" s="240"/>
      <c r="AT188" s="450"/>
      <c r="AU188" s="450"/>
      <c r="AV188" s="450"/>
      <c r="AW188" s="240"/>
      <c r="AX188" s="240"/>
      <c r="AY188" s="240"/>
      <c r="AZ188" s="450"/>
      <c r="BA188" s="450"/>
      <c r="BB188" s="450"/>
      <c r="BC188" s="240"/>
      <c r="BD188" s="240"/>
      <c r="BE188" s="240"/>
      <c r="BF188" s="450"/>
      <c r="BG188" s="450"/>
      <c r="BH188" s="450"/>
      <c r="BI188" s="240"/>
      <c r="BJ188" s="240"/>
      <c r="BK188" s="240"/>
      <c r="BL188" s="450"/>
      <c r="BM188" s="450"/>
      <c r="BN188" s="450"/>
      <c r="BO188" s="240"/>
      <c r="BP188" s="240"/>
      <c r="BQ188" s="240"/>
      <c r="BR188" s="450"/>
      <c r="BS188" s="450"/>
      <c r="BT188" s="450"/>
      <c r="BU188" s="240"/>
      <c r="BV188" s="240"/>
      <c r="BW188" s="241"/>
      <c r="BX188" s="648"/>
      <c r="BY188" s="122" t="e">
        <f t="shared" si="45"/>
        <v>#DIV/0!</v>
      </c>
    </row>
    <row r="189" spans="1:77" s="201" customFormat="1" ht="23.1" hidden="1" customHeight="1" x14ac:dyDescent="0.25">
      <c r="A189" s="281"/>
      <c r="B189" s="231" t="s">
        <v>206</v>
      </c>
      <c r="C189" s="232">
        <v>73</v>
      </c>
      <c r="D189" s="242"/>
      <c r="E189" s="147">
        <f t="shared" si="37"/>
        <v>0</v>
      </c>
      <c r="F189" s="148">
        <f t="shared" si="38"/>
        <v>0</v>
      </c>
      <c r="G189" s="149"/>
      <c r="H189" s="140"/>
      <c r="I189" s="140"/>
      <c r="J189" s="140"/>
      <c r="K189" s="523"/>
      <c r="L189" s="523"/>
      <c r="M189" s="230"/>
      <c r="N189" s="230"/>
      <c r="O189" s="230"/>
      <c r="P189" s="230"/>
      <c r="Q189" s="230"/>
      <c r="R189" s="235"/>
      <c r="S189" s="236"/>
      <c r="T189" s="237"/>
      <c r="U189" s="237"/>
      <c r="V189" s="238"/>
      <c r="W189" s="112">
        <f t="shared" si="39"/>
        <v>0</v>
      </c>
      <c r="X189" s="113">
        <f t="shared" si="40"/>
        <v>0</v>
      </c>
      <c r="Y189" s="114">
        <f t="shared" si="41"/>
        <v>0</v>
      </c>
      <c r="Z189" s="114">
        <f t="shared" si="42"/>
        <v>0</v>
      </c>
      <c r="AA189" s="115">
        <f t="shared" si="43"/>
        <v>0</v>
      </c>
      <c r="AB189" s="116"/>
      <c r="AC189" s="136"/>
      <c r="AD189" s="117"/>
      <c r="AE189" s="117"/>
      <c r="AF189" s="117"/>
      <c r="AG189" s="118"/>
      <c r="AH189" s="137"/>
      <c r="AI189" s="137"/>
      <c r="AJ189" s="138"/>
      <c r="AK189" s="654">
        <f t="shared" si="44"/>
        <v>0</v>
      </c>
      <c r="AL189" s="632"/>
      <c r="AM189" s="296"/>
      <c r="AN189" s="449"/>
      <c r="AO189" s="450"/>
      <c r="AP189" s="450"/>
      <c r="AQ189" s="240"/>
      <c r="AR189" s="240"/>
      <c r="AS189" s="240"/>
      <c r="AT189" s="450"/>
      <c r="AU189" s="450"/>
      <c r="AV189" s="450"/>
      <c r="AW189" s="240"/>
      <c r="AX189" s="240"/>
      <c r="AY189" s="240"/>
      <c r="AZ189" s="450"/>
      <c r="BA189" s="450"/>
      <c r="BB189" s="450"/>
      <c r="BC189" s="240"/>
      <c r="BD189" s="240"/>
      <c r="BE189" s="240"/>
      <c r="BF189" s="450"/>
      <c r="BG189" s="450"/>
      <c r="BH189" s="450"/>
      <c r="BI189" s="240"/>
      <c r="BJ189" s="240"/>
      <c r="BK189" s="240"/>
      <c r="BL189" s="450"/>
      <c r="BM189" s="450"/>
      <c r="BN189" s="450"/>
      <c r="BO189" s="240"/>
      <c r="BP189" s="240"/>
      <c r="BQ189" s="240"/>
      <c r="BR189" s="450"/>
      <c r="BS189" s="450"/>
      <c r="BT189" s="450"/>
      <c r="BU189" s="240"/>
      <c r="BV189" s="240"/>
      <c r="BW189" s="241"/>
      <c r="BX189" s="648"/>
      <c r="BY189" s="122" t="e">
        <f t="shared" si="45"/>
        <v>#DIV/0!</v>
      </c>
    </row>
    <row r="190" spans="1:77" s="201" customFormat="1" ht="23.1" hidden="1" customHeight="1" x14ac:dyDescent="0.25">
      <c r="A190" s="231"/>
      <c r="B190" s="231" t="s">
        <v>206</v>
      </c>
      <c r="C190" s="232"/>
      <c r="D190" s="267" t="s">
        <v>208</v>
      </c>
      <c r="E190" s="268">
        <f>SUM(E191:E203)</f>
        <v>0</v>
      </c>
      <c r="F190" s="269">
        <f>E190*36</f>
        <v>0</v>
      </c>
      <c r="G190" s="173"/>
      <c r="H190" s="174"/>
      <c r="I190" s="174"/>
      <c r="J190" s="174"/>
      <c r="K190" s="524"/>
      <c r="L190" s="524"/>
      <c r="M190" s="270"/>
      <c r="N190" s="270"/>
      <c r="O190" s="270"/>
      <c r="P190" s="270"/>
      <c r="Q190" s="270"/>
      <c r="R190" s="271"/>
      <c r="S190" s="272"/>
      <c r="T190" s="273"/>
      <c r="U190" s="273"/>
      <c r="V190" s="274"/>
      <c r="W190" s="179"/>
      <c r="X190" s="180"/>
      <c r="Y190" s="120"/>
      <c r="Z190" s="120"/>
      <c r="AA190" s="181"/>
      <c r="AB190" s="182"/>
      <c r="AC190" s="183"/>
      <c r="AD190" s="184"/>
      <c r="AE190" s="184"/>
      <c r="AF190" s="184"/>
      <c r="AG190" s="185"/>
      <c r="AH190" s="186"/>
      <c r="AI190" s="186"/>
      <c r="AJ190" s="187"/>
      <c r="AK190" s="653"/>
      <c r="AL190" s="633"/>
      <c r="AM190" s="634"/>
      <c r="AN190" s="18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616"/>
      <c r="BX190" s="658"/>
      <c r="BY190" s="275"/>
    </row>
    <row r="191" spans="1:77" s="201" customFormat="1" ht="23.1" hidden="1" customHeight="1" x14ac:dyDescent="0.25">
      <c r="A191" s="230"/>
      <c r="B191" s="231" t="s">
        <v>206</v>
      </c>
      <c r="C191" s="232">
        <v>61</v>
      </c>
      <c r="D191" s="233" t="s">
        <v>185</v>
      </c>
      <c r="E191" s="147">
        <f t="shared" ref="E191:E203" si="46">G191+H191+I191+J191+K191+L191+M191+N191+O191+P191+Q191+R191</f>
        <v>0</v>
      </c>
      <c r="F191" s="148">
        <f t="shared" ref="F191:F203" si="47">E191*36</f>
        <v>0</v>
      </c>
      <c r="G191" s="149"/>
      <c r="H191" s="140"/>
      <c r="I191" s="140"/>
      <c r="J191" s="140"/>
      <c r="K191" s="523"/>
      <c r="L191" s="523"/>
      <c r="M191" s="230"/>
      <c r="N191" s="230"/>
      <c r="O191" s="230"/>
      <c r="P191" s="230"/>
      <c r="Q191" s="230"/>
      <c r="R191" s="235"/>
      <c r="S191" s="236"/>
      <c r="T191" s="237"/>
      <c r="U191" s="237"/>
      <c r="V191" s="238"/>
      <c r="W191" s="112">
        <f t="shared" ref="W191:W203" si="48">X191+X191*0.1</f>
        <v>0</v>
      </c>
      <c r="X191" s="113">
        <f t="shared" ref="X191:X203" si="49">SUM(Y191:AA191)</f>
        <v>0</v>
      </c>
      <c r="Y191" s="114">
        <f t="shared" ref="Y191:Y203" si="50">AN191+AQ191+AT191+AW191+AZ191+BC191+BF191+BI191+BL191+BO191+BR191+BU191</f>
        <v>0</v>
      </c>
      <c r="Z191" s="114">
        <f t="shared" ref="Z191:Z203" si="51">AO191+AR191+AU191+AX191+BA191+BD191+BG191+BJ191+BM191+BP191+BS191+BV191</f>
        <v>0</v>
      </c>
      <c r="AA191" s="115">
        <f t="shared" ref="AA191:AA203" si="52">AP191+AS191+AV191+AY191+BB191+BE191+BH191+BK191+BN191+BQ191+BT191+BW191</f>
        <v>0</v>
      </c>
      <c r="AB191" s="116"/>
      <c r="AC191" s="136"/>
      <c r="AD191" s="117"/>
      <c r="AE191" s="117"/>
      <c r="AF191" s="117"/>
      <c r="AG191" s="118"/>
      <c r="AH191" s="137"/>
      <c r="AI191" s="137"/>
      <c r="AJ191" s="138"/>
      <c r="AK191" s="654">
        <f t="shared" ref="AK191:AK203" si="53">F191-W191</f>
        <v>0</v>
      </c>
      <c r="AL191" s="632"/>
      <c r="AM191" s="296"/>
      <c r="AN191" s="449"/>
      <c r="AO191" s="450"/>
      <c r="AP191" s="450"/>
      <c r="AQ191" s="240"/>
      <c r="AR191" s="240"/>
      <c r="AS191" s="240"/>
      <c r="AT191" s="450"/>
      <c r="AU191" s="450"/>
      <c r="AV191" s="450"/>
      <c r="AW191" s="240"/>
      <c r="AX191" s="240"/>
      <c r="AY191" s="240"/>
      <c r="AZ191" s="450"/>
      <c r="BA191" s="450"/>
      <c r="BB191" s="450"/>
      <c r="BC191" s="240"/>
      <c r="BD191" s="240"/>
      <c r="BE191" s="240"/>
      <c r="BF191" s="450"/>
      <c r="BG191" s="450"/>
      <c r="BH191" s="450"/>
      <c r="BI191" s="240"/>
      <c r="BJ191" s="240"/>
      <c r="BK191" s="240"/>
      <c r="BL191" s="450"/>
      <c r="BM191" s="450"/>
      <c r="BN191" s="450"/>
      <c r="BO191" s="240"/>
      <c r="BP191" s="240"/>
      <c r="BQ191" s="240"/>
      <c r="BR191" s="450"/>
      <c r="BS191" s="450"/>
      <c r="BT191" s="450"/>
      <c r="BU191" s="240"/>
      <c r="BV191" s="240"/>
      <c r="BW191" s="241"/>
      <c r="BX191" s="648"/>
      <c r="BY191" s="122" t="e">
        <f t="shared" ref="BY191:BY203" si="54">X191/F191*100</f>
        <v>#DIV/0!</v>
      </c>
    </row>
    <row r="192" spans="1:77" s="201" customFormat="1" ht="23.1" hidden="1" customHeight="1" x14ac:dyDescent="0.25">
      <c r="A192" s="230"/>
      <c r="B192" s="231" t="s">
        <v>206</v>
      </c>
      <c r="C192" s="232">
        <v>62</v>
      </c>
      <c r="D192" s="233" t="s">
        <v>185</v>
      </c>
      <c r="E192" s="147">
        <f t="shared" si="46"/>
        <v>0</v>
      </c>
      <c r="F192" s="148">
        <f t="shared" si="47"/>
        <v>0</v>
      </c>
      <c r="G192" s="149"/>
      <c r="H192" s="140"/>
      <c r="I192" s="140"/>
      <c r="J192" s="140"/>
      <c r="K192" s="523"/>
      <c r="L192" s="523"/>
      <c r="M192" s="230"/>
      <c r="N192" s="230"/>
      <c r="O192" s="230"/>
      <c r="P192" s="230"/>
      <c r="Q192" s="230"/>
      <c r="R192" s="235"/>
      <c r="S192" s="236"/>
      <c r="T192" s="237"/>
      <c r="U192" s="237"/>
      <c r="V192" s="238"/>
      <c r="W192" s="112">
        <f t="shared" si="48"/>
        <v>0</v>
      </c>
      <c r="X192" s="113">
        <f t="shared" si="49"/>
        <v>0</v>
      </c>
      <c r="Y192" s="114">
        <f t="shared" si="50"/>
        <v>0</v>
      </c>
      <c r="Z192" s="114">
        <f t="shared" si="51"/>
        <v>0</v>
      </c>
      <c r="AA192" s="115">
        <f t="shared" si="52"/>
        <v>0</v>
      </c>
      <c r="AB192" s="116"/>
      <c r="AC192" s="136"/>
      <c r="AD192" s="117"/>
      <c r="AE192" s="117"/>
      <c r="AF192" s="117"/>
      <c r="AG192" s="118"/>
      <c r="AH192" s="137"/>
      <c r="AI192" s="137"/>
      <c r="AJ192" s="138"/>
      <c r="AK192" s="654">
        <f t="shared" si="53"/>
        <v>0</v>
      </c>
      <c r="AL192" s="632"/>
      <c r="AM192" s="296"/>
      <c r="AN192" s="449"/>
      <c r="AO192" s="450"/>
      <c r="AP192" s="450"/>
      <c r="AQ192" s="240"/>
      <c r="AR192" s="240"/>
      <c r="AS192" s="240"/>
      <c r="AT192" s="450"/>
      <c r="AU192" s="450"/>
      <c r="AV192" s="450"/>
      <c r="AW192" s="240"/>
      <c r="AX192" s="240"/>
      <c r="AY192" s="240"/>
      <c r="AZ192" s="450"/>
      <c r="BA192" s="450"/>
      <c r="BB192" s="450"/>
      <c r="BC192" s="240"/>
      <c r="BD192" s="240"/>
      <c r="BE192" s="240"/>
      <c r="BF192" s="450"/>
      <c r="BG192" s="450"/>
      <c r="BH192" s="450"/>
      <c r="BI192" s="240"/>
      <c r="BJ192" s="240"/>
      <c r="BK192" s="240"/>
      <c r="BL192" s="450"/>
      <c r="BM192" s="450"/>
      <c r="BN192" s="450"/>
      <c r="BO192" s="240"/>
      <c r="BP192" s="240"/>
      <c r="BQ192" s="240"/>
      <c r="BR192" s="450"/>
      <c r="BS192" s="450"/>
      <c r="BT192" s="450"/>
      <c r="BU192" s="240"/>
      <c r="BV192" s="240"/>
      <c r="BW192" s="241"/>
      <c r="BX192" s="648"/>
      <c r="BY192" s="122" t="e">
        <f t="shared" si="54"/>
        <v>#DIV/0!</v>
      </c>
    </row>
    <row r="193" spans="1:77" s="201" customFormat="1" ht="23.1" hidden="1" customHeight="1" x14ac:dyDescent="0.25">
      <c r="A193" s="230"/>
      <c r="B193" s="231" t="s">
        <v>206</v>
      </c>
      <c r="C193" s="232">
        <v>63</v>
      </c>
      <c r="D193" s="233" t="s">
        <v>185</v>
      </c>
      <c r="E193" s="147">
        <f t="shared" si="46"/>
        <v>0</v>
      </c>
      <c r="F193" s="148">
        <f t="shared" si="47"/>
        <v>0</v>
      </c>
      <c r="G193" s="149"/>
      <c r="H193" s="140"/>
      <c r="I193" s="140"/>
      <c r="J193" s="140"/>
      <c r="K193" s="523"/>
      <c r="L193" s="523"/>
      <c r="M193" s="230"/>
      <c r="N193" s="230"/>
      <c r="O193" s="230"/>
      <c r="P193" s="230"/>
      <c r="Q193" s="230"/>
      <c r="R193" s="235"/>
      <c r="S193" s="236"/>
      <c r="T193" s="237"/>
      <c r="U193" s="237"/>
      <c r="V193" s="238"/>
      <c r="W193" s="112">
        <f t="shared" si="48"/>
        <v>0</v>
      </c>
      <c r="X193" s="113">
        <f t="shared" si="49"/>
        <v>0</v>
      </c>
      <c r="Y193" s="114">
        <f t="shared" si="50"/>
        <v>0</v>
      </c>
      <c r="Z193" s="114">
        <f t="shared" si="51"/>
        <v>0</v>
      </c>
      <c r="AA193" s="115">
        <f t="shared" si="52"/>
        <v>0</v>
      </c>
      <c r="AB193" s="116"/>
      <c r="AC193" s="136"/>
      <c r="AD193" s="117"/>
      <c r="AE193" s="117"/>
      <c r="AF193" s="117"/>
      <c r="AG193" s="118"/>
      <c r="AH193" s="137"/>
      <c r="AI193" s="137"/>
      <c r="AJ193" s="138"/>
      <c r="AK193" s="654">
        <f t="shared" si="53"/>
        <v>0</v>
      </c>
      <c r="AL193" s="632"/>
      <c r="AM193" s="296"/>
      <c r="AN193" s="449"/>
      <c r="AO193" s="450"/>
      <c r="AP193" s="450"/>
      <c r="AQ193" s="240"/>
      <c r="AR193" s="240"/>
      <c r="AS193" s="240"/>
      <c r="AT193" s="450"/>
      <c r="AU193" s="450"/>
      <c r="AV193" s="450"/>
      <c r="AW193" s="240"/>
      <c r="AX193" s="240"/>
      <c r="AY193" s="240"/>
      <c r="AZ193" s="450"/>
      <c r="BA193" s="450"/>
      <c r="BB193" s="450"/>
      <c r="BC193" s="240"/>
      <c r="BD193" s="240"/>
      <c r="BE193" s="240"/>
      <c r="BF193" s="450"/>
      <c r="BG193" s="450"/>
      <c r="BH193" s="450"/>
      <c r="BI193" s="240"/>
      <c r="BJ193" s="240"/>
      <c r="BK193" s="240"/>
      <c r="BL193" s="450"/>
      <c r="BM193" s="450"/>
      <c r="BN193" s="450"/>
      <c r="BO193" s="240"/>
      <c r="BP193" s="240"/>
      <c r="BQ193" s="240"/>
      <c r="BR193" s="450"/>
      <c r="BS193" s="450"/>
      <c r="BT193" s="450"/>
      <c r="BU193" s="240"/>
      <c r="BV193" s="240"/>
      <c r="BW193" s="241"/>
      <c r="BX193" s="648"/>
      <c r="BY193" s="122" t="e">
        <f t="shared" si="54"/>
        <v>#DIV/0!</v>
      </c>
    </row>
    <row r="194" spans="1:77" s="201" customFormat="1" ht="23.1" hidden="1" customHeight="1" x14ac:dyDescent="0.25">
      <c r="A194" s="230"/>
      <c r="B194" s="231" t="s">
        <v>206</v>
      </c>
      <c r="C194" s="232">
        <v>64</v>
      </c>
      <c r="D194" s="233" t="s">
        <v>185</v>
      </c>
      <c r="E194" s="147">
        <f t="shared" si="46"/>
        <v>0</v>
      </c>
      <c r="F194" s="148">
        <f t="shared" si="47"/>
        <v>0</v>
      </c>
      <c r="G194" s="149"/>
      <c r="H194" s="140"/>
      <c r="I194" s="140"/>
      <c r="J194" s="140"/>
      <c r="K194" s="523"/>
      <c r="L194" s="523"/>
      <c r="M194" s="230"/>
      <c r="N194" s="230"/>
      <c r="O194" s="230"/>
      <c r="P194" s="230"/>
      <c r="Q194" s="230"/>
      <c r="R194" s="235"/>
      <c r="S194" s="236"/>
      <c r="T194" s="237"/>
      <c r="U194" s="237"/>
      <c r="V194" s="238"/>
      <c r="W194" s="112">
        <f t="shared" si="48"/>
        <v>0</v>
      </c>
      <c r="X194" s="113">
        <f t="shared" si="49"/>
        <v>0</v>
      </c>
      <c r="Y194" s="114">
        <f t="shared" si="50"/>
        <v>0</v>
      </c>
      <c r="Z194" s="114">
        <f t="shared" si="51"/>
        <v>0</v>
      </c>
      <c r="AA194" s="115">
        <f t="shared" si="52"/>
        <v>0</v>
      </c>
      <c r="AB194" s="116"/>
      <c r="AC194" s="136"/>
      <c r="AD194" s="117"/>
      <c r="AE194" s="117"/>
      <c r="AF194" s="117"/>
      <c r="AG194" s="118"/>
      <c r="AH194" s="137"/>
      <c r="AI194" s="137"/>
      <c r="AJ194" s="138"/>
      <c r="AK194" s="654">
        <f t="shared" si="53"/>
        <v>0</v>
      </c>
      <c r="AL194" s="632"/>
      <c r="AM194" s="296"/>
      <c r="AN194" s="449"/>
      <c r="AO194" s="450"/>
      <c r="AP194" s="450"/>
      <c r="AQ194" s="240"/>
      <c r="AR194" s="240"/>
      <c r="AS194" s="240"/>
      <c r="AT194" s="450"/>
      <c r="AU194" s="450"/>
      <c r="AV194" s="450"/>
      <c r="AW194" s="240"/>
      <c r="AX194" s="240"/>
      <c r="AY194" s="240"/>
      <c r="AZ194" s="450"/>
      <c r="BA194" s="450"/>
      <c r="BB194" s="450"/>
      <c r="BC194" s="240"/>
      <c r="BD194" s="240"/>
      <c r="BE194" s="240"/>
      <c r="BF194" s="450"/>
      <c r="BG194" s="450"/>
      <c r="BH194" s="450"/>
      <c r="BI194" s="240"/>
      <c r="BJ194" s="240"/>
      <c r="BK194" s="240"/>
      <c r="BL194" s="450"/>
      <c r="BM194" s="450"/>
      <c r="BN194" s="450"/>
      <c r="BO194" s="240"/>
      <c r="BP194" s="240"/>
      <c r="BQ194" s="240"/>
      <c r="BR194" s="450"/>
      <c r="BS194" s="450"/>
      <c r="BT194" s="450"/>
      <c r="BU194" s="240"/>
      <c r="BV194" s="240"/>
      <c r="BW194" s="241"/>
      <c r="BX194" s="648"/>
      <c r="BY194" s="122" t="e">
        <f t="shared" si="54"/>
        <v>#DIV/0!</v>
      </c>
    </row>
    <row r="195" spans="1:77" s="201" customFormat="1" ht="23.1" hidden="1" customHeight="1" x14ac:dyDescent="0.25">
      <c r="A195" s="230"/>
      <c r="B195" s="231" t="s">
        <v>206</v>
      </c>
      <c r="C195" s="232">
        <v>65</v>
      </c>
      <c r="D195" s="242"/>
      <c r="E195" s="147">
        <f t="shared" si="46"/>
        <v>0</v>
      </c>
      <c r="F195" s="148">
        <f t="shared" si="47"/>
        <v>0</v>
      </c>
      <c r="G195" s="149"/>
      <c r="H195" s="140"/>
      <c r="I195" s="140"/>
      <c r="J195" s="140"/>
      <c r="K195" s="523"/>
      <c r="L195" s="523"/>
      <c r="M195" s="230"/>
      <c r="N195" s="230"/>
      <c r="O195" s="230"/>
      <c r="P195" s="230"/>
      <c r="Q195" s="230"/>
      <c r="R195" s="235"/>
      <c r="S195" s="236"/>
      <c r="T195" s="237"/>
      <c r="U195" s="237"/>
      <c r="V195" s="238"/>
      <c r="W195" s="112">
        <f t="shared" si="48"/>
        <v>0</v>
      </c>
      <c r="X195" s="113">
        <f t="shared" si="49"/>
        <v>0</v>
      </c>
      <c r="Y195" s="114">
        <f t="shared" si="50"/>
        <v>0</v>
      </c>
      <c r="Z195" s="114">
        <f t="shared" si="51"/>
        <v>0</v>
      </c>
      <c r="AA195" s="115">
        <f t="shared" si="52"/>
        <v>0</v>
      </c>
      <c r="AB195" s="116"/>
      <c r="AC195" s="136"/>
      <c r="AD195" s="117"/>
      <c r="AE195" s="117"/>
      <c r="AF195" s="117"/>
      <c r="AG195" s="118"/>
      <c r="AH195" s="137"/>
      <c r="AI195" s="137"/>
      <c r="AJ195" s="138"/>
      <c r="AK195" s="654">
        <f t="shared" si="53"/>
        <v>0</v>
      </c>
      <c r="AL195" s="632"/>
      <c r="AM195" s="296"/>
      <c r="AN195" s="449"/>
      <c r="AO195" s="450"/>
      <c r="AP195" s="450"/>
      <c r="AQ195" s="240"/>
      <c r="AR195" s="240"/>
      <c r="AS195" s="240"/>
      <c r="AT195" s="450"/>
      <c r="AU195" s="450"/>
      <c r="AV195" s="450"/>
      <c r="AW195" s="240"/>
      <c r="AX195" s="240"/>
      <c r="AY195" s="240"/>
      <c r="AZ195" s="450"/>
      <c r="BA195" s="450"/>
      <c r="BB195" s="450"/>
      <c r="BC195" s="240"/>
      <c r="BD195" s="240"/>
      <c r="BE195" s="240"/>
      <c r="BF195" s="450"/>
      <c r="BG195" s="450"/>
      <c r="BH195" s="450"/>
      <c r="BI195" s="240"/>
      <c r="BJ195" s="240"/>
      <c r="BK195" s="240"/>
      <c r="BL195" s="450"/>
      <c r="BM195" s="450"/>
      <c r="BN195" s="450"/>
      <c r="BO195" s="240"/>
      <c r="BP195" s="240"/>
      <c r="BQ195" s="240"/>
      <c r="BR195" s="450"/>
      <c r="BS195" s="450"/>
      <c r="BT195" s="450"/>
      <c r="BU195" s="240"/>
      <c r="BV195" s="240"/>
      <c r="BW195" s="241"/>
      <c r="BX195" s="648"/>
      <c r="BY195" s="122" t="e">
        <f t="shared" si="54"/>
        <v>#DIV/0!</v>
      </c>
    </row>
    <row r="196" spans="1:77" s="201" customFormat="1" ht="23.1" hidden="1" customHeight="1" x14ac:dyDescent="0.25">
      <c r="A196" s="230"/>
      <c r="B196" s="231" t="s">
        <v>206</v>
      </c>
      <c r="C196" s="232">
        <v>66</v>
      </c>
      <c r="D196" s="242"/>
      <c r="E196" s="147">
        <f t="shared" si="46"/>
        <v>0</v>
      </c>
      <c r="F196" s="148">
        <f t="shared" si="47"/>
        <v>0</v>
      </c>
      <c r="G196" s="149"/>
      <c r="H196" s="140"/>
      <c r="I196" s="140"/>
      <c r="J196" s="140"/>
      <c r="K196" s="523"/>
      <c r="L196" s="523"/>
      <c r="M196" s="230"/>
      <c r="N196" s="230"/>
      <c r="O196" s="230"/>
      <c r="P196" s="230"/>
      <c r="Q196" s="230"/>
      <c r="R196" s="235"/>
      <c r="S196" s="236"/>
      <c r="T196" s="237"/>
      <c r="U196" s="237"/>
      <c r="V196" s="238"/>
      <c r="W196" s="112">
        <f t="shared" si="48"/>
        <v>0</v>
      </c>
      <c r="X196" s="113">
        <f t="shared" si="49"/>
        <v>0</v>
      </c>
      <c r="Y196" s="114">
        <f t="shared" si="50"/>
        <v>0</v>
      </c>
      <c r="Z196" s="114">
        <f t="shared" si="51"/>
        <v>0</v>
      </c>
      <c r="AA196" s="115">
        <f t="shared" si="52"/>
        <v>0</v>
      </c>
      <c r="AB196" s="116"/>
      <c r="AC196" s="136"/>
      <c r="AD196" s="117"/>
      <c r="AE196" s="117"/>
      <c r="AF196" s="117"/>
      <c r="AG196" s="118"/>
      <c r="AH196" s="137"/>
      <c r="AI196" s="137"/>
      <c r="AJ196" s="138"/>
      <c r="AK196" s="654">
        <f t="shared" si="53"/>
        <v>0</v>
      </c>
      <c r="AL196" s="632"/>
      <c r="AM196" s="296"/>
      <c r="AN196" s="449"/>
      <c r="AO196" s="450"/>
      <c r="AP196" s="450"/>
      <c r="AQ196" s="240"/>
      <c r="AR196" s="240"/>
      <c r="AS196" s="240"/>
      <c r="AT196" s="450"/>
      <c r="AU196" s="450"/>
      <c r="AV196" s="450"/>
      <c r="AW196" s="240"/>
      <c r="AX196" s="240"/>
      <c r="AY196" s="240"/>
      <c r="AZ196" s="450"/>
      <c r="BA196" s="450"/>
      <c r="BB196" s="450"/>
      <c r="BC196" s="240"/>
      <c r="BD196" s="240"/>
      <c r="BE196" s="240"/>
      <c r="BF196" s="450"/>
      <c r="BG196" s="450"/>
      <c r="BH196" s="450"/>
      <c r="BI196" s="240"/>
      <c r="BJ196" s="240"/>
      <c r="BK196" s="240"/>
      <c r="BL196" s="450"/>
      <c r="BM196" s="450"/>
      <c r="BN196" s="450"/>
      <c r="BO196" s="240"/>
      <c r="BP196" s="240"/>
      <c r="BQ196" s="240"/>
      <c r="BR196" s="450"/>
      <c r="BS196" s="450"/>
      <c r="BT196" s="450"/>
      <c r="BU196" s="240"/>
      <c r="BV196" s="240"/>
      <c r="BW196" s="241"/>
      <c r="BX196" s="648"/>
      <c r="BY196" s="122" t="e">
        <f t="shared" si="54"/>
        <v>#DIV/0!</v>
      </c>
    </row>
    <row r="197" spans="1:77" s="201" customFormat="1" ht="23.1" hidden="1" customHeight="1" x14ac:dyDescent="0.25">
      <c r="A197" s="230"/>
      <c r="B197" s="231" t="s">
        <v>206</v>
      </c>
      <c r="C197" s="232">
        <v>67</v>
      </c>
      <c r="D197" s="242"/>
      <c r="E197" s="147">
        <f t="shared" si="46"/>
        <v>0</v>
      </c>
      <c r="F197" s="148">
        <f t="shared" si="47"/>
        <v>0</v>
      </c>
      <c r="G197" s="149"/>
      <c r="H197" s="140"/>
      <c r="I197" s="140"/>
      <c r="J197" s="140"/>
      <c r="K197" s="523"/>
      <c r="L197" s="523"/>
      <c r="M197" s="230"/>
      <c r="N197" s="230"/>
      <c r="O197" s="230"/>
      <c r="P197" s="230"/>
      <c r="Q197" s="230"/>
      <c r="R197" s="235"/>
      <c r="S197" s="236"/>
      <c r="T197" s="237"/>
      <c r="U197" s="237"/>
      <c r="V197" s="238"/>
      <c r="W197" s="112">
        <f t="shared" si="48"/>
        <v>0</v>
      </c>
      <c r="X197" s="113">
        <f t="shared" si="49"/>
        <v>0</v>
      </c>
      <c r="Y197" s="114">
        <f t="shared" si="50"/>
        <v>0</v>
      </c>
      <c r="Z197" s="114">
        <f t="shared" si="51"/>
        <v>0</v>
      </c>
      <c r="AA197" s="115">
        <f t="shared" si="52"/>
        <v>0</v>
      </c>
      <c r="AB197" s="116"/>
      <c r="AC197" s="136"/>
      <c r="AD197" s="117"/>
      <c r="AE197" s="117"/>
      <c r="AF197" s="117"/>
      <c r="AG197" s="118"/>
      <c r="AH197" s="137"/>
      <c r="AI197" s="137"/>
      <c r="AJ197" s="138"/>
      <c r="AK197" s="654">
        <f t="shared" si="53"/>
        <v>0</v>
      </c>
      <c r="AL197" s="632"/>
      <c r="AM197" s="296"/>
      <c r="AN197" s="449"/>
      <c r="AO197" s="450"/>
      <c r="AP197" s="450"/>
      <c r="AQ197" s="240"/>
      <c r="AR197" s="240"/>
      <c r="AS197" s="240"/>
      <c r="AT197" s="450"/>
      <c r="AU197" s="450"/>
      <c r="AV197" s="450"/>
      <c r="AW197" s="240"/>
      <c r="AX197" s="240"/>
      <c r="AY197" s="240"/>
      <c r="AZ197" s="450"/>
      <c r="BA197" s="450"/>
      <c r="BB197" s="450"/>
      <c r="BC197" s="240"/>
      <c r="BD197" s="240"/>
      <c r="BE197" s="240"/>
      <c r="BF197" s="450"/>
      <c r="BG197" s="450"/>
      <c r="BH197" s="450"/>
      <c r="BI197" s="240"/>
      <c r="BJ197" s="240"/>
      <c r="BK197" s="240"/>
      <c r="BL197" s="450"/>
      <c r="BM197" s="450"/>
      <c r="BN197" s="450"/>
      <c r="BO197" s="240"/>
      <c r="BP197" s="240"/>
      <c r="BQ197" s="240"/>
      <c r="BR197" s="450"/>
      <c r="BS197" s="450"/>
      <c r="BT197" s="450"/>
      <c r="BU197" s="240"/>
      <c r="BV197" s="240"/>
      <c r="BW197" s="241"/>
      <c r="BX197" s="648"/>
      <c r="BY197" s="122" t="e">
        <f t="shared" si="54"/>
        <v>#DIV/0!</v>
      </c>
    </row>
    <row r="198" spans="1:77" s="201" customFormat="1" ht="23.1" hidden="1" customHeight="1" x14ac:dyDescent="0.25">
      <c r="A198" s="230"/>
      <c r="B198" s="231" t="s">
        <v>206</v>
      </c>
      <c r="C198" s="232">
        <v>68</v>
      </c>
      <c r="D198" s="242"/>
      <c r="E198" s="147">
        <f t="shared" si="46"/>
        <v>0</v>
      </c>
      <c r="F198" s="148">
        <f t="shared" si="47"/>
        <v>0</v>
      </c>
      <c r="G198" s="149"/>
      <c r="H198" s="140"/>
      <c r="I198" s="140"/>
      <c r="J198" s="140"/>
      <c r="K198" s="523"/>
      <c r="L198" s="523"/>
      <c r="M198" s="230"/>
      <c r="N198" s="230"/>
      <c r="O198" s="230"/>
      <c r="P198" s="230"/>
      <c r="Q198" s="230"/>
      <c r="R198" s="235"/>
      <c r="S198" s="236"/>
      <c r="T198" s="237"/>
      <c r="U198" s="237"/>
      <c r="V198" s="238"/>
      <c r="W198" s="112">
        <f t="shared" si="48"/>
        <v>0</v>
      </c>
      <c r="X198" s="113">
        <f t="shared" si="49"/>
        <v>0</v>
      </c>
      <c r="Y198" s="114">
        <f t="shared" si="50"/>
        <v>0</v>
      </c>
      <c r="Z198" s="114">
        <f t="shared" si="51"/>
        <v>0</v>
      </c>
      <c r="AA198" s="115">
        <f t="shared" si="52"/>
        <v>0</v>
      </c>
      <c r="AB198" s="116"/>
      <c r="AC198" s="136"/>
      <c r="AD198" s="117"/>
      <c r="AE198" s="117"/>
      <c r="AF198" s="117"/>
      <c r="AG198" s="118"/>
      <c r="AH198" s="137"/>
      <c r="AI198" s="137"/>
      <c r="AJ198" s="138"/>
      <c r="AK198" s="654">
        <f t="shared" si="53"/>
        <v>0</v>
      </c>
      <c r="AL198" s="632"/>
      <c r="AM198" s="296"/>
      <c r="AN198" s="449"/>
      <c r="AO198" s="450"/>
      <c r="AP198" s="450"/>
      <c r="AQ198" s="240"/>
      <c r="AR198" s="240"/>
      <c r="AS198" s="240"/>
      <c r="AT198" s="450"/>
      <c r="AU198" s="450"/>
      <c r="AV198" s="450"/>
      <c r="AW198" s="240"/>
      <c r="AX198" s="240"/>
      <c r="AY198" s="240"/>
      <c r="AZ198" s="450"/>
      <c r="BA198" s="450"/>
      <c r="BB198" s="450"/>
      <c r="BC198" s="240"/>
      <c r="BD198" s="240"/>
      <c r="BE198" s="240"/>
      <c r="BF198" s="450"/>
      <c r="BG198" s="450"/>
      <c r="BH198" s="450"/>
      <c r="BI198" s="240"/>
      <c r="BJ198" s="240"/>
      <c r="BK198" s="240"/>
      <c r="BL198" s="450"/>
      <c r="BM198" s="450"/>
      <c r="BN198" s="450"/>
      <c r="BO198" s="240"/>
      <c r="BP198" s="240"/>
      <c r="BQ198" s="240"/>
      <c r="BR198" s="450"/>
      <c r="BS198" s="450"/>
      <c r="BT198" s="450"/>
      <c r="BU198" s="240"/>
      <c r="BV198" s="240"/>
      <c r="BW198" s="241"/>
      <c r="BX198" s="648"/>
      <c r="BY198" s="122" t="e">
        <f t="shared" si="54"/>
        <v>#DIV/0!</v>
      </c>
    </row>
    <row r="199" spans="1:77" s="201" customFormat="1" ht="23.1" hidden="1" customHeight="1" x14ac:dyDescent="0.25">
      <c r="A199" s="230"/>
      <c r="B199" s="231" t="s">
        <v>206</v>
      </c>
      <c r="C199" s="232">
        <v>69</v>
      </c>
      <c r="D199" s="242"/>
      <c r="E199" s="147">
        <f t="shared" si="46"/>
        <v>0</v>
      </c>
      <c r="F199" s="148">
        <f t="shared" si="47"/>
        <v>0</v>
      </c>
      <c r="G199" s="149"/>
      <c r="H199" s="140"/>
      <c r="I199" s="140"/>
      <c r="J199" s="140"/>
      <c r="K199" s="523"/>
      <c r="L199" s="523"/>
      <c r="M199" s="230"/>
      <c r="N199" s="230"/>
      <c r="O199" s="230"/>
      <c r="P199" s="230"/>
      <c r="Q199" s="230"/>
      <c r="R199" s="235"/>
      <c r="S199" s="236"/>
      <c r="T199" s="237"/>
      <c r="U199" s="237"/>
      <c r="V199" s="238"/>
      <c r="W199" s="112">
        <f t="shared" si="48"/>
        <v>0</v>
      </c>
      <c r="X199" s="113">
        <f t="shared" si="49"/>
        <v>0</v>
      </c>
      <c r="Y199" s="114">
        <f t="shared" si="50"/>
        <v>0</v>
      </c>
      <c r="Z199" s="114">
        <f t="shared" si="51"/>
        <v>0</v>
      </c>
      <c r="AA199" s="115">
        <f t="shared" si="52"/>
        <v>0</v>
      </c>
      <c r="AB199" s="116"/>
      <c r="AC199" s="136"/>
      <c r="AD199" s="117"/>
      <c r="AE199" s="117"/>
      <c r="AF199" s="117"/>
      <c r="AG199" s="118"/>
      <c r="AH199" s="137"/>
      <c r="AI199" s="137"/>
      <c r="AJ199" s="138"/>
      <c r="AK199" s="654">
        <f t="shared" si="53"/>
        <v>0</v>
      </c>
      <c r="AL199" s="632"/>
      <c r="AM199" s="296"/>
      <c r="AN199" s="449"/>
      <c r="AO199" s="450"/>
      <c r="AP199" s="450"/>
      <c r="AQ199" s="240"/>
      <c r="AR199" s="240"/>
      <c r="AS199" s="240"/>
      <c r="AT199" s="450"/>
      <c r="AU199" s="450"/>
      <c r="AV199" s="450"/>
      <c r="AW199" s="240"/>
      <c r="AX199" s="240"/>
      <c r="AY199" s="240"/>
      <c r="AZ199" s="450"/>
      <c r="BA199" s="450"/>
      <c r="BB199" s="450"/>
      <c r="BC199" s="240"/>
      <c r="BD199" s="240"/>
      <c r="BE199" s="240"/>
      <c r="BF199" s="450"/>
      <c r="BG199" s="450"/>
      <c r="BH199" s="450"/>
      <c r="BI199" s="240"/>
      <c r="BJ199" s="240"/>
      <c r="BK199" s="240"/>
      <c r="BL199" s="450"/>
      <c r="BM199" s="450"/>
      <c r="BN199" s="450"/>
      <c r="BO199" s="240"/>
      <c r="BP199" s="240"/>
      <c r="BQ199" s="240"/>
      <c r="BR199" s="450"/>
      <c r="BS199" s="450"/>
      <c r="BT199" s="450"/>
      <c r="BU199" s="240"/>
      <c r="BV199" s="240"/>
      <c r="BW199" s="241"/>
      <c r="BX199" s="648"/>
      <c r="BY199" s="122" t="e">
        <f t="shared" si="54"/>
        <v>#DIV/0!</v>
      </c>
    </row>
    <row r="200" spans="1:77" s="201" customFormat="1" ht="23.1" hidden="1" customHeight="1" x14ac:dyDescent="0.25">
      <c r="A200" s="230"/>
      <c r="B200" s="231" t="s">
        <v>206</v>
      </c>
      <c r="C200" s="232">
        <v>70</v>
      </c>
      <c r="D200" s="242"/>
      <c r="E200" s="147">
        <f t="shared" si="46"/>
        <v>0</v>
      </c>
      <c r="F200" s="148">
        <f t="shared" si="47"/>
        <v>0</v>
      </c>
      <c r="G200" s="149"/>
      <c r="H200" s="140"/>
      <c r="I200" s="140"/>
      <c r="J200" s="140"/>
      <c r="K200" s="523"/>
      <c r="L200" s="523"/>
      <c r="M200" s="230"/>
      <c r="N200" s="230"/>
      <c r="O200" s="230"/>
      <c r="P200" s="230"/>
      <c r="Q200" s="230"/>
      <c r="R200" s="235"/>
      <c r="S200" s="236"/>
      <c r="T200" s="237"/>
      <c r="U200" s="237"/>
      <c r="V200" s="238"/>
      <c r="W200" s="112">
        <f t="shared" si="48"/>
        <v>0</v>
      </c>
      <c r="X200" s="113">
        <f t="shared" si="49"/>
        <v>0</v>
      </c>
      <c r="Y200" s="114">
        <f t="shared" si="50"/>
        <v>0</v>
      </c>
      <c r="Z200" s="114">
        <f t="shared" si="51"/>
        <v>0</v>
      </c>
      <c r="AA200" s="115">
        <f t="shared" si="52"/>
        <v>0</v>
      </c>
      <c r="AB200" s="116"/>
      <c r="AC200" s="136"/>
      <c r="AD200" s="117"/>
      <c r="AE200" s="117"/>
      <c r="AF200" s="117"/>
      <c r="AG200" s="118"/>
      <c r="AH200" s="137"/>
      <c r="AI200" s="137"/>
      <c r="AJ200" s="138"/>
      <c r="AK200" s="654">
        <f t="shared" si="53"/>
        <v>0</v>
      </c>
      <c r="AL200" s="632"/>
      <c r="AM200" s="296"/>
      <c r="AN200" s="449"/>
      <c r="AO200" s="450"/>
      <c r="AP200" s="450"/>
      <c r="AQ200" s="240"/>
      <c r="AR200" s="240"/>
      <c r="AS200" s="240"/>
      <c r="AT200" s="450"/>
      <c r="AU200" s="450"/>
      <c r="AV200" s="450"/>
      <c r="AW200" s="240"/>
      <c r="AX200" s="240"/>
      <c r="AY200" s="240"/>
      <c r="AZ200" s="450"/>
      <c r="BA200" s="450"/>
      <c r="BB200" s="450"/>
      <c r="BC200" s="240"/>
      <c r="BD200" s="240"/>
      <c r="BE200" s="240"/>
      <c r="BF200" s="450"/>
      <c r="BG200" s="450"/>
      <c r="BH200" s="450"/>
      <c r="BI200" s="240"/>
      <c r="BJ200" s="240"/>
      <c r="BK200" s="240"/>
      <c r="BL200" s="450"/>
      <c r="BM200" s="450"/>
      <c r="BN200" s="450"/>
      <c r="BO200" s="240"/>
      <c r="BP200" s="240"/>
      <c r="BQ200" s="240"/>
      <c r="BR200" s="450"/>
      <c r="BS200" s="450"/>
      <c r="BT200" s="450"/>
      <c r="BU200" s="240"/>
      <c r="BV200" s="240"/>
      <c r="BW200" s="241"/>
      <c r="BX200" s="648"/>
      <c r="BY200" s="122" t="e">
        <f t="shared" si="54"/>
        <v>#DIV/0!</v>
      </c>
    </row>
    <row r="201" spans="1:77" s="201" customFormat="1" ht="23.1" hidden="1" customHeight="1" x14ac:dyDescent="0.25">
      <c r="A201" s="230"/>
      <c r="B201" s="231" t="s">
        <v>206</v>
      </c>
      <c r="C201" s="232">
        <v>71</v>
      </c>
      <c r="D201" s="242"/>
      <c r="E201" s="147">
        <f t="shared" si="46"/>
        <v>0</v>
      </c>
      <c r="F201" s="148">
        <f t="shared" si="47"/>
        <v>0</v>
      </c>
      <c r="G201" s="149"/>
      <c r="H201" s="140"/>
      <c r="I201" s="140"/>
      <c r="J201" s="140"/>
      <c r="K201" s="523"/>
      <c r="L201" s="523"/>
      <c r="M201" s="230"/>
      <c r="N201" s="230"/>
      <c r="O201" s="230"/>
      <c r="P201" s="230"/>
      <c r="Q201" s="230"/>
      <c r="R201" s="235"/>
      <c r="S201" s="236"/>
      <c r="T201" s="237"/>
      <c r="U201" s="237"/>
      <c r="V201" s="238"/>
      <c r="W201" s="112">
        <f t="shared" si="48"/>
        <v>0</v>
      </c>
      <c r="X201" s="113">
        <f t="shared" si="49"/>
        <v>0</v>
      </c>
      <c r="Y201" s="114">
        <f t="shared" si="50"/>
        <v>0</v>
      </c>
      <c r="Z201" s="114">
        <f t="shared" si="51"/>
        <v>0</v>
      </c>
      <c r="AA201" s="115">
        <f t="shared" si="52"/>
        <v>0</v>
      </c>
      <c r="AB201" s="116"/>
      <c r="AC201" s="136"/>
      <c r="AD201" s="117"/>
      <c r="AE201" s="117"/>
      <c r="AF201" s="117"/>
      <c r="AG201" s="118"/>
      <c r="AH201" s="137"/>
      <c r="AI201" s="137"/>
      <c r="AJ201" s="138"/>
      <c r="AK201" s="654">
        <f t="shared" si="53"/>
        <v>0</v>
      </c>
      <c r="AL201" s="632"/>
      <c r="AM201" s="296"/>
      <c r="AN201" s="449"/>
      <c r="AO201" s="450"/>
      <c r="AP201" s="450"/>
      <c r="AQ201" s="240"/>
      <c r="AR201" s="240"/>
      <c r="AS201" s="240"/>
      <c r="AT201" s="450"/>
      <c r="AU201" s="450"/>
      <c r="AV201" s="450"/>
      <c r="AW201" s="240"/>
      <c r="AX201" s="240"/>
      <c r="AY201" s="240"/>
      <c r="AZ201" s="450"/>
      <c r="BA201" s="450"/>
      <c r="BB201" s="450"/>
      <c r="BC201" s="240"/>
      <c r="BD201" s="240"/>
      <c r="BE201" s="240"/>
      <c r="BF201" s="450"/>
      <c r="BG201" s="450"/>
      <c r="BH201" s="450"/>
      <c r="BI201" s="240"/>
      <c r="BJ201" s="240"/>
      <c r="BK201" s="240"/>
      <c r="BL201" s="450"/>
      <c r="BM201" s="450"/>
      <c r="BN201" s="450"/>
      <c r="BO201" s="240"/>
      <c r="BP201" s="240"/>
      <c r="BQ201" s="240"/>
      <c r="BR201" s="450"/>
      <c r="BS201" s="450"/>
      <c r="BT201" s="450"/>
      <c r="BU201" s="240"/>
      <c r="BV201" s="240"/>
      <c r="BW201" s="241"/>
      <c r="BX201" s="648"/>
      <c r="BY201" s="122" t="e">
        <f t="shared" si="54"/>
        <v>#DIV/0!</v>
      </c>
    </row>
    <row r="202" spans="1:77" s="201" customFormat="1" ht="23.1" hidden="1" customHeight="1" x14ac:dyDescent="0.25">
      <c r="A202" s="230"/>
      <c r="B202" s="231" t="s">
        <v>206</v>
      </c>
      <c r="C202" s="232">
        <v>72</v>
      </c>
      <c r="D202" s="242"/>
      <c r="E202" s="147">
        <f t="shared" si="46"/>
        <v>0</v>
      </c>
      <c r="F202" s="148">
        <f t="shared" si="47"/>
        <v>0</v>
      </c>
      <c r="G202" s="149"/>
      <c r="H202" s="140"/>
      <c r="I202" s="140"/>
      <c r="J202" s="140"/>
      <c r="K202" s="523"/>
      <c r="L202" s="523"/>
      <c r="M202" s="230"/>
      <c r="N202" s="230"/>
      <c r="O202" s="230"/>
      <c r="P202" s="230"/>
      <c r="Q202" s="230"/>
      <c r="R202" s="235"/>
      <c r="S202" s="236"/>
      <c r="T202" s="237"/>
      <c r="U202" s="237"/>
      <c r="V202" s="238"/>
      <c r="W202" s="112">
        <f t="shared" si="48"/>
        <v>0</v>
      </c>
      <c r="X202" s="113">
        <f t="shared" si="49"/>
        <v>0</v>
      </c>
      <c r="Y202" s="114">
        <f t="shared" si="50"/>
        <v>0</v>
      </c>
      <c r="Z202" s="114">
        <f t="shared" si="51"/>
        <v>0</v>
      </c>
      <c r="AA202" s="115">
        <f t="shared" si="52"/>
        <v>0</v>
      </c>
      <c r="AB202" s="116"/>
      <c r="AC202" s="136"/>
      <c r="AD202" s="117"/>
      <c r="AE202" s="117"/>
      <c r="AF202" s="117"/>
      <c r="AG202" s="118"/>
      <c r="AH202" s="137"/>
      <c r="AI202" s="137"/>
      <c r="AJ202" s="138"/>
      <c r="AK202" s="654">
        <f t="shared" si="53"/>
        <v>0</v>
      </c>
      <c r="AL202" s="632"/>
      <c r="AM202" s="296"/>
      <c r="AN202" s="449"/>
      <c r="AO202" s="450"/>
      <c r="AP202" s="450"/>
      <c r="AQ202" s="240"/>
      <c r="AR202" s="240"/>
      <c r="AS202" s="240"/>
      <c r="AT202" s="450"/>
      <c r="AU202" s="450"/>
      <c r="AV202" s="450"/>
      <c r="AW202" s="240"/>
      <c r="AX202" s="240"/>
      <c r="AY202" s="240"/>
      <c r="AZ202" s="450"/>
      <c r="BA202" s="450"/>
      <c r="BB202" s="450"/>
      <c r="BC202" s="240"/>
      <c r="BD202" s="240"/>
      <c r="BE202" s="240"/>
      <c r="BF202" s="450"/>
      <c r="BG202" s="450"/>
      <c r="BH202" s="450"/>
      <c r="BI202" s="240"/>
      <c r="BJ202" s="240"/>
      <c r="BK202" s="240"/>
      <c r="BL202" s="450"/>
      <c r="BM202" s="450"/>
      <c r="BN202" s="450"/>
      <c r="BO202" s="240"/>
      <c r="BP202" s="240"/>
      <c r="BQ202" s="240"/>
      <c r="BR202" s="450"/>
      <c r="BS202" s="450"/>
      <c r="BT202" s="450"/>
      <c r="BU202" s="240"/>
      <c r="BV202" s="240"/>
      <c r="BW202" s="241"/>
      <c r="BX202" s="648"/>
      <c r="BY202" s="122" t="e">
        <f t="shared" si="54"/>
        <v>#DIV/0!</v>
      </c>
    </row>
    <row r="203" spans="1:77" s="201" customFormat="1" ht="33" hidden="1" customHeight="1" x14ac:dyDescent="0.25">
      <c r="A203" s="140"/>
      <c r="B203" s="231" t="s">
        <v>206</v>
      </c>
      <c r="C203" s="232">
        <v>73</v>
      </c>
      <c r="D203" s="242"/>
      <c r="E203" s="147">
        <f t="shared" si="46"/>
        <v>0</v>
      </c>
      <c r="F203" s="148">
        <f t="shared" si="47"/>
        <v>0</v>
      </c>
      <c r="G203" s="149"/>
      <c r="H203" s="140"/>
      <c r="I203" s="140"/>
      <c r="J203" s="140"/>
      <c r="K203" s="523"/>
      <c r="L203" s="523"/>
      <c r="M203" s="230"/>
      <c r="N203" s="230"/>
      <c r="O203" s="230"/>
      <c r="P203" s="230"/>
      <c r="Q203" s="230"/>
      <c r="R203" s="235"/>
      <c r="S203" s="236"/>
      <c r="T203" s="237"/>
      <c r="U203" s="237"/>
      <c r="V203" s="238"/>
      <c r="W203" s="112">
        <f t="shared" si="48"/>
        <v>0</v>
      </c>
      <c r="X203" s="113">
        <f t="shared" si="49"/>
        <v>0</v>
      </c>
      <c r="Y203" s="114">
        <f t="shared" si="50"/>
        <v>0</v>
      </c>
      <c r="Z203" s="114">
        <f t="shared" si="51"/>
        <v>0</v>
      </c>
      <c r="AA203" s="115">
        <f t="shared" si="52"/>
        <v>0</v>
      </c>
      <c r="AB203" s="116"/>
      <c r="AC203" s="136"/>
      <c r="AD203" s="117"/>
      <c r="AE203" s="117"/>
      <c r="AF203" s="117"/>
      <c r="AG203" s="118"/>
      <c r="AH203" s="137"/>
      <c r="AI203" s="137"/>
      <c r="AJ203" s="138"/>
      <c r="AK203" s="654">
        <f t="shared" si="53"/>
        <v>0</v>
      </c>
      <c r="AL203" s="632"/>
      <c r="AM203" s="296"/>
      <c r="AN203" s="449"/>
      <c r="AO203" s="450"/>
      <c r="AP203" s="450"/>
      <c r="AQ203" s="240"/>
      <c r="AR203" s="240"/>
      <c r="AS203" s="240"/>
      <c r="AT203" s="450"/>
      <c r="AU203" s="450"/>
      <c r="AV203" s="450"/>
      <c r="AW203" s="240"/>
      <c r="AX203" s="240"/>
      <c r="AY203" s="240"/>
      <c r="AZ203" s="450"/>
      <c r="BA203" s="450"/>
      <c r="BB203" s="450"/>
      <c r="BC203" s="240"/>
      <c r="BD203" s="240"/>
      <c r="BE203" s="240"/>
      <c r="BF203" s="450"/>
      <c r="BG203" s="450"/>
      <c r="BH203" s="450"/>
      <c r="BI203" s="240"/>
      <c r="BJ203" s="240"/>
      <c r="BK203" s="240"/>
      <c r="BL203" s="450"/>
      <c r="BM203" s="450"/>
      <c r="BN203" s="450"/>
      <c r="BO203" s="240"/>
      <c r="BP203" s="240"/>
      <c r="BQ203" s="240"/>
      <c r="BR203" s="450"/>
      <c r="BS203" s="450"/>
      <c r="BT203" s="450"/>
      <c r="BU203" s="240"/>
      <c r="BV203" s="240"/>
      <c r="BW203" s="241"/>
      <c r="BX203" s="648"/>
      <c r="BY203" s="122" t="e">
        <f t="shared" si="54"/>
        <v>#DIV/0!</v>
      </c>
    </row>
    <row r="204" spans="1:77" s="282" customFormat="1" ht="33" customHeight="1" x14ac:dyDescent="0.25">
      <c r="A204" s="283"/>
      <c r="B204" s="284"/>
      <c r="C204" s="284"/>
      <c r="D204" s="127" t="s">
        <v>118</v>
      </c>
      <c r="E204" s="285"/>
      <c r="F204" s="286">
        <f>W204</f>
        <v>328</v>
      </c>
      <c r="G204" s="149"/>
      <c r="H204" s="140"/>
      <c r="I204" s="140"/>
      <c r="J204" s="140"/>
      <c r="K204" s="523"/>
      <c r="L204" s="523"/>
      <c r="M204" s="230"/>
      <c r="N204" s="230"/>
      <c r="O204" s="140"/>
      <c r="P204" s="140"/>
      <c r="Q204" s="140"/>
      <c r="R204" s="150"/>
      <c r="S204" s="151" t="s">
        <v>116</v>
      </c>
      <c r="T204" s="152"/>
      <c r="U204" s="152">
        <v>34567</v>
      </c>
      <c r="V204" s="153" t="s">
        <v>116</v>
      </c>
      <c r="W204" s="112">
        <v>328</v>
      </c>
      <c r="X204" s="113">
        <f t="shared" ref="X204:X209" si="55">SUM(Y204:AA204)</f>
        <v>328</v>
      </c>
      <c r="Y204" s="114">
        <f>AN204+AQ204+AT204+AW204+AZ204+BC204+BF204+BI204+BL204+BO204+BR204+BU204</f>
        <v>0</v>
      </c>
      <c r="Z204" s="114">
        <f>AO204+AR204+AU204+AX204+BA204+BD204+BG204+BJ204+BM204+BP204+BS204+BV204</f>
        <v>0</v>
      </c>
      <c r="AA204" s="115">
        <f>AP204+AS204+AV204+AY204+BB204+BE204+BH204+BK204+BN204+BQ204+BT204+BW204</f>
        <v>328</v>
      </c>
      <c r="AB204" s="116"/>
      <c r="AC204" s="136"/>
      <c r="AD204" s="117"/>
      <c r="AE204" s="117"/>
      <c r="AF204" s="117"/>
      <c r="AG204" s="118"/>
      <c r="AH204" s="137"/>
      <c r="AI204" s="137"/>
      <c r="AJ204" s="138"/>
      <c r="AK204" s="654"/>
      <c r="AL204" s="632"/>
      <c r="AM204" s="296"/>
      <c r="AN204" s="443"/>
      <c r="AO204" s="618"/>
      <c r="AP204" s="618"/>
      <c r="AQ204" s="611"/>
      <c r="AR204" s="611"/>
      <c r="AS204" s="611"/>
      <c r="AT204" s="618"/>
      <c r="AU204" s="618"/>
      <c r="AV204" s="618">
        <v>72</v>
      </c>
      <c r="AW204" s="611"/>
      <c r="AX204" s="611"/>
      <c r="AY204" s="611">
        <v>72</v>
      </c>
      <c r="AZ204" s="618"/>
      <c r="BA204" s="618"/>
      <c r="BB204" s="618">
        <v>72</v>
      </c>
      <c r="BC204" s="611"/>
      <c r="BD204" s="611"/>
      <c r="BE204" s="611">
        <v>56</v>
      </c>
      <c r="BF204" s="618">
        <v>0</v>
      </c>
      <c r="BG204" s="618">
        <v>0</v>
      </c>
      <c r="BH204" s="618">
        <v>56</v>
      </c>
      <c r="BI204" s="611">
        <v>0</v>
      </c>
      <c r="BJ204" s="611">
        <v>0</v>
      </c>
      <c r="BK204" s="611"/>
      <c r="BL204" s="618"/>
      <c r="BM204" s="618"/>
      <c r="BN204" s="618"/>
      <c r="BO204" s="611"/>
      <c r="BP204" s="611"/>
      <c r="BQ204" s="611"/>
      <c r="BR204" s="618"/>
      <c r="BS204" s="618"/>
      <c r="BT204" s="618"/>
      <c r="BU204" s="611"/>
      <c r="BV204" s="611"/>
      <c r="BW204" s="155"/>
      <c r="BX204" s="202" t="s">
        <v>307</v>
      </c>
      <c r="BY204" s="122">
        <f>X204/F204*100</f>
        <v>100</v>
      </c>
    </row>
    <row r="205" spans="1:77" s="282" customFormat="1" ht="33" customHeight="1" x14ac:dyDescent="0.25">
      <c r="A205" s="287"/>
      <c r="B205" s="287"/>
      <c r="C205" s="287"/>
      <c r="D205" s="288" t="s">
        <v>195</v>
      </c>
      <c r="E205" s="289">
        <f>E21+E95</f>
        <v>213</v>
      </c>
      <c r="F205" s="290">
        <f>E205*36</f>
        <v>7668</v>
      </c>
      <c r="G205" s="291">
        <f>SUM(G19:G144)</f>
        <v>30</v>
      </c>
      <c r="H205" s="291">
        <f>SUM(H19:H144)</f>
        <v>30</v>
      </c>
      <c r="I205" s="291">
        <f>SUM(I19:I144)-30</f>
        <v>27</v>
      </c>
      <c r="J205" s="291">
        <f t="shared" ref="J205:R205" si="56">SUM(J19:J144)</f>
        <v>30</v>
      </c>
      <c r="K205" s="289">
        <f t="shared" si="56"/>
        <v>32</v>
      </c>
      <c r="L205" s="289">
        <f t="shared" si="56"/>
        <v>24</v>
      </c>
      <c r="M205" s="291">
        <f t="shared" si="56"/>
        <v>23</v>
      </c>
      <c r="N205" s="291">
        <f t="shared" si="56"/>
        <v>17</v>
      </c>
      <c r="O205" s="291">
        <f t="shared" si="56"/>
        <v>0</v>
      </c>
      <c r="P205" s="291">
        <f t="shared" si="56"/>
        <v>0</v>
      </c>
      <c r="Q205" s="291">
        <f t="shared" si="56"/>
        <v>0</v>
      </c>
      <c r="R205" s="291">
        <f t="shared" si="56"/>
        <v>0</v>
      </c>
      <c r="S205" s="292"/>
      <c r="T205" s="293"/>
      <c r="U205" s="293"/>
      <c r="V205" s="294"/>
      <c r="W205" s="112">
        <f t="shared" ref="W205:W209" si="57">X205+X205*0.1</f>
        <v>3440.8</v>
      </c>
      <c r="X205" s="670">
        <f t="shared" si="55"/>
        <v>3128</v>
      </c>
      <c r="Y205" s="289">
        <f>SUM(Y19:Y144)-184</f>
        <v>1240</v>
      </c>
      <c r="Z205" s="672">
        <f>SUM(Z19:Z144)</f>
        <v>960</v>
      </c>
      <c r="AA205" s="544">
        <f>SUM(AA19:AA144)-24-320</f>
        <v>928</v>
      </c>
      <c r="AB205" s="541"/>
      <c r="AC205" s="542"/>
      <c r="AD205" s="542"/>
      <c r="AE205" s="542"/>
      <c r="AF205" s="542"/>
      <c r="AG205" s="542"/>
      <c r="AH205" s="542"/>
      <c r="AI205" s="542"/>
      <c r="AJ205" s="542"/>
      <c r="AK205" s="656">
        <f>F205-W205</f>
        <v>4227.2</v>
      </c>
      <c r="AL205" s="656"/>
      <c r="AM205" s="543"/>
      <c r="AN205" s="540">
        <f t="shared" ref="AN205:AS205" si="58">SUM(AN19:AN144)</f>
        <v>208</v>
      </c>
      <c r="AO205" s="544">
        <f t="shared" si="58"/>
        <v>112</v>
      </c>
      <c r="AP205" s="544">
        <f t="shared" si="58"/>
        <v>180</v>
      </c>
      <c r="AQ205" s="544">
        <f t="shared" si="58"/>
        <v>176</v>
      </c>
      <c r="AR205" s="544">
        <f t="shared" si="58"/>
        <v>144</v>
      </c>
      <c r="AS205" s="544">
        <f t="shared" si="58"/>
        <v>180</v>
      </c>
      <c r="AT205" s="544">
        <f>SUM(AT19:AT144)-192</f>
        <v>128</v>
      </c>
      <c r="AU205" s="544">
        <f>SUM(AU19:AU144)</f>
        <v>96</v>
      </c>
      <c r="AV205" s="544">
        <f>SUM(AV19:AV144)-384</f>
        <v>112</v>
      </c>
      <c r="AW205" s="544">
        <f t="shared" ref="AW205:BB205" si="59">SUM(AW19:AW144)</f>
        <v>208</v>
      </c>
      <c r="AX205" s="544">
        <f t="shared" si="59"/>
        <v>176</v>
      </c>
      <c r="AY205" s="544">
        <f t="shared" si="59"/>
        <v>112</v>
      </c>
      <c r="AZ205" s="544">
        <f t="shared" si="59"/>
        <v>192</v>
      </c>
      <c r="BA205" s="544">
        <f t="shared" si="59"/>
        <v>160</v>
      </c>
      <c r="BB205" s="544">
        <f t="shared" si="59"/>
        <v>112</v>
      </c>
      <c r="BC205" s="544">
        <f>SUM(BC19:BC144)-24</f>
        <v>88</v>
      </c>
      <c r="BD205" s="544">
        <f>SUM(BD19:BD144)</f>
        <v>96</v>
      </c>
      <c r="BE205" s="544">
        <f>SUM(BE19:BE144)-24</f>
        <v>88</v>
      </c>
      <c r="BF205" s="544">
        <f t="shared" ref="BF205:BW205" si="60">SUM(BF19:BF144)</f>
        <v>144</v>
      </c>
      <c r="BG205" s="544">
        <f t="shared" si="60"/>
        <v>128</v>
      </c>
      <c r="BH205" s="544">
        <f t="shared" si="60"/>
        <v>32</v>
      </c>
      <c r="BI205" s="544">
        <f t="shared" si="60"/>
        <v>96</v>
      </c>
      <c r="BJ205" s="544">
        <f t="shared" si="60"/>
        <v>112</v>
      </c>
      <c r="BK205" s="544">
        <f t="shared" si="60"/>
        <v>0</v>
      </c>
      <c r="BL205" s="291">
        <f t="shared" si="60"/>
        <v>0</v>
      </c>
      <c r="BM205" s="291">
        <f t="shared" si="60"/>
        <v>0</v>
      </c>
      <c r="BN205" s="291">
        <f t="shared" si="60"/>
        <v>0</v>
      </c>
      <c r="BO205" s="291">
        <f t="shared" si="60"/>
        <v>0</v>
      </c>
      <c r="BP205" s="291">
        <f t="shared" si="60"/>
        <v>0</v>
      </c>
      <c r="BQ205" s="291">
        <f t="shared" si="60"/>
        <v>0</v>
      </c>
      <c r="BR205" s="291">
        <f t="shared" si="60"/>
        <v>0</v>
      </c>
      <c r="BS205" s="291">
        <f t="shared" si="60"/>
        <v>0</v>
      </c>
      <c r="BT205" s="291">
        <f t="shared" si="60"/>
        <v>0</v>
      </c>
      <c r="BU205" s="291">
        <f t="shared" si="60"/>
        <v>0</v>
      </c>
      <c r="BV205" s="291">
        <f t="shared" si="60"/>
        <v>0</v>
      </c>
      <c r="BW205" s="663">
        <f t="shared" si="60"/>
        <v>0</v>
      </c>
      <c r="BX205" s="394"/>
      <c r="BY205" s="297"/>
    </row>
    <row r="206" spans="1:77" s="282" customFormat="1" ht="33" customHeight="1" x14ac:dyDescent="0.25">
      <c r="A206" s="298"/>
      <c r="B206" s="298"/>
      <c r="C206" s="298"/>
      <c r="D206" s="299" t="s">
        <v>196</v>
      </c>
      <c r="E206" s="300">
        <f>E21+E95</f>
        <v>213</v>
      </c>
      <c r="F206" s="301">
        <f>E206*36</f>
        <v>7668</v>
      </c>
      <c r="G206" s="302">
        <f>SUM(G20:G130)+SUM(G146:G158)</f>
        <v>30</v>
      </c>
      <c r="H206" s="302">
        <f>SUM(H20:H130)+SUM(H146:H158)</f>
        <v>30</v>
      </c>
      <c r="I206" s="302">
        <f>SUM(I20:I130)+SUM(I146:I158)-30</f>
        <v>27</v>
      </c>
      <c r="J206" s="302">
        <f t="shared" ref="J206:R206" si="61">SUM(J20:J130)+SUM(J146:J158)</f>
        <v>29</v>
      </c>
      <c r="K206" s="289">
        <f t="shared" si="61"/>
        <v>33</v>
      </c>
      <c r="L206" s="289">
        <f t="shared" si="61"/>
        <v>24</v>
      </c>
      <c r="M206" s="302">
        <f t="shared" si="61"/>
        <v>23</v>
      </c>
      <c r="N206" s="302">
        <f t="shared" si="61"/>
        <v>17</v>
      </c>
      <c r="O206" s="302">
        <f t="shared" si="61"/>
        <v>0</v>
      </c>
      <c r="P206" s="302">
        <f t="shared" si="61"/>
        <v>0</v>
      </c>
      <c r="Q206" s="302">
        <f t="shared" si="61"/>
        <v>0</v>
      </c>
      <c r="R206" s="302">
        <f t="shared" si="61"/>
        <v>0</v>
      </c>
      <c r="S206" s="303"/>
      <c r="T206" s="304"/>
      <c r="U206" s="304"/>
      <c r="V206" s="305"/>
      <c r="W206" s="203">
        <f t="shared" si="57"/>
        <v>3476</v>
      </c>
      <c r="X206" s="671">
        <f t="shared" si="55"/>
        <v>3160</v>
      </c>
      <c r="Y206" s="289">
        <f>SUM(Y20:Y130)+SUM(Y146:Y158)-184</f>
        <v>1256</v>
      </c>
      <c r="Z206" s="672">
        <f>SUM(Z20:Z130)+SUM(Z146:Z158)</f>
        <v>976</v>
      </c>
      <c r="AA206" s="549">
        <f>SUM(AA20:AA130)+SUM(AA146:AA158)-320-24</f>
        <v>928</v>
      </c>
      <c r="AB206" s="546"/>
      <c r="AC206" s="547"/>
      <c r="AD206" s="547"/>
      <c r="AE206" s="547"/>
      <c r="AF206" s="547"/>
      <c r="AG206" s="547"/>
      <c r="AH206" s="547"/>
      <c r="AI206" s="547"/>
      <c r="AJ206" s="547"/>
      <c r="AK206" s="657">
        <f>F206-W206</f>
        <v>4192</v>
      </c>
      <c r="AL206" s="657"/>
      <c r="AM206" s="548"/>
      <c r="AN206" s="545">
        <f t="shared" ref="AN206:AS206" si="62">SUM(AN20:AN130)+SUM(AN146:AN158)</f>
        <v>208</v>
      </c>
      <c r="AO206" s="549">
        <f t="shared" si="62"/>
        <v>112</v>
      </c>
      <c r="AP206" s="549">
        <f t="shared" si="62"/>
        <v>180</v>
      </c>
      <c r="AQ206" s="549">
        <f t="shared" si="62"/>
        <v>176</v>
      </c>
      <c r="AR206" s="549">
        <f t="shared" si="62"/>
        <v>144</v>
      </c>
      <c r="AS206" s="549">
        <f t="shared" si="62"/>
        <v>180</v>
      </c>
      <c r="AT206" s="549">
        <f>SUM(AT20:AT130)+SUM(AT146:AT158)-192</f>
        <v>128</v>
      </c>
      <c r="AU206" s="549">
        <f>SUM(AU20:AU130)+SUM(AU146:AU158)</f>
        <v>96</v>
      </c>
      <c r="AV206" s="549">
        <f>SUM(AV20:AV130)+SUM(AV146:AV158)-384</f>
        <v>112</v>
      </c>
      <c r="AW206" s="549">
        <f t="shared" ref="AW206:BB206" si="63">SUM(AW20:AW130)+SUM(AW146:AW158)</f>
        <v>192</v>
      </c>
      <c r="AX206" s="549">
        <f t="shared" si="63"/>
        <v>160</v>
      </c>
      <c r="AY206" s="549">
        <f t="shared" si="63"/>
        <v>112</v>
      </c>
      <c r="AZ206" s="549">
        <f t="shared" si="63"/>
        <v>192</v>
      </c>
      <c r="BA206" s="549">
        <f t="shared" si="63"/>
        <v>160</v>
      </c>
      <c r="BB206" s="549">
        <f t="shared" si="63"/>
        <v>112</v>
      </c>
      <c r="BC206" s="549">
        <f>SUM(BC20:BC130)+SUM(BC146:BC158)-24</f>
        <v>88</v>
      </c>
      <c r="BD206" s="549">
        <f>SUM(BD20:BD130)+SUM(BD146:BD158)</f>
        <v>96</v>
      </c>
      <c r="BE206" s="549">
        <f>SUM(BE20:BE130)+SUM(BE146:BE158)-24</f>
        <v>88</v>
      </c>
      <c r="BF206" s="549">
        <f t="shared" ref="BF206:BW206" si="64">SUM(BF20:BF130)+SUM(BF146:BF158)</f>
        <v>144</v>
      </c>
      <c r="BG206" s="549">
        <f t="shared" si="64"/>
        <v>128</v>
      </c>
      <c r="BH206" s="549">
        <f t="shared" si="64"/>
        <v>32</v>
      </c>
      <c r="BI206" s="549">
        <f t="shared" si="64"/>
        <v>96</v>
      </c>
      <c r="BJ206" s="549">
        <f t="shared" si="64"/>
        <v>112</v>
      </c>
      <c r="BK206" s="549">
        <f t="shared" si="64"/>
        <v>0</v>
      </c>
      <c r="BL206" s="302">
        <f t="shared" si="64"/>
        <v>0</v>
      </c>
      <c r="BM206" s="302">
        <f t="shared" si="64"/>
        <v>0</v>
      </c>
      <c r="BN206" s="302">
        <f t="shared" si="64"/>
        <v>0</v>
      </c>
      <c r="BO206" s="302">
        <f t="shared" si="64"/>
        <v>0</v>
      </c>
      <c r="BP206" s="302">
        <f t="shared" si="64"/>
        <v>0</v>
      </c>
      <c r="BQ206" s="302">
        <f t="shared" si="64"/>
        <v>0</v>
      </c>
      <c r="BR206" s="302">
        <f t="shared" si="64"/>
        <v>0</v>
      </c>
      <c r="BS206" s="302">
        <f t="shared" si="64"/>
        <v>0</v>
      </c>
      <c r="BT206" s="302">
        <f t="shared" si="64"/>
        <v>0</v>
      </c>
      <c r="BU206" s="302">
        <f t="shared" si="64"/>
        <v>0</v>
      </c>
      <c r="BV206" s="302">
        <f t="shared" si="64"/>
        <v>0</v>
      </c>
      <c r="BW206" s="664">
        <f t="shared" si="64"/>
        <v>0</v>
      </c>
      <c r="BX206" s="397"/>
      <c r="BY206" s="309"/>
    </row>
    <row r="207" spans="1:77" ht="33" hidden="1" customHeight="1" x14ac:dyDescent="0.25">
      <c r="A207" s="310"/>
      <c r="B207" s="310"/>
      <c r="C207" s="311"/>
      <c r="D207" s="299" t="s">
        <v>197</v>
      </c>
      <c r="E207" s="300">
        <f>E21+E95</f>
        <v>213</v>
      </c>
      <c r="F207" s="301">
        <f>E207*36</f>
        <v>7668</v>
      </c>
      <c r="G207" s="302">
        <f>SUM(G20:G130)+SUM(G160:G175)</f>
        <v>30</v>
      </c>
      <c r="H207" s="302">
        <f>SUM(H20:H130)+SUM(H160:H175)</f>
        <v>30</v>
      </c>
      <c r="I207" s="302">
        <f>SUM(I20:I130)+SUM(I160:I175)-30</f>
        <v>27</v>
      </c>
      <c r="J207" s="302">
        <f>SUM(J20:J130)+SUM(J160:J175)</f>
        <v>11</v>
      </c>
      <c r="K207" s="289">
        <f>SUM(K20:K130)+SUM(K160:K175)</f>
        <v>20</v>
      </c>
      <c r="L207" s="289">
        <f>SUM(L20:L130)+SUM(L160:L175)-6</f>
        <v>15</v>
      </c>
      <c r="M207" s="302">
        <f>SUM(M20:M130)+SUM(M160:M175)</f>
        <v>23</v>
      </c>
      <c r="N207" s="302">
        <f>SUM(N20:N130)+SUM(N160:N175)</f>
        <v>10</v>
      </c>
      <c r="O207" s="302">
        <f t="shared" ref="O207:R209" si="65">SUM(O21:O131)+SUM(O147:O204)</f>
        <v>0</v>
      </c>
      <c r="P207" s="302">
        <f t="shared" si="65"/>
        <v>0</v>
      </c>
      <c r="Q207" s="302">
        <f t="shared" si="65"/>
        <v>0</v>
      </c>
      <c r="R207" s="302">
        <f t="shared" si="65"/>
        <v>0</v>
      </c>
      <c r="S207" s="303"/>
      <c r="T207" s="304"/>
      <c r="U207" s="304"/>
      <c r="V207" s="305"/>
      <c r="W207" s="203">
        <f t="shared" si="57"/>
        <v>2789.6</v>
      </c>
      <c r="X207" s="306">
        <f t="shared" si="55"/>
        <v>2536</v>
      </c>
      <c r="Y207" s="306">
        <f>SUM(Y20:Y130)+SUM(Y160:Y175)-344</f>
        <v>808</v>
      </c>
      <c r="Z207" s="545">
        <f>SUM(Z20:Z130)+SUM(Z160:Z175)</f>
        <v>656</v>
      </c>
      <c r="AA207" s="545">
        <f>SUM(AA20:AA130)+SUM(AA160:AA175)-160-24</f>
        <v>1072</v>
      </c>
      <c r="AB207" s="546"/>
      <c r="AC207" s="547"/>
      <c r="AD207" s="547"/>
      <c r="AE207" s="547"/>
      <c r="AF207" s="547"/>
      <c r="AG207" s="547"/>
      <c r="AH207" s="547"/>
      <c r="AI207" s="547"/>
      <c r="AJ207" s="547"/>
      <c r="AK207" s="657">
        <f>F207-W207</f>
        <v>4878.3999999999996</v>
      </c>
      <c r="AL207" s="657"/>
      <c r="AM207" s="548"/>
      <c r="AN207" s="545">
        <f t="shared" ref="AN207:AS207" si="66">SUM(AN20:AN130)+SUM(AN160:AN175)</f>
        <v>208</v>
      </c>
      <c r="AO207" s="549">
        <f t="shared" si="66"/>
        <v>112</v>
      </c>
      <c r="AP207" s="549">
        <f t="shared" si="66"/>
        <v>180</v>
      </c>
      <c r="AQ207" s="549">
        <f t="shared" si="66"/>
        <v>176</v>
      </c>
      <c r="AR207" s="549">
        <f t="shared" si="66"/>
        <v>144</v>
      </c>
      <c r="AS207" s="549">
        <f t="shared" si="66"/>
        <v>180</v>
      </c>
      <c r="AT207" s="549">
        <f>SUM(AT20:AT130)+SUM(AT160:AT175)-320</f>
        <v>0</v>
      </c>
      <c r="AU207" s="549">
        <f>SUM(AU20:AU130)+SUM(AU160:AU175)</f>
        <v>96</v>
      </c>
      <c r="AV207" s="549">
        <f>SUM(AV20:AV130)+SUM(AV160:AV175)-160</f>
        <v>336</v>
      </c>
      <c r="AW207" s="549">
        <f t="shared" ref="AW207:BB207" si="67">SUM(AW20:AW130)+SUM(AW160:AW175)</f>
        <v>64</v>
      </c>
      <c r="AX207" s="549">
        <f t="shared" si="67"/>
        <v>32</v>
      </c>
      <c r="AY207" s="549">
        <f t="shared" si="67"/>
        <v>96</v>
      </c>
      <c r="AZ207" s="549">
        <f t="shared" si="67"/>
        <v>96</v>
      </c>
      <c r="BA207" s="549">
        <f t="shared" si="67"/>
        <v>64</v>
      </c>
      <c r="BB207" s="549">
        <f t="shared" si="67"/>
        <v>112</v>
      </c>
      <c r="BC207" s="549">
        <f>SUM(BC20:BC130)+SUM(BC160:BC175)-24</f>
        <v>72</v>
      </c>
      <c r="BD207" s="549">
        <f>SUM(BD20:BD130)+SUM(BD160:BD175)</f>
        <v>64</v>
      </c>
      <c r="BE207" s="549">
        <f>SUM(BE20:BE130)+SUM(BE160:BE175)-24</f>
        <v>88</v>
      </c>
      <c r="BF207" s="549">
        <f t="shared" ref="BF207:BK207" si="68">SUM(BF20:BF130)+SUM(BF160:BF175)</f>
        <v>144</v>
      </c>
      <c r="BG207" s="549">
        <f t="shared" si="68"/>
        <v>128</v>
      </c>
      <c r="BH207" s="549">
        <f t="shared" si="68"/>
        <v>32</v>
      </c>
      <c r="BI207" s="549">
        <f t="shared" si="68"/>
        <v>48</v>
      </c>
      <c r="BJ207" s="549">
        <f t="shared" si="68"/>
        <v>48</v>
      </c>
      <c r="BK207" s="549">
        <f t="shared" si="68"/>
        <v>0</v>
      </c>
      <c r="BL207" s="302">
        <f t="shared" ref="BL207:BW207" si="69">SUM(BL21:BL131)+SUM(BL147:BL204)</f>
        <v>0</v>
      </c>
      <c r="BM207" s="302">
        <f t="shared" si="69"/>
        <v>0</v>
      </c>
      <c r="BN207" s="302">
        <f t="shared" si="69"/>
        <v>0</v>
      </c>
      <c r="BO207" s="302">
        <f t="shared" si="69"/>
        <v>0</v>
      </c>
      <c r="BP207" s="302">
        <f t="shared" si="69"/>
        <v>0</v>
      </c>
      <c r="BQ207" s="302">
        <f t="shared" si="69"/>
        <v>0</v>
      </c>
      <c r="BR207" s="302">
        <f t="shared" si="69"/>
        <v>0</v>
      </c>
      <c r="BS207" s="302">
        <f t="shared" si="69"/>
        <v>0</v>
      </c>
      <c r="BT207" s="302">
        <f t="shared" si="69"/>
        <v>0</v>
      </c>
      <c r="BU207" s="302">
        <f t="shared" si="69"/>
        <v>0</v>
      </c>
      <c r="BV207" s="302">
        <f t="shared" si="69"/>
        <v>0</v>
      </c>
      <c r="BW207" s="664">
        <f t="shared" si="69"/>
        <v>0</v>
      </c>
      <c r="BX207" s="397"/>
      <c r="BY207" s="309"/>
    </row>
    <row r="208" spans="1:77" ht="30" hidden="1" customHeight="1" x14ac:dyDescent="0.25">
      <c r="A208" s="134"/>
      <c r="B208" s="134"/>
      <c r="C208" s="312"/>
      <c r="D208" s="299" t="s">
        <v>198</v>
      </c>
      <c r="E208" s="300">
        <f>E21+E95</f>
        <v>213</v>
      </c>
      <c r="F208" s="301">
        <f>E208*36</f>
        <v>7668</v>
      </c>
      <c r="G208" s="302">
        <f t="shared" ref="G208:N208" si="70">SUM(G20:G130)+SUM(G177:G189)</f>
        <v>30</v>
      </c>
      <c r="H208" s="302">
        <f t="shared" si="70"/>
        <v>30</v>
      </c>
      <c r="I208" s="302">
        <f t="shared" si="70"/>
        <v>57</v>
      </c>
      <c r="J208" s="302">
        <f t="shared" si="70"/>
        <v>11</v>
      </c>
      <c r="K208" s="526">
        <f t="shared" si="70"/>
        <v>20</v>
      </c>
      <c r="L208" s="526">
        <f t="shared" si="70"/>
        <v>21</v>
      </c>
      <c r="M208" s="302">
        <f t="shared" si="70"/>
        <v>23</v>
      </c>
      <c r="N208" s="302">
        <f t="shared" si="70"/>
        <v>10</v>
      </c>
      <c r="O208" s="302">
        <f t="shared" si="65"/>
        <v>0</v>
      </c>
      <c r="P208" s="302">
        <f t="shared" si="65"/>
        <v>0</v>
      </c>
      <c r="Q208" s="302">
        <f t="shared" si="65"/>
        <v>0</v>
      </c>
      <c r="R208" s="302">
        <f t="shared" si="65"/>
        <v>0</v>
      </c>
      <c r="S208" s="303"/>
      <c r="T208" s="304"/>
      <c r="U208" s="304"/>
      <c r="V208" s="305"/>
      <c r="W208" s="203">
        <f t="shared" si="57"/>
        <v>3370.4</v>
      </c>
      <c r="X208" s="306">
        <f t="shared" si="55"/>
        <v>3064</v>
      </c>
      <c r="Y208" s="306">
        <f>SUM(Y20:Y130)+SUM(Y177:Y189)</f>
        <v>1152</v>
      </c>
      <c r="Z208" s="306">
        <f>SUM(Z20:Z130)+SUM(Z177:Z189)</f>
        <v>656</v>
      </c>
      <c r="AA208" s="306">
        <f>SUM(AA20:AA130)+SUM(AA177:AA189)</f>
        <v>1256</v>
      </c>
      <c r="AB208" s="204"/>
      <c r="AC208" s="307"/>
      <c r="AD208" s="307"/>
      <c r="AE208" s="307"/>
      <c r="AF208" s="307"/>
      <c r="AG208" s="307"/>
      <c r="AH208" s="307"/>
      <c r="AI208" s="307"/>
      <c r="AJ208" s="307"/>
      <c r="AK208" s="655">
        <f>F208-W208</f>
        <v>4297.6000000000004</v>
      </c>
      <c r="AL208" s="655"/>
      <c r="AM208" s="218"/>
      <c r="AN208" s="306">
        <f t="shared" ref="AN208:BK208" si="71">SUM(AN20:AN130)+SUM(AN177:AN189)</f>
        <v>208</v>
      </c>
      <c r="AO208" s="302">
        <f t="shared" si="71"/>
        <v>112</v>
      </c>
      <c r="AP208" s="302">
        <f t="shared" si="71"/>
        <v>180</v>
      </c>
      <c r="AQ208" s="302">
        <f t="shared" si="71"/>
        <v>176</v>
      </c>
      <c r="AR208" s="302">
        <f t="shared" si="71"/>
        <v>144</v>
      </c>
      <c r="AS208" s="302">
        <f t="shared" si="71"/>
        <v>180</v>
      </c>
      <c r="AT208" s="302">
        <f t="shared" si="71"/>
        <v>320</v>
      </c>
      <c r="AU208" s="302">
        <f t="shared" si="71"/>
        <v>96</v>
      </c>
      <c r="AV208" s="302">
        <f t="shared" si="71"/>
        <v>496</v>
      </c>
      <c r="AW208" s="302">
        <f t="shared" si="71"/>
        <v>64</v>
      </c>
      <c r="AX208" s="302">
        <f t="shared" si="71"/>
        <v>32</v>
      </c>
      <c r="AY208" s="302">
        <f t="shared" si="71"/>
        <v>96</v>
      </c>
      <c r="AZ208" s="302">
        <f t="shared" si="71"/>
        <v>96</v>
      </c>
      <c r="BA208" s="302">
        <f t="shared" si="71"/>
        <v>64</v>
      </c>
      <c r="BB208" s="302">
        <f t="shared" si="71"/>
        <v>112</v>
      </c>
      <c r="BC208" s="302">
        <f t="shared" si="71"/>
        <v>96</v>
      </c>
      <c r="BD208" s="302">
        <f t="shared" si="71"/>
        <v>64</v>
      </c>
      <c r="BE208" s="302">
        <f t="shared" si="71"/>
        <v>112</v>
      </c>
      <c r="BF208" s="302">
        <f t="shared" si="71"/>
        <v>144</v>
      </c>
      <c r="BG208" s="302">
        <f t="shared" si="71"/>
        <v>128</v>
      </c>
      <c r="BH208" s="302">
        <f t="shared" si="71"/>
        <v>32</v>
      </c>
      <c r="BI208" s="302">
        <f t="shared" si="71"/>
        <v>48</v>
      </c>
      <c r="BJ208" s="302">
        <f t="shared" si="71"/>
        <v>48</v>
      </c>
      <c r="BK208" s="302">
        <f t="shared" si="71"/>
        <v>0</v>
      </c>
      <c r="BL208" s="302">
        <f t="shared" ref="BL208:BW208" si="72">SUM(BL22:BL132)+SUM(BL148:BL205)</f>
        <v>0</v>
      </c>
      <c r="BM208" s="302">
        <f t="shared" si="72"/>
        <v>0</v>
      </c>
      <c r="BN208" s="302">
        <f t="shared" si="72"/>
        <v>0</v>
      </c>
      <c r="BO208" s="302">
        <f t="shared" si="72"/>
        <v>0</v>
      </c>
      <c r="BP208" s="302">
        <f t="shared" si="72"/>
        <v>0</v>
      </c>
      <c r="BQ208" s="302">
        <f t="shared" si="72"/>
        <v>0</v>
      </c>
      <c r="BR208" s="302">
        <f t="shared" si="72"/>
        <v>0</v>
      </c>
      <c r="BS208" s="302">
        <f t="shared" si="72"/>
        <v>0</v>
      </c>
      <c r="BT208" s="302">
        <f t="shared" si="72"/>
        <v>0</v>
      </c>
      <c r="BU208" s="302">
        <f t="shared" si="72"/>
        <v>0</v>
      </c>
      <c r="BV208" s="302">
        <f t="shared" si="72"/>
        <v>0</v>
      </c>
      <c r="BW208" s="664">
        <f t="shared" si="72"/>
        <v>0</v>
      </c>
      <c r="BX208" s="397"/>
      <c r="BY208" s="309"/>
    </row>
    <row r="209" spans="1:77" ht="32.25" hidden="1" customHeight="1" x14ac:dyDescent="0.25">
      <c r="A209" s="134"/>
      <c r="B209" s="134"/>
      <c r="C209" s="312"/>
      <c r="D209" s="288" t="s">
        <v>199</v>
      </c>
      <c r="E209" s="289">
        <f>E21+E95</f>
        <v>213</v>
      </c>
      <c r="F209" s="290">
        <f>E209*36</f>
        <v>7668</v>
      </c>
      <c r="G209" s="291">
        <f t="shared" ref="G209:N209" si="73">SUM(G20:G130)+SUM(G191:G203)</f>
        <v>30</v>
      </c>
      <c r="H209" s="291">
        <f t="shared" si="73"/>
        <v>30</v>
      </c>
      <c r="I209" s="291">
        <f t="shared" si="73"/>
        <v>57</v>
      </c>
      <c r="J209" s="291">
        <f t="shared" si="73"/>
        <v>11</v>
      </c>
      <c r="K209" s="525">
        <f t="shared" si="73"/>
        <v>20</v>
      </c>
      <c r="L209" s="525">
        <f t="shared" si="73"/>
        <v>21</v>
      </c>
      <c r="M209" s="291">
        <f t="shared" si="73"/>
        <v>23</v>
      </c>
      <c r="N209" s="291">
        <f t="shared" si="73"/>
        <v>10</v>
      </c>
      <c r="O209" s="291">
        <f t="shared" si="65"/>
        <v>0</v>
      </c>
      <c r="P209" s="291">
        <f t="shared" si="65"/>
        <v>0</v>
      </c>
      <c r="Q209" s="291">
        <f t="shared" si="65"/>
        <v>0</v>
      </c>
      <c r="R209" s="291">
        <f t="shared" si="65"/>
        <v>0</v>
      </c>
      <c r="S209" s="292"/>
      <c r="T209" s="293"/>
      <c r="U209" s="293"/>
      <c r="V209" s="294"/>
      <c r="W209" s="112">
        <f t="shared" si="57"/>
        <v>3370.4</v>
      </c>
      <c r="X209" s="295">
        <f t="shared" si="55"/>
        <v>3064</v>
      </c>
      <c r="Y209" s="295">
        <f>SUM(Y20:Y130)+SUM(Y191:Y203)</f>
        <v>1152</v>
      </c>
      <c r="Z209" s="295">
        <f>SUM(Z20:Z130)+SUM(Z191:Z203)</f>
        <v>656</v>
      </c>
      <c r="AA209" s="295">
        <f>SUM(AA20:AA130)+SUM(AA191:AA203)</f>
        <v>1256</v>
      </c>
      <c r="AB209" s="116"/>
      <c r="AC209" s="117"/>
      <c r="AD209" s="117"/>
      <c r="AE209" s="117"/>
      <c r="AF209" s="117"/>
      <c r="AG209" s="117"/>
      <c r="AH209" s="117"/>
      <c r="AI209" s="117"/>
      <c r="AJ209" s="117"/>
      <c r="AK209" s="654">
        <f>F209-W209</f>
        <v>4297.6000000000004</v>
      </c>
      <c r="AL209" s="654"/>
      <c r="AM209" s="296"/>
      <c r="AN209" s="295">
        <f t="shared" ref="AN209:BK209" si="74">SUM(AN20:AN130)+SUM(AN191:AN203)</f>
        <v>208</v>
      </c>
      <c r="AO209" s="291">
        <f t="shared" si="74"/>
        <v>112</v>
      </c>
      <c r="AP209" s="291">
        <f t="shared" si="74"/>
        <v>180</v>
      </c>
      <c r="AQ209" s="291">
        <f t="shared" si="74"/>
        <v>176</v>
      </c>
      <c r="AR209" s="291">
        <f t="shared" si="74"/>
        <v>144</v>
      </c>
      <c r="AS209" s="291">
        <f t="shared" si="74"/>
        <v>180</v>
      </c>
      <c r="AT209" s="291">
        <f t="shared" si="74"/>
        <v>320</v>
      </c>
      <c r="AU209" s="291">
        <f t="shared" si="74"/>
        <v>96</v>
      </c>
      <c r="AV209" s="291">
        <f t="shared" si="74"/>
        <v>496</v>
      </c>
      <c r="AW209" s="291">
        <f t="shared" si="74"/>
        <v>64</v>
      </c>
      <c r="AX209" s="291">
        <f t="shared" si="74"/>
        <v>32</v>
      </c>
      <c r="AY209" s="291">
        <f t="shared" si="74"/>
        <v>96</v>
      </c>
      <c r="AZ209" s="291">
        <f t="shared" si="74"/>
        <v>96</v>
      </c>
      <c r="BA209" s="291">
        <f t="shared" si="74"/>
        <v>64</v>
      </c>
      <c r="BB209" s="291">
        <f t="shared" si="74"/>
        <v>112</v>
      </c>
      <c r="BC209" s="291">
        <f t="shared" si="74"/>
        <v>96</v>
      </c>
      <c r="BD209" s="291">
        <f t="shared" si="74"/>
        <v>64</v>
      </c>
      <c r="BE209" s="291">
        <f t="shared" si="74"/>
        <v>112</v>
      </c>
      <c r="BF209" s="291">
        <f t="shared" si="74"/>
        <v>144</v>
      </c>
      <c r="BG209" s="291">
        <f t="shared" si="74"/>
        <v>128</v>
      </c>
      <c r="BH209" s="291">
        <f t="shared" si="74"/>
        <v>32</v>
      </c>
      <c r="BI209" s="291">
        <f t="shared" si="74"/>
        <v>48</v>
      </c>
      <c r="BJ209" s="291">
        <f t="shared" si="74"/>
        <v>48</v>
      </c>
      <c r="BK209" s="291">
        <f t="shared" si="74"/>
        <v>0</v>
      </c>
      <c r="BL209" s="291">
        <f t="shared" ref="BL209:BW209" si="75">SUM(BL23:BL133)+SUM(BL149:BL206)</f>
        <v>0</v>
      </c>
      <c r="BM209" s="291">
        <f t="shared" si="75"/>
        <v>0</v>
      </c>
      <c r="BN209" s="291">
        <f t="shared" si="75"/>
        <v>0</v>
      </c>
      <c r="BO209" s="291">
        <f t="shared" si="75"/>
        <v>0</v>
      </c>
      <c r="BP209" s="291">
        <f t="shared" si="75"/>
        <v>0</v>
      </c>
      <c r="BQ209" s="291">
        <f t="shared" si="75"/>
        <v>0</v>
      </c>
      <c r="BR209" s="291">
        <f t="shared" si="75"/>
        <v>0</v>
      </c>
      <c r="BS209" s="291">
        <f t="shared" si="75"/>
        <v>0</v>
      </c>
      <c r="BT209" s="291">
        <f t="shared" si="75"/>
        <v>0</v>
      </c>
      <c r="BU209" s="291">
        <f t="shared" si="75"/>
        <v>0</v>
      </c>
      <c r="BV209" s="291">
        <f t="shared" si="75"/>
        <v>0</v>
      </c>
      <c r="BW209" s="663">
        <f t="shared" si="75"/>
        <v>0</v>
      </c>
      <c r="BX209" s="394"/>
      <c r="BY209" s="297"/>
    </row>
    <row r="210" spans="1:77" ht="24" customHeight="1" x14ac:dyDescent="0.25">
      <c r="A210" s="313"/>
      <c r="B210" s="313"/>
      <c r="C210" s="314" t="s">
        <v>188</v>
      </c>
      <c r="D210" s="315" t="s">
        <v>136</v>
      </c>
      <c r="E210" s="147">
        <f>SUM(E211:E213)</f>
        <v>21</v>
      </c>
      <c r="F210" s="148">
        <f>SUM(F211:F213)</f>
        <v>756</v>
      </c>
      <c r="G210" s="366"/>
      <c r="H210" s="358"/>
      <c r="I210" s="358"/>
      <c r="J210" s="358"/>
      <c r="K210" s="531"/>
      <c r="L210" s="531"/>
      <c r="M210" s="358"/>
      <c r="N210" s="358"/>
      <c r="O210" s="358"/>
      <c r="P210" s="358"/>
      <c r="Q210" s="358"/>
      <c r="R210" s="369"/>
      <c r="S210" s="151"/>
      <c r="T210" s="606"/>
      <c r="U210" s="606"/>
      <c r="V210" s="153"/>
      <c r="W210" s="112"/>
      <c r="X210" s="113"/>
      <c r="Y210" s="612"/>
      <c r="Z210" s="612"/>
      <c r="AA210" s="115"/>
      <c r="AB210" s="112"/>
      <c r="AC210" s="136"/>
      <c r="AD210" s="117"/>
      <c r="AE210" s="117"/>
      <c r="AF210" s="117"/>
      <c r="AG210" s="118"/>
      <c r="AH210" s="117"/>
      <c r="AI210" s="137"/>
      <c r="AJ210" s="138"/>
      <c r="AK210" s="654"/>
      <c r="AL210" s="632"/>
      <c r="AM210" s="296"/>
      <c r="AN210" s="443"/>
      <c r="AO210" s="618"/>
      <c r="AP210" s="618"/>
      <c r="AQ210" s="611"/>
      <c r="AR210" s="611"/>
      <c r="AS210" s="611"/>
      <c r="AT210" s="618"/>
      <c r="AU210" s="618"/>
      <c r="AV210" s="618"/>
      <c r="AW210" s="611"/>
      <c r="AX210" s="611"/>
      <c r="AY210" s="611"/>
      <c r="AZ210" s="618"/>
      <c r="BA210" s="618"/>
      <c r="BB210" s="618"/>
      <c r="BC210" s="611"/>
      <c r="BD210" s="611"/>
      <c r="BE210" s="611"/>
      <c r="BF210" s="618"/>
      <c r="BG210" s="618"/>
      <c r="BH210" s="618"/>
      <c r="BI210" s="611"/>
      <c r="BJ210" s="611"/>
      <c r="BK210" s="611"/>
      <c r="BL210" s="618"/>
      <c r="BM210" s="618"/>
      <c r="BN210" s="618"/>
      <c r="BO210" s="611"/>
      <c r="BP210" s="611"/>
      <c r="BQ210" s="611"/>
      <c r="BR210" s="618"/>
      <c r="BS210" s="618"/>
      <c r="BT210" s="618"/>
      <c r="BU210" s="611"/>
      <c r="BV210" s="611"/>
      <c r="BW210" s="155"/>
      <c r="BX210" s="389"/>
      <c r="BY210" s="613">
        <f t="shared" ref="BY210:BY215" si="76">X210/F210*100</f>
        <v>0</v>
      </c>
    </row>
    <row r="211" spans="1:77" ht="44.25" customHeight="1" x14ac:dyDescent="0.25">
      <c r="A211" s="102"/>
      <c r="B211" s="102"/>
      <c r="C211" s="318" t="s">
        <v>139</v>
      </c>
      <c r="D211" s="319" t="s">
        <v>271</v>
      </c>
      <c r="E211" s="147">
        <v>3</v>
      </c>
      <c r="F211" s="148">
        <v>108</v>
      </c>
      <c r="G211" s="320"/>
      <c r="H211" s="321"/>
      <c r="I211" s="321"/>
      <c r="J211" s="587"/>
      <c r="K211" s="588"/>
      <c r="L211" s="588">
        <v>3</v>
      </c>
      <c r="M211" s="587"/>
      <c r="N211" s="587"/>
      <c r="O211" s="321"/>
      <c r="P211" s="321"/>
      <c r="Q211" s="321"/>
      <c r="R211" s="322"/>
      <c r="S211" s="323"/>
      <c r="T211" s="591">
        <v>6</v>
      </c>
      <c r="U211" s="324"/>
      <c r="V211" s="153"/>
      <c r="W211" s="112">
        <v>2</v>
      </c>
      <c r="X211" s="113">
        <f>SUM(Y211:AA211)</f>
        <v>0</v>
      </c>
      <c r="Y211" s="612">
        <f>AN211+AQ211+AT211+AW211+AZ211+BC211+BF211+BI211+BL211+BO211+BR211+BU211</f>
        <v>0</v>
      </c>
      <c r="Z211" s="612">
        <f>AO211+AR211+AU211+AX211+BA211+BD211+BG211+BJ211+BM211+BP211+BS211+BV211</f>
        <v>0</v>
      </c>
      <c r="AA211" s="115">
        <f>AP211+AS211+AV211+AY211+BB211+BE211+BH211+BK211+BN211+BQ211+BT211+BW211</f>
        <v>0</v>
      </c>
      <c r="AB211" s="116"/>
      <c r="AC211" s="136"/>
      <c r="AD211" s="117"/>
      <c r="AE211" s="117"/>
      <c r="AF211" s="117"/>
      <c r="AG211" s="118"/>
      <c r="AH211" s="137"/>
      <c r="AI211" s="137"/>
      <c r="AJ211" s="138"/>
      <c r="AK211" s="654">
        <f>F211-W211</f>
        <v>106</v>
      </c>
      <c r="AL211" s="632"/>
      <c r="AM211" s="296"/>
      <c r="AN211" s="443"/>
      <c r="AO211" s="618"/>
      <c r="AP211" s="618"/>
      <c r="AQ211" s="611"/>
      <c r="AR211" s="611"/>
      <c r="AS211" s="611"/>
      <c r="AT211" s="618"/>
      <c r="AU211" s="618"/>
      <c r="AV211" s="618"/>
      <c r="AW211" s="611"/>
      <c r="AX211" s="611"/>
      <c r="AY211" s="611"/>
      <c r="AZ211" s="618"/>
      <c r="BA211" s="618"/>
      <c r="BB211" s="618"/>
      <c r="BC211" s="611"/>
      <c r="BD211" s="611"/>
      <c r="BE211" s="611"/>
      <c r="BF211" s="618"/>
      <c r="BG211" s="618"/>
      <c r="BH211" s="618"/>
      <c r="BI211" s="611"/>
      <c r="BJ211" s="611"/>
      <c r="BK211" s="611"/>
      <c r="BL211" s="618"/>
      <c r="BM211" s="618"/>
      <c r="BN211" s="618"/>
      <c r="BO211" s="611"/>
      <c r="BP211" s="611"/>
      <c r="BQ211" s="611"/>
      <c r="BR211" s="618"/>
      <c r="BS211" s="618"/>
      <c r="BT211" s="618"/>
      <c r="BU211" s="611"/>
      <c r="BV211" s="611"/>
      <c r="BW211" s="155"/>
      <c r="BX211" s="200" t="s">
        <v>323</v>
      </c>
      <c r="BY211" s="613">
        <f>W211/F211*100</f>
        <v>1.8518518518518516</v>
      </c>
    </row>
    <row r="212" spans="1:77" ht="63" customHeight="1" x14ac:dyDescent="0.25">
      <c r="A212" s="130"/>
      <c r="B212" s="130"/>
      <c r="C212" s="325" t="s">
        <v>140</v>
      </c>
      <c r="D212" s="319" t="s">
        <v>249</v>
      </c>
      <c r="E212" s="154">
        <v>12</v>
      </c>
      <c r="F212" s="157">
        <v>432</v>
      </c>
      <c r="G212" s="320"/>
      <c r="H212" s="321"/>
      <c r="I212" s="321"/>
      <c r="J212" s="587"/>
      <c r="K212" s="588"/>
      <c r="L212" s="588">
        <v>3</v>
      </c>
      <c r="M212" s="587">
        <v>9</v>
      </c>
      <c r="N212" s="587"/>
      <c r="O212" s="321"/>
      <c r="P212" s="321"/>
      <c r="Q212" s="321"/>
      <c r="R212" s="322"/>
      <c r="S212" s="323"/>
      <c r="T212" s="591">
        <v>67</v>
      </c>
      <c r="U212" s="324"/>
      <c r="V212" s="153"/>
      <c r="W212" s="112">
        <v>8</v>
      </c>
      <c r="X212" s="113">
        <f>SUM(Y212:AA212)</f>
        <v>0</v>
      </c>
      <c r="Y212" s="114">
        <f t="shared" ref="Y212:AA213" si="77">AN212+AQ212+AT212+AW212+AZ212+BC212+BF212+BI212+BL212+BO212+BR212+BU212</f>
        <v>0</v>
      </c>
      <c r="Z212" s="114">
        <f t="shared" si="77"/>
        <v>0</v>
      </c>
      <c r="AA212" s="115">
        <f t="shared" si="77"/>
        <v>0</v>
      </c>
      <c r="AB212" s="112"/>
      <c r="AC212" s="136"/>
      <c r="AD212" s="117"/>
      <c r="AE212" s="117"/>
      <c r="AF212" s="117"/>
      <c r="AG212" s="118"/>
      <c r="AH212" s="117"/>
      <c r="AI212" s="137"/>
      <c r="AJ212" s="138"/>
      <c r="AK212" s="654">
        <f>F212-W212</f>
        <v>424</v>
      </c>
      <c r="AL212" s="632"/>
      <c r="AM212" s="296"/>
      <c r="AN212" s="443">
        <v>0</v>
      </c>
      <c r="AO212" s="618">
        <v>0</v>
      </c>
      <c r="AP212" s="618"/>
      <c r="AQ212" s="611">
        <v>0</v>
      </c>
      <c r="AR212" s="611">
        <v>0</v>
      </c>
      <c r="AS212" s="611"/>
      <c r="AT212" s="618">
        <v>0</v>
      </c>
      <c r="AU212" s="618">
        <v>0</v>
      </c>
      <c r="AV212" s="618"/>
      <c r="AW212" s="611">
        <v>0</v>
      </c>
      <c r="AX212" s="611">
        <v>0</v>
      </c>
      <c r="AY212" s="611"/>
      <c r="AZ212" s="618">
        <v>0</v>
      </c>
      <c r="BA212" s="618">
        <v>0</v>
      </c>
      <c r="BB212" s="618"/>
      <c r="BC212" s="611">
        <v>0</v>
      </c>
      <c r="BD212" s="611">
        <v>0</v>
      </c>
      <c r="BE212" s="611"/>
      <c r="BF212" s="618">
        <v>0</v>
      </c>
      <c r="BG212" s="618">
        <v>0</v>
      </c>
      <c r="BH212" s="618"/>
      <c r="BI212" s="611">
        <v>0</v>
      </c>
      <c r="BJ212" s="611">
        <v>0</v>
      </c>
      <c r="BK212" s="611"/>
      <c r="BL212" s="618"/>
      <c r="BM212" s="618"/>
      <c r="BN212" s="618"/>
      <c r="BO212" s="611"/>
      <c r="BP212" s="611"/>
      <c r="BQ212" s="611"/>
      <c r="BR212" s="618"/>
      <c r="BS212" s="618"/>
      <c r="BT212" s="618"/>
      <c r="BU212" s="611"/>
      <c r="BV212" s="611"/>
      <c r="BW212" s="155"/>
      <c r="BX212" s="200" t="s">
        <v>323</v>
      </c>
      <c r="BY212" s="122">
        <f>W212/F212*100</f>
        <v>1.8518518518518516</v>
      </c>
    </row>
    <row r="213" spans="1:77" ht="36.75" customHeight="1" thickBot="1" x14ac:dyDescent="0.3">
      <c r="A213" s="326"/>
      <c r="B213" s="327"/>
      <c r="C213" s="328" t="s">
        <v>141</v>
      </c>
      <c r="D213" s="329" t="s">
        <v>154</v>
      </c>
      <c r="E213" s="330">
        <v>6</v>
      </c>
      <c r="F213" s="331">
        <v>216</v>
      </c>
      <c r="G213" s="332"/>
      <c r="H213" s="333"/>
      <c r="I213" s="333"/>
      <c r="J213" s="589"/>
      <c r="K213" s="590"/>
      <c r="L213" s="590"/>
      <c r="M213" s="589"/>
      <c r="N213" s="589">
        <v>6</v>
      </c>
      <c r="O213" s="333"/>
      <c r="P213" s="333"/>
      <c r="Q213" s="333"/>
      <c r="R213" s="334"/>
      <c r="S213" s="335"/>
      <c r="T213" s="592">
        <v>8</v>
      </c>
      <c r="U213" s="336"/>
      <c r="V213" s="337" t="s">
        <v>116</v>
      </c>
      <c r="W213" s="253">
        <v>4</v>
      </c>
      <c r="X213" s="254">
        <f>SUM(Y213:AA213)</f>
        <v>0</v>
      </c>
      <c r="Y213" s="255">
        <f t="shared" si="77"/>
        <v>0</v>
      </c>
      <c r="Z213" s="255">
        <f t="shared" si="77"/>
        <v>0</v>
      </c>
      <c r="AA213" s="256">
        <f t="shared" si="77"/>
        <v>0</v>
      </c>
      <c r="AB213" s="253"/>
      <c r="AC213" s="258"/>
      <c r="AD213" s="259"/>
      <c r="AE213" s="259"/>
      <c r="AF213" s="259"/>
      <c r="AG213" s="260"/>
      <c r="AH213" s="259"/>
      <c r="AI213" s="261"/>
      <c r="AJ213" s="262"/>
      <c r="AK213" s="655">
        <f>F213-W213</f>
        <v>212</v>
      </c>
      <c r="AL213" s="638"/>
      <c r="AM213" s="639"/>
      <c r="AN213" s="452"/>
      <c r="AO213" s="453"/>
      <c r="AP213" s="453"/>
      <c r="AQ213" s="330"/>
      <c r="AR213" s="330"/>
      <c r="AS213" s="330"/>
      <c r="AT213" s="453"/>
      <c r="AU213" s="453"/>
      <c r="AV213" s="453"/>
      <c r="AW213" s="330"/>
      <c r="AX213" s="330"/>
      <c r="AY213" s="330"/>
      <c r="AZ213" s="453"/>
      <c r="BA213" s="453"/>
      <c r="BB213" s="453"/>
      <c r="BC213" s="330"/>
      <c r="BD213" s="330"/>
      <c r="BE213" s="330"/>
      <c r="BF213" s="453"/>
      <c r="BG213" s="453"/>
      <c r="BH213" s="453"/>
      <c r="BI213" s="330"/>
      <c r="BJ213" s="330"/>
      <c r="BK213" s="330"/>
      <c r="BL213" s="453"/>
      <c r="BM213" s="453"/>
      <c r="BN213" s="453"/>
      <c r="BO213" s="330"/>
      <c r="BP213" s="330"/>
      <c r="BQ213" s="330"/>
      <c r="BR213" s="453"/>
      <c r="BS213" s="453"/>
      <c r="BT213" s="453"/>
      <c r="BU213" s="330"/>
      <c r="BV213" s="330"/>
      <c r="BW213" s="338"/>
      <c r="BX213" s="200" t="s">
        <v>323</v>
      </c>
      <c r="BY213" s="620">
        <f>W213/F213*100</f>
        <v>1.8518518518518516</v>
      </c>
    </row>
    <row r="214" spans="1:77" ht="23.1" customHeight="1" x14ac:dyDescent="0.25">
      <c r="A214" s="339"/>
      <c r="B214" s="339"/>
      <c r="C214" s="340" t="s">
        <v>120</v>
      </c>
      <c r="D214" s="315" t="s">
        <v>137</v>
      </c>
      <c r="E214" s="164">
        <f>SUM(E215)</f>
        <v>6</v>
      </c>
      <c r="F214" s="206">
        <f>SUM(F215)</f>
        <v>216</v>
      </c>
      <c r="G214" s="316"/>
      <c r="H214" s="317"/>
      <c r="I214" s="317"/>
      <c r="J214" s="317"/>
      <c r="K214" s="527"/>
      <c r="L214" s="527"/>
      <c r="M214" s="317"/>
      <c r="N214" s="317"/>
      <c r="O214" s="317"/>
      <c r="P214" s="317"/>
      <c r="Q214" s="317"/>
      <c r="R214" s="145"/>
      <c r="S214" s="190"/>
      <c r="T214" s="165"/>
      <c r="U214" s="165"/>
      <c r="V214" s="166"/>
      <c r="W214" s="179"/>
      <c r="X214" s="180"/>
      <c r="Y214" s="120"/>
      <c r="Z214" s="120"/>
      <c r="AA214" s="181"/>
      <c r="AB214" s="179"/>
      <c r="AC214" s="183"/>
      <c r="AD214" s="184"/>
      <c r="AE214" s="184"/>
      <c r="AF214" s="184"/>
      <c r="AG214" s="185"/>
      <c r="AH214" s="184"/>
      <c r="AI214" s="186"/>
      <c r="AJ214" s="187"/>
      <c r="AK214" s="652"/>
      <c r="AL214" s="188"/>
      <c r="AM214" s="184"/>
      <c r="AN214" s="645"/>
      <c r="AO214" s="646"/>
      <c r="AP214" s="646"/>
      <c r="AQ214" s="647"/>
      <c r="AR214" s="647"/>
      <c r="AS214" s="647"/>
      <c r="AT214" s="646"/>
      <c r="AU214" s="646"/>
      <c r="AV214" s="646"/>
      <c r="AW214" s="647"/>
      <c r="AX214" s="647"/>
      <c r="AY214" s="647"/>
      <c r="AZ214" s="646"/>
      <c r="BA214" s="646"/>
      <c r="BB214" s="646"/>
      <c r="BC214" s="647"/>
      <c r="BD214" s="647"/>
      <c r="BE214" s="647"/>
      <c r="BF214" s="646"/>
      <c r="BG214" s="646"/>
      <c r="BH214" s="646"/>
      <c r="BI214" s="647"/>
      <c r="BJ214" s="647"/>
      <c r="BK214" s="647"/>
      <c r="BL214" s="646"/>
      <c r="BM214" s="646"/>
      <c r="BN214" s="646"/>
      <c r="BO214" s="647"/>
      <c r="BP214" s="647"/>
      <c r="BQ214" s="647"/>
      <c r="BR214" s="646"/>
      <c r="BS214" s="646"/>
      <c r="BT214" s="646"/>
      <c r="BU214" s="647"/>
      <c r="BV214" s="647"/>
      <c r="BW214" s="665"/>
      <c r="BX214" s="667"/>
      <c r="BY214" s="650">
        <f t="shared" si="76"/>
        <v>0</v>
      </c>
    </row>
    <row r="215" spans="1:77" ht="35.25" customHeight="1" thickBot="1" x14ac:dyDescent="0.3">
      <c r="A215" s="327"/>
      <c r="B215" s="327"/>
      <c r="C215" s="341"/>
      <c r="D215" s="329" t="s">
        <v>138</v>
      </c>
      <c r="E215" s="330">
        <f>G215+H215+I215+J215+K215+L215+M215+N215+O215+P215+Q215+R215</f>
        <v>6</v>
      </c>
      <c r="F215" s="331">
        <f>E215*36</f>
        <v>216</v>
      </c>
      <c r="G215" s="276"/>
      <c r="H215" s="277"/>
      <c r="I215" s="277"/>
      <c r="J215" s="277"/>
      <c r="K215" s="528"/>
      <c r="L215" s="528"/>
      <c r="M215" s="277"/>
      <c r="N215" s="277">
        <v>6</v>
      </c>
      <c r="O215" s="277"/>
      <c r="P215" s="277"/>
      <c r="Q215" s="277"/>
      <c r="R215" s="342"/>
      <c r="S215" s="343"/>
      <c r="T215" s="336"/>
      <c r="U215" s="336" t="s">
        <v>116</v>
      </c>
      <c r="V215" s="337" t="s">
        <v>116</v>
      </c>
      <c r="W215" s="253">
        <f>SUM(X215+AB215)</f>
        <v>0</v>
      </c>
      <c r="X215" s="254">
        <f>SUM(Y215:AA215)</f>
        <v>0</v>
      </c>
      <c r="Y215" s="255">
        <f>AN215+AQ215+AT215+AW215+AZ215+BC215+BF215+BI215+BL215+BO215+BR215+BU215</f>
        <v>0</v>
      </c>
      <c r="Z215" s="255">
        <f>AO215+AR215+AU215+AX215+BA215+BD215+BG215+BJ215+BM215+BP215+BS215+BV215</f>
        <v>0</v>
      </c>
      <c r="AA215" s="256">
        <f>AP215+AS215+AV215+AY215+BB215+BE215+BH215+BK215+BN215+BQ215+BT215+BW215</f>
        <v>0</v>
      </c>
      <c r="AB215" s="253"/>
      <c r="AC215" s="258"/>
      <c r="AD215" s="259"/>
      <c r="AE215" s="259"/>
      <c r="AF215" s="259"/>
      <c r="AG215" s="260"/>
      <c r="AH215" s="261"/>
      <c r="AI215" s="261"/>
      <c r="AJ215" s="262"/>
      <c r="AK215" s="263">
        <f>AL215+AM215</f>
        <v>0</v>
      </c>
      <c r="AL215" s="264"/>
      <c r="AM215" s="259"/>
      <c r="AN215" s="452">
        <v>0</v>
      </c>
      <c r="AO215" s="453">
        <v>0</v>
      </c>
      <c r="AP215" s="453"/>
      <c r="AQ215" s="330">
        <v>0</v>
      </c>
      <c r="AR215" s="330">
        <v>0</v>
      </c>
      <c r="AS215" s="330"/>
      <c r="AT215" s="453">
        <v>0</v>
      </c>
      <c r="AU215" s="453">
        <v>0</v>
      </c>
      <c r="AV215" s="453"/>
      <c r="AW215" s="330">
        <v>0</v>
      </c>
      <c r="AX215" s="330">
        <v>0</v>
      </c>
      <c r="AY215" s="330"/>
      <c r="AZ215" s="453">
        <v>0</v>
      </c>
      <c r="BA215" s="453">
        <v>0</v>
      </c>
      <c r="BB215" s="453"/>
      <c r="BC215" s="330">
        <v>0</v>
      </c>
      <c r="BD215" s="330">
        <v>0</v>
      </c>
      <c r="BE215" s="330"/>
      <c r="BF215" s="453">
        <v>0</v>
      </c>
      <c r="BG215" s="453">
        <v>0</v>
      </c>
      <c r="BH215" s="453"/>
      <c r="BI215" s="330">
        <v>0</v>
      </c>
      <c r="BJ215" s="330">
        <v>0</v>
      </c>
      <c r="BK215" s="330"/>
      <c r="BL215" s="453"/>
      <c r="BM215" s="453"/>
      <c r="BN215" s="453"/>
      <c r="BO215" s="330"/>
      <c r="BP215" s="330"/>
      <c r="BQ215" s="330"/>
      <c r="BR215" s="453"/>
      <c r="BS215" s="453"/>
      <c r="BT215" s="453"/>
      <c r="BU215" s="330"/>
      <c r="BV215" s="330"/>
      <c r="BW215" s="666"/>
      <c r="BX215" s="200" t="s">
        <v>323</v>
      </c>
      <c r="BY215" s="651">
        <f t="shared" si="76"/>
        <v>0</v>
      </c>
    </row>
    <row r="216" spans="1:77" ht="13.5" customHeight="1" x14ac:dyDescent="0.25">
      <c r="A216" s="146"/>
      <c r="B216" s="146"/>
      <c r="C216" s="317"/>
      <c r="D216" s="344"/>
      <c r="E216" s="345"/>
      <c r="F216" s="346"/>
      <c r="G216" s="346"/>
      <c r="H216" s="346"/>
      <c r="I216" s="346"/>
      <c r="J216" s="346" t="s">
        <v>183</v>
      </c>
      <c r="K216" s="529"/>
      <c r="L216" s="529"/>
      <c r="M216" s="346"/>
      <c r="N216" s="346"/>
      <c r="O216" s="346"/>
      <c r="P216" s="346"/>
      <c r="Q216" s="346"/>
      <c r="R216" s="346"/>
      <c r="S216" s="347"/>
      <c r="T216" s="347"/>
      <c r="U216" s="347"/>
      <c r="V216" s="347"/>
      <c r="W216" s="348"/>
      <c r="X216" s="345"/>
      <c r="Y216" s="345"/>
      <c r="Z216" s="345"/>
      <c r="AA216" s="345"/>
      <c r="AB216" s="348"/>
      <c r="AC216" s="349"/>
      <c r="AD216" s="348"/>
      <c r="AE216" s="348"/>
      <c r="AF216" s="348"/>
      <c r="AG216" s="350"/>
      <c r="AH216" s="349"/>
      <c r="AI216" s="349"/>
      <c r="AJ216" s="349"/>
      <c r="AK216" s="348"/>
      <c r="AL216" s="348"/>
      <c r="AM216" s="348"/>
      <c r="AN216" s="345"/>
      <c r="AO216" s="345"/>
      <c r="AP216" s="345"/>
      <c r="AQ216" s="345"/>
      <c r="AR216" s="345"/>
      <c r="AS216" s="345"/>
      <c r="AT216" s="345"/>
      <c r="AU216" s="345"/>
      <c r="AV216" s="345"/>
      <c r="AW216" s="345"/>
      <c r="AX216" s="345"/>
      <c r="AY216" s="345"/>
      <c r="AZ216" s="345"/>
      <c r="BA216" s="345"/>
      <c r="BB216" s="345"/>
      <c r="BC216" s="345"/>
      <c r="BD216" s="345"/>
      <c r="BE216" s="345"/>
      <c r="BF216" s="345"/>
      <c r="BG216" s="345"/>
      <c r="BH216" s="345"/>
      <c r="BI216" s="345"/>
      <c r="BJ216" s="345"/>
      <c r="BK216" s="345"/>
      <c r="BL216" s="345"/>
      <c r="BM216" s="345"/>
      <c r="BN216" s="345"/>
      <c r="BO216" s="345"/>
      <c r="BP216" s="345"/>
      <c r="BQ216" s="345"/>
      <c r="BR216" s="345"/>
      <c r="BS216" s="345"/>
      <c r="BT216" s="345"/>
      <c r="BU216" s="345"/>
      <c r="BV216" s="345"/>
      <c r="BW216" s="345"/>
      <c r="BX216" s="346"/>
      <c r="BY216" s="351"/>
    </row>
    <row r="217" spans="1:77" ht="23.1" customHeight="1" x14ac:dyDescent="0.25">
      <c r="A217" s="134"/>
      <c r="B217" s="134"/>
      <c r="C217" s="298" t="s">
        <v>2</v>
      </c>
      <c r="D217" s="352" t="s">
        <v>209</v>
      </c>
      <c r="E217" s="268">
        <f>SUM(G217:R217)</f>
        <v>240</v>
      </c>
      <c r="F217" s="269">
        <f>E217*36</f>
        <v>8640</v>
      </c>
      <c r="G217" s="353">
        <f t="shared" ref="G217:R217" si="78">G205+SUM(G210:G215)</f>
        <v>30</v>
      </c>
      <c r="H217" s="353">
        <f t="shared" si="78"/>
        <v>30</v>
      </c>
      <c r="I217" s="353">
        <f t="shared" si="78"/>
        <v>27</v>
      </c>
      <c r="J217" s="353">
        <f t="shared" si="78"/>
        <v>30</v>
      </c>
      <c r="K217" s="353">
        <f t="shared" si="78"/>
        <v>32</v>
      </c>
      <c r="L217" s="353">
        <f t="shared" si="78"/>
        <v>30</v>
      </c>
      <c r="M217" s="353">
        <f t="shared" si="78"/>
        <v>32</v>
      </c>
      <c r="N217" s="353">
        <f t="shared" si="78"/>
        <v>29</v>
      </c>
      <c r="O217" s="353">
        <f t="shared" si="78"/>
        <v>0</v>
      </c>
      <c r="P217" s="353">
        <f t="shared" si="78"/>
        <v>0</v>
      </c>
      <c r="Q217" s="353">
        <f t="shared" si="78"/>
        <v>0</v>
      </c>
      <c r="R217" s="353">
        <f t="shared" si="78"/>
        <v>0</v>
      </c>
      <c r="S217" s="176"/>
      <c r="T217" s="177"/>
      <c r="U217" s="177"/>
      <c r="V217" s="178"/>
      <c r="W217" s="112">
        <f>X217+X217*0.1</f>
        <v>3440.8</v>
      </c>
      <c r="X217" s="180">
        <f>SUM(Y217:AA217)</f>
        <v>3128</v>
      </c>
      <c r="Y217" s="354">
        <f>Y205+SUM(Y210:Y215)</f>
        <v>1240</v>
      </c>
      <c r="Z217" s="354">
        <f>Z205+SUM(Z210:Z215)</f>
        <v>960</v>
      </c>
      <c r="AA217" s="354">
        <f>AA205+SUM(AA210:AA215)</f>
        <v>928</v>
      </c>
      <c r="AB217" s="179"/>
      <c r="AC217" s="355"/>
      <c r="AD217" s="356"/>
      <c r="AE217" s="356"/>
      <c r="AF217" s="356"/>
      <c r="AG217" s="356"/>
      <c r="AH217" s="356"/>
      <c r="AI217" s="356"/>
      <c r="AJ217" s="357"/>
      <c r="AK217" s="119">
        <f>F217-W217</f>
        <v>5199.2</v>
      </c>
      <c r="AL217" s="188"/>
      <c r="AM217" s="184"/>
      <c r="AN217" s="293">
        <f t="shared" ref="AN217:BW217" si="79">AN205+SUM(AN210:AN215)</f>
        <v>208</v>
      </c>
      <c r="AO217" s="293">
        <f t="shared" si="79"/>
        <v>112</v>
      </c>
      <c r="AP217" s="293">
        <f t="shared" si="79"/>
        <v>180</v>
      </c>
      <c r="AQ217" s="293">
        <f t="shared" si="79"/>
        <v>176</v>
      </c>
      <c r="AR217" s="293">
        <f t="shared" si="79"/>
        <v>144</v>
      </c>
      <c r="AS217" s="293">
        <f t="shared" si="79"/>
        <v>180</v>
      </c>
      <c r="AT217" s="293">
        <f t="shared" si="79"/>
        <v>128</v>
      </c>
      <c r="AU217" s="293">
        <f t="shared" si="79"/>
        <v>96</v>
      </c>
      <c r="AV217" s="293">
        <f t="shared" si="79"/>
        <v>112</v>
      </c>
      <c r="AW217" s="293">
        <f t="shared" si="79"/>
        <v>208</v>
      </c>
      <c r="AX217" s="293">
        <f t="shared" si="79"/>
        <v>176</v>
      </c>
      <c r="AY217" s="293">
        <f t="shared" si="79"/>
        <v>112</v>
      </c>
      <c r="AZ217" s="293">
        <f t="shared" si="79"/>
        <v>192</v>
      </c>
      <c r="BA217" s="293">
        <f t="shared" si="79"/>
        <v>160</v>
      </c>
      <c r="BB217" s="293">
        <f t="shared" si="79"/>
        <v>112</v>
      </c>
      <c r="BC217" s="293">
        <f t="shared" si="79"/>
        <v>88</v>
      </c>
      <c r="BD217" s="293">
        <f t="shared" si="79"/>
        <v>96</v>
      </c>
      <c r="BE217" s="293">
        <f t="shared" si="79"/>
        <v>88</v>
      </c>
      <c r="BF217" s="293">
        <f t="shared" si="79"/>
        <v>144</v>
      </c>
      <c r="BG217" s="293">
        <f t="shared" si="79"/>
        <v>128</v>
      </c>
      <c r="BH217" s="293">
        <f t="shared" si="79"/>
        <v>32</v>
      </c>
      <c r="BI217" s="293">
        <f t="shared" si="79"/>
        <v>96</v>
      </c>
      <c r="BJ217" s="293">
        <f t="shared" si="79"/>
        <v>112</v>
      </c>
      <c r="BK217" s="293">
        <f t="shared" si="79"/>
        <v>0</v>
      </c>
      <c r="BL217" s="293">
        <f t="shared" si="79"/>
        <v>0</v>
      </c>
      <c r="BM217" s="293">
        <f t="shared" si="79"/>
        <v>0</v>
      </c>
      <c r="BN217" s="293">
        <f t="shared" si="79"/>
        <v>0</v>
      </c>
      <c r="BO217" s="293">
        <f t="shared" si="79"/>
        <v>0</v>
      </c>
      <c r="BP217" s="293">
        <f t="shared" si="79"/>
        <v>0</v>
      </c>
      <c r="BQ217" s="293">
        <f t="shared" si="79"/>
        <v>0</v>
      </c>
      <c r="BR217" s="293">
        <f t="shared" si="79"/>
        <v>0</v>
      </c>
      <c r="BS217" s="293">
        <f t="shared" si="79"/>
        <v>0</v>
      </c>
      <c r="BT217" s="293">
        <f t="shared" si="79"/>
        <v>0</v>
      </c>
      <c r="BU217" s="293">
        <f t="shared" si="79"/>
        <v>0</v>
      </c>
      <c r="BV217" s="293">
        <f t="shared" si="79"/>
        <v>0</v>
      </c>
      <c r="BW217" s="293">
        <f t="shared" si="79"/>
        <v>0</v>
      </c>
      <c r="BX217" s="393"/>
      <c r="BY217" s="170"/>
    </row>
    <row r="218" spans="1:77" ht="23.1" customHeight="1" x14ac:dyDescent="0.25">
      <c r="A218" s="134"/>
      <c r="B218" s="134"/>
      <c r="C218" s="358" t="s">
        <v>2</v>
      </c>
      <c r="D218" s="359" t="s">
        <v>149</v>
      </c>
      <c r="E218" s="360"/>
      <c r="F218" s="361">
        <f>SUM(G218:R218)</f>
        <v>32</v>
      </c>
      <c r="G218" s="358">
        <f>COUNTIF(S15:S144,1)+COUNTIF(S15:S144,12)+COUNTIF(S15:S144,123)+COUNTIF(S15:S144,1234)+COUNTIF(S15:S144,12345)+COUNTIF(S15:S144,123456)+COUNTIF(S15:S144,1234567)+COUNTIF(S15:S144,12345678)</f>
        <v>4</v>
      </c>
      <c r="H218" s="358">
        <f>COUNTIF(S15:S144,2)+COUNTIF(S15:S144,12)+COUNTIF(S15:S144,123)+COUNTIF(S15:S144,1234)+COUNTIF(S15:S144,12345)+COUNTIF(S15:S144,123456)+COUNTIF(S15:S144,1234567)+COUNTIF(S15:S144,12345678)+COUNTIF(S15:S144,23)</f>
        <v>5</v>
      </c>
      <c r="I218" s="358">
        <f>COUNTIF(S15:S144,3)+COUNTIF(S15:S144,123)+COUNTIF(S15:S144,1234)+COUNTIF(S15:S144,12345)+COUNTIF(S15:S144,123456)+COUNTIF(S15:S144,1234567)+COUNTIF(S15:S144,12345678)+COUNTIF(S15:S144,23)+COUNTIF(S15:S144,34)</f>
        <v>4</v>
      </c>
      <c r="J218" s="358">
        <f>COUNTIF(S15:S144,4)+COUNTIF(S15:S144,1234)+COUNTIF(S15:S144,12345)+COUNTIF(S15:S144,123456)+COUNTIF(S15:S144,1234567)+COUNTIF(S15:S144,12345678)+COUNTIF(S15:S144,34)</f>
        <v>5</v>
      </c>
      <c r="K218" s="531">
        <f>COUNTIF(S15:S144,5)+COUNTIF(S15:S144,56)+COUNTIF(S15:S144,12345)+COUNTIF(S15:S144,123456)+COUNTIF(S15:S144,1234567)+COUNTIF(S15:S144,12345678)</f>
        <v>4</v>
      </c>
      <c r="L218" s="531">
        <f>COUNTIF(S15:S144,6)+COUNTIF(S15:S144,56)+COUNTIF(S15:S144,123456)+COUNTIF(S15:S144,1234567)+COUNTIF(S15:S144,12345678)</f>
        <v>4</v>
      </c>
      <c r="M218" s="358">
        <f>COUNTIF(S15:S144,7)+COUNTIF(S15:S144,1234567)+COUNTIF(S15:S144,12345678)</f>
        <v>3</v>
      </c>
      <c r="N218" s="358">
        <f>COUNTIF(S15:S144,8)+COUNTIF(S15:S144,12345678)</f>
        <v>3</v>
      </c>
      <c r="O218" s="147">
        <f>COUNTIF(S15:S144,9)</f>
        <v>0</v>
      </c>
      <c r="P218" s="147">
        <f>COUNTIF(S15:S144,10)</f>
        <v>0</v>
      </c>
      <c r="Q218" s="147">
        <f>COUNTIF(S15:S144,11)</f>
        <v>0</v>
      </c>
      <c r="R218" s="147"/>
      <c r="S218" s="151"/>
      <c r="T218" s="152"/>
      <c r="U218" s="152"/>
      <c r="V218" s="153"/>
      <c r="W218" s="363"/>
      <c r="X218" s="364"/>
      <c r="Y218" s="154"/>
      <c r="Z218" s="154"/>
      <c r="AA218" s="155"/>
      <c r="AB218" s="365"/>
      <c r="AC218" s="366"/>
      <c r="AD218" s="367"/>
      <c r="AE218" s="367"/>
      <c r="AF218" s="367"/>
      <c r="AG218" s="368"/>
      <c r="AH218" s="358"/>
      <c r="AI218" s="358"/>
      <c r="AJ218" s="369"/>
      <c r="AK218" s="370"/>
      <c r="AL218" s="371"/>
      <c r="AM218" s="153"/>
      <c r="AN218" s="550">
        <f>AN205+AO205+AP205</f>
        <v>500</v>
      </c>
      <c r="AO218" s="154"/>
      <c r="AP218" s="154"/>
      <c r="AQ218" s="550">
        <f>AQ205+AR205+AS205</f>
        <v>500</v>
      </c>
      <c r="AR218" s="154"/>
      <c r="AS218" s="154"/>
      <c r="AT218" s="550">
        <f>AT205+AU205+AV205</f>
        <v>336</v>
      </c>
      <c r="AU218" s="154"/>
      <c r="AV218" s="154"/>
      <c r="AW218" s="550">
        <f>AW205+AX205+AY205</f>
        <v>496</v>
      </c>
      <c r="AX218" s="154"/>
      <c r="AY218" s="154"/>
      <c r="AZ218" s="372">
        <f>AZ205+BA205+BB205</f>
        <v>464</v>
      </c>
      <c r="BA218" s="154"/>
      <c r="BB218" s="154"/>
      <c r="BC218" s="372">
        <f>BC205+BD205+BE205</f>
        <v>272</v>
      </c>
      <c r="BD218" s="154"/>
      <c r="BE218" s="154"/>
      <c r="BF218" s="372">
        <f>BF205+BG205+BH205</f>
        <v>304</v>
      </c>
      <c r="BG218" s="154"/>
      <c r="BH218" s="154"/>
      <c r="BI218" s="372">
        <f>BI205+BJ205+BK205</f>
        <v>208</v>
      </c>
      <c r="BJ218" s="154"/>
      <c r="BK218" s="154"/>
      <c r="BL218" s="372">
        <f>BL205+BM205+BN205</f>
        <v>0</v>
      </c>
      <c r="BM218" s="154"/>
      <c r="BN218" s="154"/>
      <c r="BO218" s="372">
        <f>BO205+BP205+BQ205</f>
        <v>0</v>
      </c>
      <c r="BP218" s="154"/>
      <c r="BQ218" s="154"/>
      <c r="BR218" s="372">
        <f>BR205+BS205+BT205</f>
        <v>0</v>
      </c>
      <c r="BS218" s="154"/>
      <c r="BT218" s="154"/>
      <c r="BU218" s="372">
        <f>BU205+BV205+BW205</f>
        <v>0</v>
      </c>
      <c r="BV218" s="154"/>
      <c r="BW218" s="155"/>
      <c r="BX218" s="373"/>
      <c r="BY218" s="122"/>
    </row>
    <row r="219" spans="1:77" ht="23.1" customHeight="1" x14ac:dyDescent="0.25">
      <c r="A219" s="374"/>
      <c r="B219" s="134"/>
      <c r="C219" s="358" t="s">
        <v>2</v>
      </c>
      <c r="D219" s="359" t="s">
        <v>150</v>
      </c>
      <c r="E219" s="360"/>
      <c r="F219" s="361">
        <f>SUM(G219:R219)</f>
        <v>9</v>
      </c>
      <c r="G219" s="358">
        <f>COUNTIF(T15:T144,1)+COUNTIF(T210:T213,1)+COUNTIF(T15:T144,12)</f>
        <v>0</v>
      </c>
      <c r="H219" s="358">
        <f>COUNTIF(T15:T144,2)+COUNTIF(T210:T213,2)+COUNTIF(T15:T144,12)</f>
        <v>1</v>
      </c>
      <c r="I219" s="358">
        <f>COUNTIF(T15:T144,3)+COUNTIF(T210:T213,3)</f>
        <v>0</v>
      </c>
      <c r="J219" s="358">
        <f>COUNTIF(T15:T144,4)+COUNTIF(T210:T213,4)</f>
        <v>1</v>
      </c>
      <c r="K219" s="531">
        <f>COUNTIF(T15:T144,5)+COUNTIF(T210:T213,5)</f>
        <v>1</v>
      </c>
      <c r="L219" s="531">
        <f>COUNTIF(T15:T144,6)+COUNTIF(T210:T213,6)+COUNTIF(T210:T213,67)</f>
        <v>3</v>
      </c>
      <c r="M219" s="358">
        <f>COUNTIF(T15:T144,7)+COUNTIF(T210:T213,7)+COUNTIF(T210:T213,67)</f>
        <v>1</v>
      </c>
      <c r="N219" s="358">
        <f>COUNTIF(T15:T144,8)+COUNTIF(T210:T213,8)</f>
        <v>2</v>
      </c>
      <c r="O219" s="147">
        <f>COUNTIF(T15:T144,9)+COUNTIF(T210:T213,9)</f>
        <v>0</v>
      </c>
      <c r="P219" s="147">
        <f>COUNTIF(T15:T144,10)+COUNTIF(T210:T213,10)</f>
        <v>0</v>
      </c>
      <c r="Q219" s="147">
        <f>COUNTIF(T15:T144,11)+COUNTIF(T210:T213,11)</f>
        <v>0</v>
      </c>
      <c r="R219" s="147"/>
      <c r="S219" s="151"/>
      <c r="T219" s="152"/>
      <c r="U219" s="152"/>
      <c r="V219" s="153"/>
      <c r="W219" s="363"/>
      <c r="X219" s="364"/>
      <c r="Y219" s="154"/>
      <c r="Z219" s="154"/>
      <c r="AA219" s="155"/>
      <c r="AB219" s="365"/>
      <c r="AC219" s="366"/>
      <c r="AD219" s="367"/>
      <c r="AE219" s="367"/>
      <c r="AF219" s="367"/>
      <c r="AG219" s="368"/>
      <c r="AH219" s="358"/>
      <c r="AI219" s="358"/>
      <c r="AJ219" s="369"/>
      <c r="AK219" s="370"/>
      <c r="AL219" s="371"/>
      <c r="AM219" s="153"/>
      <c r="AN219" s="375">
        <f>AN218/16</f>
        <v>31.25</v>
      </c>
      <c r="AO219" s="376"/>
      <c r="AP219" s="376"/>
      <c r="AQ219" s="375">
        <f>AQ218/16</f>
        <v>31.25</v>
      </c>
      <c r="AR219" s="376"/>
      <c r="AS219" s="376"/>
      <c r="AT219" s="375">
        <f>AT218/16</f>
        <v>21</v>
      </c>
      <c r="AU219" s="376"/>
      <c r="AV219" s="376"/>
      <c r="AW219" s="375">
        <f>AW218/16</f>
        <v>31</v>
      </c>
      <c r="AX219" s="376"/>
      <c r="AY219" s="376"/>
      <c r="AZ219" s="375">
        <f>AZ218/16</f>
        <v>29</v>
      </c>
      <c r="BA219" s="376"/>
      <c r="BB219" s="376"/>
      <c r="BC219" s="375">
        <f>BC218/16</f>
        <v>17</v>
      </c>
      <c r="BD219" s="376"/>
      <c r="BE219" s="376"/>
      <c r="BF219" s="375">
        <f>BF218/16</f>
        <v>19</v>
      </c>
      <c r="BG219" s="376"/>
      <c r="BH219" s="376"/>
      <c r="BI219" s="375">
        <f>BI218/16</f>
        <v>13</v>
      </c>
      <c r="BJ219" s="376"/>
      <c r="BK219" s="376"/>
      <c r="BL219" s="375">
        <f>BL218/16</f>
        <v>0</v>
      </c>
      <c r="BM219" s="376"/>
      <c r="BN219" s="376"/>
      <c r="BO219" s="375">
        <f>BO218/16</f>
        <v>0</v>
      </c>
      <c r="BP219" s="376"/>
      <c r="BQ219" s="376"/>
      <c r="BR219" s="375">
        <f>BR218/16</f>
        <v>0</v>
      </c>
      <c r="BS219" s="376"/>
      <c r="BT219" s="376"/>
      <c r="BU219" s="375">
        <f>BU218/16</f>
        <v>0</v>
      </c>
      <c r="BV219" s="376"/>
      <c r="BW219" s="377"/>
      <c r="BX219" s="373"/>
      <c r="BY219" s="122"/>
    </row>
    <row r="220" spans="1:77" s="382" customFormat="1" ht="23.1" customHeight="1" x14ac:dyDescent="0.25">
      <c r="A220" s="310"/>
      <c r="B220" s="310"/>
      <c r="C220" s="317" t="s">
        <v>2</v>
      </c>
      <c r="D220" s="359" t="s">
        <v>151</v>
      </c>
      <c r="E220" s="360"/>
      <c r="F220" s="361">
        <f>SUM(G220:R220)</f>
        <v>23</v>
      </c>
      <c r="G220" s="358">
        <f>COUNTIF(U15:U144,1)+COUNTIF(U15:U144,12)+COUNTIF(U15:U144,123)+COUNTIF(U15:U144,1234)+COUNTIF(U15:U144,12345)+COUNTIF(U15:U144,123456)+COUNTIF(U15:U144,1234567)+COUNTIF(U15:U144,1234567)</f>
        <v>5</v>
      </c>
      <c r="H220" s="358">
        <f>COUNTIF(U15:U144,2)+COUNTIF(U15:U144,12)+COUNTIF(U15:U144,123)+COUNTIF(U15:U144,1234)+COUNTIF(U15:U144,12345)+COUNTIF(U15:U144,123456)+COUNTIF(U15:U144,1234567)+COUNTIF(U15:U144,234567)</f>
        <v>3</v>
      </c>
      <c r="I220" s="358">
        <f>COUNTIF(U15:U144,3)+COUNTIF(U15:U144,123)+COUNTIF(U15:U144,1234)+COUNTIF(U15:U144,12345)+COUNTIF(U15:U144,123456)+COUNTIF(U15:U144,1234567)+COUNTIF(U15:U144,234567)+COUNTIF(U15:U144,123)-12</f>
        <v>3</v>
      </c>
      <c r="J220" s="358">
        <f>COUNTIF(U15:U144,4)+COUNTIF(U15:U144,1234)+COUNTIF(U15:U144,12345)+COUNTIF(U15:U144,123456)+COUNTIF(U15:U144,1234567)+COUNTIF(U15:U144,234567)+COUNTIF(U204,34567)</f>
        <v>3</v>
      </c>
      <c r="K220" s="531">
        <f>COUNTIF(U15:U144,5)+COUNTIF(U15:U144,12345)+COUNTIF(U15:U144,123456)+COUNTIF(U15:U144,1234567)+COUNTIF(U15:U144,234567)+COUNTIF(U204,34567)</f>
        <v>4</v>
      </c>
      <c r="L220" s="531">
        <f>COUNTIF(U15:U144,6)+COUNTIF(204:204,34567)-2</f>
        <v>1</v>
      </c>
      <c r="M220" s="358">
        <f>COUNTIF(U15:U144,7)+COUNTIF(U15:U144,1234567)+COUNTIF(U15:U144,234567)+COUNTIF(U204,34567)</f>
        <v>3</v>
      </c>
      <c r="N220" s="358">
        <f>COUNTIF(U15:U144,8)+COUNTIF(U15:U144,12345678)</f>
        <v>1</v>
      </c>
      <c r="O220" s="147">
        <f>COUNTIF(U15:U144,9)</f>
        <v>0</v>
      </c>
      <c r="P220" s="147">
        <f>COUNTIF(U15:U144,10)</f>
        <v>0</v>
      </c>
      <c r="Q220" s="147">
        <f>COUNTIF(U15:U144,11)</f>
        <v>0</v>
      </c>
      <c r="R220" s="147"/>
      <c r="S220" s="151"/>
      <c r="T220" s="152"/>
      <c r="U220" s="152"/>
      <c r="V220" s="153"/>
      <c r="W220" s="363"/>
      <c r="X220" s="364"/>
      <c r="Y220" s="154"/>
      <c r="Z220" s="154"/>
      <c r="AA220" s="155"/>
      <c r="AB220" s="365"/>
      <c r="AC220" s="378"/>
      <c r="AD220" s="367"/>
      <c r="AE220" s="367"/>
      <c r="AF220" s="367"/>
      <c r="AG220" s="368"/>
      <c r="AH220" s="379"/>
      <c r="AI220" s="379"/>
      <c r="AJ220" s="380"/>
      <c r="AK220" s="370"/>
      <c r="AL220" s="371"/>
      <c r="AM220" s="153"/>
      <c r="AN220" s="381" t="s">
        <v>181</v>
      </c>
      <c r="AO220" s="154"/>
      <c r="AP220" s="154"/>
      <c r="AQ220" s="154"/>
      <c r="AR220" s="154"/>
      <c r="AS220" s="154"/>
      <c r="AT220" s="154"/>
      <c r="AU220" s="154"/>
      <c r="AV220" s="154"/>
      <c r="AW220" s="154"/>
      <c r="AX220" s="154"/>
      <c r="AY220" s="154"/>
      <c r="AZ220" s="154"/>
      <c r="BA220" s="154"/>
      <c r="BB220" s="154"/>
      <c r="BC220" s="154"/>
      <c r="BD220" s="154"/>
      <c r="BE220" s="154"/>
      <c r="BF220" s="154"/>
      <c r="BG220" s="154"/>
      <c r="BH220" s="154"/>
      <c r="BI220" s="154"/>
      <c r="BJ220" s="154"/>
      <c r="BK220" s="154"/>
      <c r="BL220" s="154"/>
      <c r="BM220" s="154"/>
      <c r="BN220" s="154"/>
      <c r="BO220" s="154"/>
      <c r="BP220" s="154"/>
      <c r="BQ220" s="154"/>
      <c r="BR220" s="154"/>
      <c r="BS220" s="154"/>
      <c r="BT220" s="154"/>
      <c r="BU220" s="154"/>
      <c r="BV220" s="154"/>
      <c r="BW220" s="155"/>
      <c r="BX220" s="373"/>
      <c r="BY220" s="122"/>
    </row>
    <row r="221" spans="1:77" s="282" customFormat="1" ht="23.1" customHeight="1" x14ac:dyDescent="0.25">
      <c r="A221" s="298"/>
      <c r="B221" s="298"/>
      <c r="C221" s="358" t="s">
        <v>2</v>
      </c>
      <c r="D221" s="383" t="s">
        <v>28</v>
      </c>
      <c r="E221" s="360"/>
      <c r="F221" s="361">
        <f>SUM(G221:R221)</f>
        <v>2</v>
      </c>
      <c r="G221" s="358">
        <f>COUNTIF(V15:V144,1)</f>
        <v>0</v>
      </c>
      <c r="H221" s="358">
        <f>COUNTIF(V15:V144,2)</f>
        <v>0</v>
      </c>
      <c r="I221" s="358">
        <f>COUNTIF(V15:V144,3)</f>
        <v>0</v>
      </c>
      <c r="J221" s="358">
        <f>COUNTIF(V15:V144,4)</f>
        <v>0</v>
      </c>
      <c r="K221" s="531">
        <f>COUNTIF(V15:V144,5)</f>
        <v>0</v>
      </c>
      <c r="L221" s="531">
        <f>COUNTIF(V15:V144,6)</f>
        <v>1</v>
      </c>
      <c r="M221" s="358">
        <f>COUNTIF(V15:V144,7)</f>
        <v>1</v>
      </c>
      <c r="N221" s="358">
        <f>COUNTIF(V15:V144,8)</f>
        <v>0</v>
      </c>
      <c r="O221" s="147">
        <f>COUNTIF(V15:V144,9)</f>
        <v>0</v>
      </c>
      <c r="P221" s="147">
        <f>COUNTIF(V15:V144,10)</f>
        <v>0</v>
      </c>
      <c r="Q221" s="147">
        <f>COUNTIF(V15:V144,11)</f>
        <v>0</v>
      </c>
      <c r="R221" s="147"/>
      <c r="S221" s="151"/>
      <c r="T221" s="152"/>
      <c r="U221" s="152"/>
      <c r="V221" s="153"/>
      <c r="W221" s="363"/>
      <c r="X221" s="364"/>
      <c r="Y221" s="154"/>
      <c r="Z221" s="154"/>
      <c r="AA221" s="155"/>
      <c r="AB221" s="365"/>
      <c r="AC221" s="366"/>
      <c r="AD221" s="367"/>
      <c r="AE221" s="367"/>
      <c r="AF221" s="367"/>
      <c r="AG221" s="368"/>
      <c r="AH221" s="358"/>
      <c r="AI221" s="358"/>
      <c r="AJ221" s="369"/>
      <c r="AK221" s="370"/>
      <c r="AL221" s="371"/>
      <c r="AM221" s="367"/>
      <c r="AN221" s="364"/>
      <c r="AO221" s="154"/>
      <c r="AP221" s="154"/>
      <c r="AQ221" s="154"/>
      <c r="AR221" s="154"/>
      <c r="AS221" s="154"/>
      <c r="AT221" s="154"/>
      <c r="AU221" s="154"/>
      <c r="AV221" s="154"/>
      <c r="AW221" s="154"/>
      <c r="AX221" s="154"/>
      <c r="AY221" s="154"/>
      <c r="AZ221" s="154"/>
      <c r="BA221" s="154"/>
      <c r="BB221" s="154"/>
      <c r="BC221" s="154"/>
      <c r="BD221" s="154"/>
      <c r="BE221" s="154"/>
      <c r="BF221" s="154"/>
      <c r="BG221" s="154"/>
      <c r="BH221" s="154"/>
      <c r="BI221" s="154"/>
      <c r="BJ221" s="154"/>
      <c r="BK221" s="154"/>
      <c r="BL221" s="154"/>
      <c r="BM221" s="154"/>
      <c r="BN221" s="154"/>
      <c r="BO221" s="154"/>
      <c r="BP221" s="154"/>
      <c r="BQ221" s="154"/>
      <c r="BR221" s="154"/>
      <c r="BS221" s="154"/>
      <c r="BT221" s="154"/>
      <c r="BU221" s="154"/>
      <c r="BV221" s="154"/>
      <c r="BW221" s="155"/>
      <c r="BX221" s="373"/>
      <c r="BY221" s="122"/>
    </row>
    <row r="222" spans="1:77" s="282" customFormat="1" ht="10.5" customHeight="1" x14ac:dyDescent="0.25">
      <c r="A222" s="298"/>
      <c r="B222" s="298"/>
      <c r="C222" s="358"/>
      <c r="D222" s="384"/>
      <c r="E222" s="385"/>
      <c r="F222" s="386"/>
      <c r="G222" s="387"/>
      <c r="H222" s="387"/>
      <c r="I222" s="387"/>
      <c r="J222" s="387"/>
      <c r="K222" s="532"/>
      <c r="L222" s="532"/>
      <c r="M222" s="387"/>
      <c r="N222" s="387"/>
      <c r="O222" s="387"/>
      <c r="P222" s="387"/>
      <c r="Q222" s="387"/>
      <c r="R222" s="387"/>
      <c r="S222" s="388"/>
      <c r="T222" s="388"/>
      <c r="U222" s="388"/>
      <c r="V222" s="388"/>
      <c r="W222" s="363"/>
      <c r="X222" s="386"/>
      <c r="Y222" s="386"/>
      <c r="Z222" s="386"/>
      <c r="AA222" s="386"/>
      <c r="AB222" s="365"/>
      <c r="AC222" s="389"/>
      <c r="AD222" s="363"/>
      <c r="AE222" s="363"/>
      <c r="AF222" s="363"/>
      <c r="AG222" s="365"/>
      <c r="AH222" s="389"/>
      <c r="AI222" s="389"/>
      <c r="AJ222" s="389"/>
      <c r="AK222" s="363"/>
      <c r="AL222" s="363"/>
      <c r="AM222" s="363"/>
      <c r="AN222" s="386"/>
      <c r="AO222" s="386"/>
      <c r="AP222" s="386"/>
      <c r="AQ222" s="386"/>
      <c r="AR222" s="386"/>
      <c r="AS222" s="386"/>
      <c r="AT222" s="386"/>
      <c r="AU222" s="386"/>
      <c r="AV222" s="386"/>
      <c r="AW222" s="386"/>
      <c r="AX222" s="386"/>
      <c r="AY222" s="386"/>
      <c r="AZ222" s="386"/>
      <c r="BA222" s="386"/>
      <c r="BB222" s="386"/>
      <c r="BC222" s="386"/>
      <c r="BD222" s="386"/>
      <c r="BE222" s="386"/>
      <c r="BF222" s="386"/>
      <c r="BG222" s="386"/>
      <c r="BH222" s="386"/>
      <c r="BI222" s="386"/>
      <c r="BJ222" s="386"/>
      <c r="BK222" s="386"/>
      <c r="BL222" s="386"/>
      <c r="BM222" s="386"/>
      <c r="BN222" s="386"/>
      <c r="BO222" s="386"/>
      <c r="BP222" s="386"/>
      <c r="BQ222" s="386"/>
      <c r="BR222" s="386"/>
      <c r="BS222" s="386"/>
      <c r="BT222" s="386"/>
      <c r="BU222" s="386"/>
      <c r="BV222" s="386"/>
      <c r="BW222" s="386"/>
      <c r="BX222" s="389"/>
      <c r="BY222" s="390"/>
    </row>
    <row r="223" spans="1:77" s="282" customFormat="1" ht="23.1" customHeight="1" x14ac:dyDescent="0.25">
      <c r="A223" s="298"/>
      <c r="B223" s="298"/>
      <c r="C223" s="298" t="s">
        <v>2</v>
      </c>
      <c r="D223" s="352" t="s">
        <v>210</v>
      </c>
      <c r="E223" s="268">
        <f>SUM(G223:R223)</f>
        <v>240</v>
      </c>
      <c r="F223" s="269">
        <f>E223*36</f>
        <v>8640</v>
      </c>
      <c r="G223" s="289">
        <f t="shared" ref="G223:R223" si="80">G206+SUM(G210:G215)</f>
        <v>30</v>
      </c>
      <c r="H223" s="353">
        <f t="shared" si="80"/>
        <v>30</v>
      </c>
      <c r="I223" s="353">
        <f t="shared" si="80"/>
        <v>27</v>
      </c>
      <c r="J223" s="353">
        <f t="shared" si="80"/>
        <v>29</v>
      </c>
      <c r="K223" s="353">
        <f t="shared" si="80"/>
        <v>33</v>
      </c>
      <c r="L223" s="353">
        <f t="shared" si="80"/>
        <v>30</v>
      </c>
      <c r="M223" s="353">
        <f t="shared" si="80"/>
        <v>32</v>
      </c>
      <c r="N223" s="353">
        <f t="shared" si="80"/>
        <v>29</v>
      </c>
      <c r="O223" s="353">
        <f t="shared" si="80"/>
        <v>0</v>
      </c>
      <c r="P223" s="353">
        <f t="shared" si="80"/>
        <v>0</v>
      </c>
      <c r="Q223" s="353">
        <f t="shared" si="80"/>
        <v>0</v>
      </c>
      <c r="R223" s="353">
        <f t="shared" si="80"/>
        <v>0</v>
      </c>
      <c r="S223" s="176"/>
      <c r="T223" s="177"/>
      <c r="U223" s="177"/>
      <c r="V223" s="178"/>
      <c r="W223" s="112">
        <f>X223+X223*0.1</f>
        <v>3476</v>
      </c>
      <c r="X223" s="391">
        <f>SUM(Y223:AA223)</f>
        <v>3160</v>
      </c>
      <c r="Y223" s="354">
        <f>Y206+SUM(Y210:Y215)</f>
        <v>1256</v>
      </c>
      <c r="Z223" s="354">
        <f>Z206+SUM(Z210:Z215)</f>
        <v>976</v>
      </c>
      <c r="AA223" s="354">
        <f>AA206+SUM(AA210:AA215)</f>
        <v>928</v>
      </c>
      <c r="AB223" s="179"/>
      <c r="AC223" s="355"/>
      <c r="AD223" s="356"/>
      <c r="AE223" s="356"/>
      <c r="AF223" s="356"/>
      <c r="AG223" s="356"/>
      <c r="AH223" s="356"/>
      <c r="AI223" s="356"/>
      <c r="AJ223" s="357"/>
      <c r="AK223" s="119">
        <f>F223-W223</f>
        <v>5164</v>
      </c>
      <c r="AL223" s="188"/>
      <c r="AM223" s="184"/>
      <c r="AN223" s="354">
        <f t="shared" ref="AN223:BW223" si="81">AN206+SUM(AN210:AN215)</f>
        <v>208</v>
      </c>
      <c r="AO223" s="392">
        <f t="shared" si="81"/>
        <v>112</v>
      </c>
      <c r="AP223" s="392">
        <f t="shared" si="81"/>
        <v>180</v>
      </c>
      <c r="AQ223" s="392">
        <f t="shared" si="81"/>
        <v>176</v>
      </c>
      <c r="AR223" s="392">
        <f t="shared" si="81"/>
        <v>144</v>
      </c>
      <c r="AS223" s="392">
        <f t="shared" si="81"/>
        <v>180</v>
      </c>
      <c r="AT223" s="392">
        <f t="shared" si="81"/>
        <v>128</v>
      </c>
      <c r="AU223" s="392">
        <f t="shared" si="81"/>
        <v>96</v>
      </c>
      <c r="AV223" s="392">
        <f t="shared" si="81"/>
        <v>112</v>
      </c>
      <c r="AW223" s="392">
        <f t="shared" si="81"/>
        <v>192</v>
      </c>
      <c r="AX223" s="392">
        <f t="shared" si="81"/>
        <v>160</v>
      </c>
      <c r="AY223" s="392">
        <f t="shared" si="81"/>
        <v>112</v>
      </c>
      <c r="AZ223" s="392">
        <f t="shared" si="81"/>
        <v>192</v>
      </c>
      <c r="BA223" s="392">
        <f t="shared" si="81"/>
        <v>160</v>
      </c>
      <c r="BB223" s="392">
        <f t="shared" si="81"/>
        <v>112</v>
      </c>
      <c r="BC223" s="392">
        <f t="shared" si="81"/>
        <v>88</v>
      </c>
      <c r="BD223" s="392">
        <f t="shared" si="81"/>
        <v>96</v>
      </c>
      <c r="BE223" s="392">
        <f t="shared" si="81"/>
        <v>88</v>
      </c>
      <c r="BF223" s="392">
        <f t="shared" si="81"/>
        <v>144</v>
      </c>
      <c r="BG223" s="392">
        <f t="shared" si="81"/>
        <v>128</v>
      </c>
      <c r="BH223" s="392">
        <f t="shared" si="81"/>
        <v>32</v>
      </c>
      <c r="BI223" s="392">
        <f t="shared" si="81"/>
        <v>96</v>
      </c>
      <c r="BJ223" s="392">
        <f t="shared" si="81"/>
        <v>112</v>
      </c>
      <c r="BK223" s="392">
        <f t="shared" si="81"/>
        <v>0</v>
      </c>
      <c r="BL223" s="356">
        <f t="shared" si="81"/>
        <v>0</v>
      </c>
      <c r="BM223" s="356">
        <f t="shared" si="81"/>
        <v>0</v>
      </c>
      <c r="BN223" s="356">
        <f t="shared" si="81"/>
        <v>0</v>
      </c>
      <c r="BO223" s="356">
        <f t="shared" si="81"/>
        <v>0</v>
      </c>
      <c r="BP223" s="356">
        <f t="shared" si="81"/>
        <v>0</v>
      </c>
      <c r="BQ223" s="356">
        <f t="shared" si="81"/>
        <v>0</v>
      </c>
      <c r="BR223" s="356">
        <f t="shared" si="81"/>
        <v>0</v>
      </c>
      <c r="BS223" s="356">
        <f t="shared" si="81"/>
        <v>0</v>
      </c>
      <c r="BT223" s="356">
        <f t="shared" si="81"/>
        <v>0</v>
      </c>
      <c r="BU223" s="356">
        <f t="shared" si="81"/>
        <v>0</v>
      </c>
      <c r="BV223" s="356">
        <f t="shared" si="81"/>
        <v>0</v>
      </c>
      <c r="BW223" s="357">
        <f t="shared" si="81"/>
        <v>0</v>
      </c>
      <c r="BX223" s="393"/>
      <c r="BY223" s="170"/>
    </row>
    <row r="224" spans="1:77" s="282" customFormat="1" ht="23.1" customHeight="1" x14ac:dyDescent="0.25">
      <c r="A224" s="298"/>
      <c r="B224" s="298"/>
      <c r="C224" s="358" t="s">
        <v>2</v>
      </c>
      <c r="D224" s="359" t="s">
        <v>149</v>
      </c>
      <c r="E224" s="360"/>
      <c r="F224" s="361">
        <f>SUM(G224:R224)</f>
        <v>32</v>
      </c>
      <c r="G224" s="358">
        <f>COUNTIF(S20:S130,1)+COUNTIF(S20:S130,12)+COUNTIF(S20:S130,123)+COUNTIF(S20:S130,1234)+COUNTIF(S20:S130,12345)+COUNTIF(S20:S130,123456)+COUNTIF(S20:S130,1234567)+COUNTIF(S20:S130,12345678)+COUNTIF(S146:S158,1)</f>
        <v>4</v>
      </c>
      <c r="H224" s="358">
        <f>COUNTIF(S20:S130,2)+COUNTIF(S20:S130,12)+COUNTIF(S20:S130,123)+COUNTIF(S20:S130,1234)+COUNTIF(S20:S130,12345)+COUNTIF(S20:S130,123456)+COUNTIF(S20:S130,1234567)+COUNTIF(S20:S130,12345678)+COUNTIF(S146:S158,2)+COUNTIF(S20:S130,23)</f>
        <v>5</v>
      </c>
      <c r="I224" s="358">
        <f>COUNTIF(S20:S130,3)+COUNTIF(S20:S130,123)+COUNTIF(S20:S130,1234)+COUNTIF(S20:S130,12345)+COUNTIF(S20:S130,123456)+COUNTIF(S20:S130,1234567)+COUNTIF(S20:S130,12345678)+COUNTIF(S146:S158,3)+COUNTIF(S20:S130,23)+COUNTIF(S20:S130,34)</f>
        <v>4</v>
      </c>
      <c r="J224" s="358">
        <f>COUNTIF(S20:S130,4)+COUNTIF(S20:S130,1234)+COUNTIF(S20:S130,12345)+COUNTIF(S20:S130,123456)+COUNTIF(S20:S130,1234567)+COUNTIF(S20:S130,12345678)+COUNTIF(S146:S158,4)+COUNTIF(S20:S130,34)</f>
        <v>5</v>
      </c>
      <c r="K224" s="531">
        <f>COUNTIF(S20:S130,5)+COUNTIF(S20:S130,12345)+COUNTIF(S20:S130,123456)+COUNTIF(S20:S130,1234567)+COUNTIF(S20:S130,12345678)+COUNTIF(S146:S158,5)</f>
        <v>4</v>
      </c>
      <c r="L224" s="531">
        <f>COUNTIF(S20:S130,6)+COUNTIF(S20:S130,123456)+COUNTIF(S20:S130,1234567)+COUNTIF(S20:S130,12345678)+COUNTIF(S146:S158,6)</f>
        <v>4</v>
      </c>
      <c r="M224" s="358">
        <f>COUNTIF(S20:S130,7)+COUNTIF(S20:S130,1234567)+COUNTIF(S20:S130,12345678)+COUNTIF(S146:S158,7)</f>
        <v>3</v>
      </c>
      <c r="N224" s="358">
        <f>COUNTIF(S20:S130,8)+COUNTIF(S20:S130,12345678)+COUNTIF(S146:S158,8)</f>
        <v>3</v>
      </c>
      <c r="O224" s="147">
        <f>COUNTIF(S20:S130,9)+COUNTIF(S146:S158,9)</f>
        <v>0</v>
      </c>
      <c r="P224" s="147">
        <f>COUNTIF(S20:S130,10)+COUNTIF(S146:S158,10)</f>
        <v>0</v>
      </c>
      <c r="Q224" s="147">
        <f>COUNTIF(S20:S130,11)+COUNTIF(S146:S158,11)</f>
        <v>0</v>
      </c>
      <c r="R224" s="147"/>
      <c r="S224" s="151"/>
      <c r="T224" s="152"/>
      <c r="U224" s="152"/>
      <c r="V224" s="153"/>
      <c r="W224" s="363"/>
      <c r="X224" s="364"/>
      <c r="Y224" s="154"/>
      <c r="Z224" s="154"/>
      <c r="AA224" s="155"/>
      <c r="AB224" s="365"/>
      <c r="AC224" s="366"/>
      <c r="AD224" s="367"/>
      <c r="AE224" s="367"/>
      <c r="AF224" s="367"/>
      <c r="AG224" s="368"/>
      <c r="AH224" s="358"/>
      <c r="AI224" s="358"/>
      <c r="AJ224" s="369"/>
      <c r="AK224" s="370"/>
      <c r="AL224" s="371"/>
      <c r="AM224" s="153"/>
      <c r="AN224" s="372">
        <f>AN206+AO206+AP206</f>
        <v>500</v>
      </c>
      <c r="AO224" s="154"/>
      <c r="AP224" s="154"/>
      <c r="AQ224" s="372">
        <f>AQ206+AR206+AS206</f>
        <v>500</v>
      </c>
      <c r="AR224" s="154"/>
      <c r="AS224" s="154"/>
      <c r="AT224" s="372">
        <f>AT206+AU206+AV206</f>
        <v>336</v>
      </c>
      <c r="AU224" s="154"/>
      <c r="AV224" s="154"/>
      <c r="AW224" s="372">
        <f>AW206+AX206+AY206</f>
        <v>464</v>
      </c>
      <c r="AX224" s="154"/>
      <c r="AY224" s="154"/>
      <c r="AZ224" s="372">
        <f>AZ206+BA206+BB206</f>
        <v>464</v>
      </c>
      <c r="BA224" s="154"/>
      <c r="BB224" s="154"/>
      <c r="BC224" s="372">
        <f>BC206+BD206+BE206</f>
        <v>272</v>
      </c>
      <c r="BD224" s="154"/>
      <c r="BE224" s="154"/>
      <c r="BF224" s="372">
        <f>BF206+BG206+BH206</f>
        <v>304</v>
      </c>
      <c r="BG224" s="154"/>
      <c r="BH224" s="154"/>
      <c r="BI224" s="372">
        <f>BI206+BJ206+BK206</f>
        <v>208</v>
      </c>
      <c r="BJ224" s="154"/>
      <c r="BK224" s="154"/>
      <c r="BL224" s="372">
        <f>BL206+BM206+BN206</f>
        <v>0</v>
      </c>
      <c r="BM224" s="154"/>
      <c r="BN224" s="154"/>
      <c r="BO224" s="372">
        <f>BO206+BP206+BQ206</f>
        <v>0</v>
      </c>
      <c r="BP224" s="154"/>
      <c r="BQ224" s="154"/>
      <c r="BR224" s="372">
        <f>BR206+BS206+BT206</f>
        <v>0</v>
      </c>
      <c r="BS224" s="154"/>
      <c r="BT224" s="154"/>
      <c r="BU224" s="372">
        <f>BU206+BV206+BW206</f>
        <v>0</v>
      </c>
      <c r="BV224" s="154"/>
      <c r="BW224" s="155"/>
      <c r="BX224" s="373"/>
      <c r="BY224" s="122"/>
    </row>
    <row r="225" spans="1:77" s="282" customFormat="1" ht="23.1" customHeight="1" x14ac:dyDescent="0.25">
      <c r="A225" s="394"/>
      <c r="B225" s="298"/>
      <c r="C225" s="358" t="s">
        <v>2</v>
      </c>
      <c r="D225" s="359" t="s">
        <v>150</v>
      </c>
      <c r="E225" s="360"/>
      <c r="F225" s="361">
        <f>SUM(G225:R225)</f>
        <v>9</v>
      </c>
      <c r="G225" s="358">
        <f>COUNTIF(T20:T130,1)+COUNTIF(T146:T158,1)+COUNTIF(T211:T213,1)+COUNTIF(T20:T130,12)</f>
        <v>0</v>
      </c>
      <c r="H225" s="358">
        <f>COUNTIF(T20:T130,2)+COUNTIF(T146:T158,2)+COUNTIF(T211:T213,2)+COUNTIF(T20:T130,12)</f>
        <v>1</v>
      </c>
      <c r="I225" s="358">
        <f>COUNTIF(T20:T130,3)+COUNTIF(T146:T158,3)+COUNTIF(T211:T213,3)</f>
        <v>0</v>
      </c>
      <c r="J225" s="358">
        <f>COUNTIF(T20:T130,4)+COUNTIF(T146:T158,4)+COUNTIF(T211:T213,4)</f>
        <v>2</v>
      </c>
      <c r="K225" s="531">
        <f>COUNTIF(T20:T130,5)+COUNTIF(T146:T158,5)+COUNTIF(T211:T213,5)</f>
        <v>1</v>
      </c>
      <c r="L225" s="531">
        <f>COUNTIF(T20:T130,6)+COUNTIF(T146:T158,6)+COUNTIF(T211:T213,67)</f>
        <v>2</v>
      </c>
      <c r="M225" s="358">
        <f>COUNTIF(T20:T130,7)+COUNTIF(T146:T158,7)+COUNTIF(T211:T213,7)+COUNTIF(T211:T213,67)</f>
        <v>1</v>
      </c>
      <c r="N225" s="358">
        <f>COUNTIF(T20:T130,8)+COUNTIF(T146:T158,8)+COUNTIF(T211:T213,8)</f>
        <v>2</v>
      </c>
      <c r="O225" s="147">
        <f>COUNTIF(T20:T130,9)+COUNTIF(T146:T158,9)+COUNTIF(T211:T213,9)</f>
        <v>0</v>
      </c>
      <c r="P225" s="147">
        <f>COUNTIF(T20:T130,10)+COUNTIF(T146:T158,10)+COUNTIF(T211:T213,10)</f>
        <v>0</v>
      </c>
      <c r="Q225" s="147">
        <f>COUNTIF(T20:T130,11)+COUNTIF(T146:T158,11)+COUNTIF(T211:T213,11)</f>
        <v>0</v>
      </c>
      <c r="R225" s="147"/>
      <c r="S225" s="151"/>
      <c r="T225" s="152"/>
      <c r="U225" s="152"/>
      <c r="V225" s="153"/>
      <c r="W225" s="363"/>
      <c r="X225" s="364"/>
      <c r="Y225" s="154"/>
      <c r="Z225" s="154"/>
      <c r="AA225" s="155"/>
      <c r="AB225" s="365"/>
      <c r="AC225" s="366"/>
      <c r="AD225" s="367"/>
      <c r="AE225" s="367"/>
      <c r="AF225" s="367"/>
      <c r="AG225" s="368"/>
      <c r="AH225" s="358"/>
      <c r="AI225" s="358"/>
      <c r="AJ225" s="369"/>
      <c r="AK225" s="370"/>
      <c r="AL225" s="371"/>
      <c r="AM225" s="153"/>
      <c r="AN225" s="375">
        <f>AN224/16</f>
        <v>31.25</v>
      </c>
      <c r="AO225" s="376"/>
      <c r="AP225" s="376"/>
      <c r="AQ225" s="375">
        <f>AQ224/16</f>
        <v>31.25</v>
      </c>
      <c r="AR225" s="376"/>
      <c r="AS225" s="376"/>
      <c r="AT225" s="375">
        <f>AT224/16</f>
        <v>21</v>
      </c>
      <c r="AU225" s="376"/>
      <c r="AV225" s="376"/>
      <c r="AW225" s="375">
        <f>AW224/16</f>
        <v>29</v>
      </c>
      <c r="AX225" s="376"/>
      <c r="AY225" s="376"/>
      <c r="AZ225" s="375">
        <f>AZ224/16</f>
        <v>29</v>
      </c>
      <c r="BA225" s="376"/>
      <c r="BB225" s="376"/>
      <c r="BC225" s="375">
        <f>BC224/16</f>
        <v>17</v>
      </c>
      <c r="BD225" s="376"/>
      <c r="BE225" s="376"/>
      <c r="BF225" s="375">
        <f>BF224/16</f>
        <v>19</v>
      </c>
      <c r="BG225" s="376"/>
      <c r="BH225" s="376"/>
      <c r="BI225" s="375">
        <f>BI224/16</f>
        <v>13</v>
      </c>
      <c r="BJ225" s="376"/>
      <c r="BK225" s="376"/>
      <c r="BL225" s="375">
        <f>BL224/16</f>
        <v>0</v>
      </c>
      <c r="BM225" s="376"/>
      <c r="BN225" s="376"/>
      <c r="BO225" s="375">
        <f>BO224/16</f>
        <v>0</v>
      </c>
      <c r="BP225" s="376"/>
      <c r="BQ225" s="376"/>
      <c r="BR225" s="375">
        <f>BR224/16</f>
        <v>0</v>
      </c>
      <c r="BS225" s="376"/>
      <c r="BT225" s="376"/>
      <c r="BU225" s="375">
        <f>BU224/16</f>
        <v>0</v>
      </c>
      <c r="BV225" s="376"/>
      <c r="BW225" s="377"/>
      <c r="BX225" s="373"/>
      <c r="BY225" s="122"/>
    </row>
    <row r="226" spans="1:77" s="282" customFormat="1" ht="23.1" customHeight="1" x14ac:dyDescent="0.25">
      <c r="A226" s="310"/>
      <c r="B226" s="310"/>
      <c r="C226" s="317" t="s">
        <v>2</v>
      </c>
      <c r="D226" s="359" t="s">
        <v>151</v>
      </c>
      <c r="E226" s="360"/>
      <c r="F226" s="361">
        <f>SUM(G226:R226)</f>
        <v>22</v>
      </c>
      <c r="G226" s="358">
        <f>COUNTIF(U20:U130,1)+COUNTIF(U20:U130,12)+COUNTIF(U20:U130,123)+COUNTIF(U20:U130,1234)+COUNTIF(U20:U130,12345)+COUNTIF(U20:U130,123456)+COUNTIF(U20:U130,1234567)+COUNTIF(U20:U130,1234567)+COUNTIF(U146:U158,1)</f>
        <v>5</v>
      </c>
      <c r="H226" s="358">
        <f>COUNTIF(U20:U130,2)+COUNTIF(U20:U130,12)+COUNTIF(U20:U130,123)+COUNTIF(U20:U130,1234)+COUNTIF(U20:U130,12345)+COUNTIF(U20:U130,123456)+COUNTIF(U20:U130,1234567)+COUNTIF(U20:U130,234567)+COUNTIF(U146:U158,2)</f>
        <v>3</v>
      </c>
      <c r="I226" s="147">
        <f>COUNTIF(U20:U130,3)+COUNTIF(U20:U130,123)+COUNTIF(U20:U130,1234)+COUNTIF(U20:U130,12345)+COUNTIF(U20:U130,123456)+COUNTIF(U20:U130,1234567)+COUNTIF(U20:U130,234567)+COUNTIF(U146:U158,3)-12+COUNTIF(U204,34567)</f>
        <v>3</v>
      </c>
      <c r="J226" s="358">
        <f>COUNTIF(U20:U130,4)+COUNTIF(U20:U130,1234)+COUNTIF(U20:U130,12345)+COUNTIF(U20:U130,123456)+COUNTIF(U20:U130,1234567)+COUNTIF(U20:U130,234567)+COUNTIF(U146:U158,4)+COUNTIF(U204,34567)</f>
        <v>2</v>
      </c>
      <c r="K226" s="531">
        <f>COUNTIF(U20:U130,5)+COUNTIF(U20:U130,12345)+COUNTIF(U20:U130,123456)+COUNTIF(U20:U130,1234567)+COUNTIF(U20:U130,234567)+COUNTIF(U146:U158,5)+COUNTIF(U204,34567)</f>
        <v>4</v>
      </c>
      <c r="L226" s="531">
        <f>COUNTIF(U20:U130,6)+COUNTIF(U146:U158,6)+COUNTIF(U204,34567)-2</f>
        <v>1</v>
      </c>
      <c r="M226" s="358">
        <f>COUNTIF(U20:U130,7)+COUNTIF(U20:U130,1234567)+COUNTIF(U20:U130,234567)+COUNTIF(U146:U158,7)+COUNTIF(U204,34567)</f>
        <v>3</v>
      </c>
      <c r="N226" s="358">
        <f>COUNTIF(U20:U130,8)+COUNTIF(U20:U130,12345678)+COUNTIF(U146:U158,8)</f>
        <v>1</v>
      </c>
      <c r="O226" s="147">
        <f>COUNTIF(U20:U130,9)+COUNTIF(U146:U158,9)</f>
        <v>0</v>
      </c>
      <c r="P226" s="147">
        <f>COUNTIF(U20:U130,10)+COUNTIF(U146:U158,10)</f>
        <v>0</v>
      </c>
      <c r="Q226" s="147">
        <f>COUNTIF(U20:U130,11)+COUNTIF(U146:U158,11)</f>
        <v>0</v>
      </c>
      <c r="R226" s="147"/>
      <c r="S226" s="151"/>
      <c r="T226" s="152"/>
      <c r="U226" s="152"/>
      <c r="V226" s="153"/>
      <c r="W226" s="363"/>
      <c r="X226" s="364"/>
      <c r="Y226" s="154"/>
      <c r="Z226" s="154"/>
      <c r="AA226" s="155"/>
      <c r="AB226" s="365"/>
      <c r="AC226" s="378"/>
      <c r="AD226" s="367"/>
      <c r="AE226" s="367"/>
      <c r="AF226" s="367"/>
      <c r="AG226" s="368"/>
      <c r="AH226" s="379"/>
      <c r="AI226" s="379"/>
      <c r="AJ226" s="380"/>
      <c r="AK226" s="370"/>
      <c r="AL226" s="371"/>
      <c r="AM226" s="153"/>
      <c r="AN226" s="381" t="s">
        <v>181</v>
      </c>
      <c r="AO226" s="154"/>
      <c r="AP226" s="154"/>
      <c r="AQ226" s="154"/>
      <c r="AR226" s="154"/>
      <c r="AS226" s="154"/>
      <c r="AT226" s="154"/>
      <c r="AU226" s="154"/>
      <c r="AV226" s="154"/>
      <c r="AW226" s="154"/>
      <c r="AX226" s="154"/>
      <c r="AY226" s="154"/>
      <c r="AZ226" s="154"/>
      <c r="BA226" s="154"/>
      <c r="BB226" s="154"/>
      <c r="BC226" s="154"/>
      <c r="BD226" s="154"/>
      <c r="BE226" s="154"/>
      <c r="BF226" s="154"/>
      <c r="BG226" s="154"/>
      <c r="BH226" s="154"/>
      <c r="BI226" s="154"/>
      <c r="BJ226" s="154"/>
      <c r="BK226" s="154"/>
      <c r="BL226" s="154"/>
      <c r="BM226" s="154"/>
      <c r="BN226" s="154"/>
      <c r="BO226" s="154"/>
      <c r="BP226" s="154"/>
      <c r="BQ226" s="154"/>
      <c r="BR226" s="154"/>
      <c r="BS226" s="154"/>
      <c r="BT226" s="154"/>
      <c r="BU226" s="154"/>
      <c r="BV226" s="154"/>
      <c r="BW226" s="155"/>
      <c r="BX226" s="373"/>
      <c r="BY226" s="122"/>
    </row>
    <row r="227" spans="1:77" s="282" customFormat="1" ht="23.1" customHeight="1" x14ac:dyDescent="0.25">
      <c r="A227" s="298"/>
      <c r="B227" s="298"/>
      <c r="C227" s="358" t="s">
        <v>2</v>
      </c>
      <c r="D227" s="383" t="s">
        <v>28</v>
      </c>
      <c r="E227" s="360"/>
      <c r="F227" s="361">
        <f>SUM(G227:R227)</f>
        <v>2</v>
      </c>
      <c r="G227" s="358">
        <f>COUNTIF(V20:V130,1)+COUNTIF(V146:V158,1)</f>
        <v>0</v>
      </c>
      <c r="H227" s="358">
        <f>COUNTIF(V20:V130,2)+COUNTIF(V146:V158,2)</f>
        <v>0</v>
      </c>
      <c r="I227" s="358">
        <f>COUNTIF(V20:V130,3)+COUNTIF(V146:V158,3)</f>
        <v>0</v>
      </c>
      <c r="J227" s="358">
        <f>COUNTIF(V20:V130,4)+COUNTIF(V146:V158,4)</f>
        <v>0</v>
      </c>
      <c r="K227" s="531">
        <f>COUNTIF(V20:V130,5)+COUNTIF(V146:V158,5)</f>
        <v>0</v>
      </c>
      <c r="L227" s="531">
        <f>COUNTIF(V20:V130,6)+COUNTIF(V146:V158,6)</f>
        <v>1</v>
      </c>
      <c r="M227" s="358">
        <f>COUNTIF(V20:V130,7)+COUNTIF(V146:V158,7)</f>
        <v>1</v>
      </c>
      <c r="N227" s="358">
        <f>COUNTIF(V20:V130,8)+COUNTIF(V146:V158,8)</f>
        <v>0</v>
      </c>
      <c r="O227" s="147">
        <f>COUNTIF(V20:V130,9)+COUNTIF(V146:V158,9)</f>
        <v>0</v>
      </c>
      <c r="P227" s="147">
        <f>COUNTIF(V20:V130,10)+COUNTIF(V146:V158,10)</f>
        <v>0</v>
      </c>
      <c r="Q227" s="147">
        <f>COUNTIF(V20:V130,11)+COUNTIF(V146:V158,11)</f>
        <v>0</v>
      </c>
      <c r="R227" s="147"/>
      <c r="S227" s="151"/>
      <c r="T227" s="152"/>
      <c r="U227" s="152"/>
      <c r="V227" s="153"/>
      <c r="W227" s="363"/>
      <c r="X227" s="364"/>
      <c r="Y227" s="154"/>
      <c r="Z227" s="154"/>
      <c r="AA227" s="155"/>
      <c r="AB227" s="365"/>
      <c r="AC227" s="366"/>
      <c r="AD227" s="367"/>
      <c r="AE227" s="367"/>
      <c r="AF227" s="367"/>
      <c r="AG227" s="368"/>
      <c r="AH227" s="358"/>
      <c r="AI227" s="358"/>
      <c r="AJ227" s="369"/>
      <c r="AK227" s="370"/>
      <c r="AL227" s="371"/>
      <c r="AM227" s="367"/>
      <c r="AN227" s="364"/>
      <c r="AO227" s="154"/>
      <c r="AP227" s="154"/>
      <c r="AQ227" s="154"/>
      <c r="AR227" s="154"/>
      <c r="AS227" s="154"/>
      <c r="AT227" s="154"/>
      <c r="AU227" s="154"/>
      <c r="AV227" s="154"/>
      <c r="AW227" s="154"/>
      <c r="AX227" s="154"/>
      <c r="AY227" s="154"/>
      <c r="AZ227" s="154"/>
      <c r="BA227" s="154"/>
      <c r="BB227" s="154"/>
      <c r="BC227" s="154"/>
      <c r="BD227" s="154"/>
      <c r="BE227" s="154"/>
      <c r="BF227" s="154"/>
      <c r="BG227" s="154"/>
      <c r="BH227" s="154"/>
      <c r="BI227" s="154"/>
      <c r="BJ227" s="154"/>
      <c r="BK227" s="154"/>
      <c r="BL227" s="154"/>
      <c r="BM227" s="154"/>
      <c r="BN227" s="154"/>
      <c r="BO227" s="154"/>
      <c r="BP227" s="154"/>
      <c r="BQ227" s="154"/>
      <c r="BR227" s="154"/>
      <c r="BS227" s="154"/>
      <c r="BT227" s="154"/>
      <c r="BU227" s="154"/>
      <c r="BV227" s="154"/>
      <c r="BW227" s="155"/>
      <c r="BX227" s="373"/>
      <c r="BY227" s="122"/>
    </row>
    <row r="228" spans="1:77" s="282" customFormat="1" ht="10.5" hidden="1" customHeight="1" x14ac:dyDescent="0.25">
      <c r="A228" s="298"/>
      <c r="B228" s="298"/>
      <c r="C228" s="358"/>
      <c r="D228" s="384"/>
      <c r="E228" s="385"/>
      <c r="F228" s="386"/>
      <c r="G228" s="387"/>
      <c r="H228" s="387"/>
      <c r="I228" s="387"/>
      <c r="J228" s="387"/>
      <c r="K228" s="532"/>
      <c r="L228" s="532"/>
      <c r="M228" s="387"/>
      <c r="N228" s="387"/>
      <c r="O228" s="387"/>
      <c r="P228" s="387"/>
      <c r="Q228" s="387"/>
      <c r="R228" s="387"/>
      <c r="S228" s="388"/>
      <c r="T228" s="388"/>
      <c r="U228" s="388"/>
      <c r="V228" s="388"/>
      <c r="W228" s="363"/>
      <c r="X228" s="386"/>
      <c r="Y228" s="386"/>
      <c r="Z228" s="386"/>
      <c r="AA228" s="386"/>
      <c r="AB228" s="365"/>
      <c r="AC228" s="389"/>
      <c r="AD228" s="363"/>
      <c r="AE228" s="363"/>
      <c r="AF228" s="363"/>
      <c r="AG228" s="365"/>
      <c r="AH228" s="389"/>
      <c r="AI228" s="389"/>
      <c r="AJ228" s="389"/>
      <c r="AK228" s="363"/>
      <c r="AL228" s="363"/>
      <c r="AM228" s="363"/>
      <c r="AN228" s="386"/>
      <c r="AO228" s="386"/>
      <c r="AP228" s="386"/>
      <c r="AQ228" s="386"/>
      <c r="AR228" s="386"/>
      <c r="AS228" s="386"/>
      <c r="AT228" s="386"/>
      <c r="AU228" s="386"/>
      <c r="AV228" s="386"/>
      <c r="AW228" s="386"/>
      <c r="AX228" s="386"/>
      <c r="AY228" s="386"/>
      <c r="AZ228" s="386"/>
      <c r="BA228" s="386"/>
      <c r="BB228" s="386"/>
      <c r="BC228" s="386"/>
      <c r="BD228" s="386"/>
      <c r="BE228" s="386"/>
      <c r="BF228" s="386"/>
      <c r="BG228" s="386"/>
      <c r="BH228" s="386"/>
      <c r="BI228" s="386"/>
      <c r="BJ228" s="386"/>
      <c r="BK228" s="386"/>
      <c r="BL228" s="386"/>
      <c r="BM228" s="386"/>
      <c r="BN228" s="386"/>
      <c r="BO228" s="386"/>
      <c r="BP228" s="386"/>
      <c r="BQ228" s="386"/>
      <c r="BR228" s="386"/>
      <c r="BS228" s="386"/>
      <c r="BT228" s="386"/>
      <c r="BU228" s="386"/>
      <c r="BV228" s="386"/>
      <c r="BW228" s="386"/>
      <c r="BX228" s="389"/>
      <c r="BY228" s="395"/>
    </row>
    <row r="229" spans="1:77" s="282" customFormat="1" ht="23.1" hidden="1" customHeight="1" x14ac:dyDescent="0.25">
      <c r="A229" s="298"/>
      <c r="B229" s="298"/>
      <c r="C229" s="298" t="s">
        <v>2</v>
      </c>
      <c r="D229" s="352" t="s">
        <v>211</v>
      </c>
      <c r="E229" s="268">
        <f>SUM(G229:R229)</f>
        <v>193</v>
      </c>
      <c r="F229" s="269">
        <f>E229*36</f>
        <v>6948</v>
      </c>
      <c r="G229" s="353">
        <f t="shared" ref="G229:N229" si="82">G207+SUM(G210:G215)</f>
        <v>30</v>
      </c>
      <c r="H229" s="353">
        <f t="shared" si="82"/>
        <v>30</v>
      </c>
      <c r="I229" s="353">
        <f t="shared" si="82"/>
        <v>27</v>
      </c>
      <c r="J229" s="353">
        <f t="shared" si="82"/>
        <v>11</v>
      </c>
      <c r="K229" s="353">
        <f t="shared" si="82"/>
        <v>20</v>
      </c>
      <c r="L229" s="353">
        <f t="shared" si="82"/>
        <v>21</v>
      </c>
      <c r="M229" s="353">
        <f t="shared" si="82"/>
        <v>32</v>
      </c>
      <c r="N229" s="353">
        <f t="shared" si="82"/>
        <v>22</v>
      </c>
      <c r="O229" s="353">
        <f>O212+SUM(O216:O221)</f>
        <v>0</v>
      </c>
      <c r="P229" s="353">
        <f>P212+SUM(P216:P221)</f>
        <v>0</v>
      </c>
      <c r="Q229" s="353">
        <f>Q212+SUM(Q216:Q221)</f>
        <v>0</v>
      </c>
      <c r="R229" s="353">
        <f>R212+SUM(R216:R221)</f>
        <v>0</v>
      </c>
      <c r="S229" s="176"/>
      <c r="T229" s="177"/>
      <c r="U229" s="177"/>
      <c r="V229" s="178"/>
      <c r="W229" s="112">
        <f>X229+X229*0.1</f>
        <v>2789.6</v>
      </c>
      <c r="X229" s="391">
        <f>SUM(Y229:AA229)</f>
        <v>2536</v>
      </c>
      <c r="Y229" s="354">
        <f>Y207+SUM(Y210:Y215)</f>
        <v>808</v>
      </c>
      <c r="Z229" s="354">
        <f>Z207+SUM(Z210:Z215)</f>
        <v>656</v>
      </c>
      <c r="AA229" s="354">
        <f>AA207+SUM(AA210:AA215)</f>
        <v>1072</v>
      </c>
      <c r="AB229" s="179"/>
      <c r="AC229" s="355"/>
      <c r="AD229" s="356"/>
      <c r="AE229" s="356"/>
      <c r="AF229" s="356"/>
      <c r="AG229" s="356"/>
      <c r="AH229" s="356"/>
      <c r="AI229" s="356"/>
      <c r="AJ229" s="357"/>
      <c r="AK229" s="119">
        <f>F229-W229</f>
        <v>4158.3999999999996</v>
      </c>
      <c r="AL229" s="188"/>
      <c r="AM229" s="184"/>
      <c r="AN229" s="354">
        <f t="shared" ref="AN229:BK229" si="83">AN207+SUM(AN210:AN215)</f>
        <v>208</v>
      </c>
      <c r="AO229" s="392">
        <f t="shared" si="83"/>
        <v>112</v>
      </c>
      <c r="AP229" s="392">
        <f t="shared" si="83"/>
        <v>180</v>
      </c>
      <c r="AQ229" s="392">
        <f t="shared" si="83"/>
        <v>176</v>
      </c>
      <c r="AR229" s="392">
        <f t="shared" si="83"/>
        <v>144</v>
      </c>
      <c r="AS229" s="392">
        <f t="shared" si="83"/>
        <v>180</v>
      </c>
      <c r="AT229" s="392">
        <f t="shared" si="83"/>
        <v>0</v>
      </c>
      <c r="AU229" s="392">
        <f t="shared" si="83"/>
        <v>96</v>
      </c>
      <c r="AV229" s="392">
        <f t="shared" si="83"/>
        <v>336</v>
      </c>
      <c r="AW229" s="392">
        <f t="shared" si="83"/>
        <v>64</v>
      </c>
      <c r="AX229" s="392">
        <f t="shared" si="83"/>
        <v>32</v>
      </c>
      <c r="AY229" s="392">
        <f t="shared" si="83"/>
        <v>96</v>
      </c>
      <c r="AZ229" s="392">
        <f t="shared" si="83"/>
        <v>96</v>
      </c>
      <c r="BA229" s="392">
        <f t="shared" si="83"/>
        <v>64</v>
      </c>
      <c r="BB229" s="392">
        <f t="shared" si="83"/>
        <v>112</v>
      </c>
      <c r="BC229" s="392">
        <f t="shared" si="83"/>
        <v>72</v>
      </c>
      <c r="BD229" s="392">
        <f t="shared" si="83"/>
        <v>64</v>
      </c>
      <c r="BE229" s="392">
        <f t="shared" si="83"/>
        <v>88</v>
      </c>
      <c r="BF229" s="392">
        <f t="shared" si="83"/>
        <v>144</v>
      </c>
      <c r="BG229" s="392">
        <f t="shared" si="83"/>
        <v>128</v>
      </c>
      <c r="BH229" s="392">
        <f t="shared" si="83"/>
        <v>32</v>
      </c>
      <c r="BI229" s="392">
        <f t="shared" si="83"/>
        <v>48</v>
      </c>
      <c r="BJ229" s="392">
        <f t="shared" si="83"/>
        <v>48</v>
      </c>
      <c r="BK229" s="392">
        <f t="shared" si="83"/>
        <v>0</v>
      </c>
      <c r="BL229" s="356">
        <f t="shared" ref="BL229:BW229" si="84">BL212+SUM(BL216:BL221)</f>
        <v>0</v>
      </c>
      <c r="BM229" s="356">
        <f t="shared" si="84"/>
        <v>0</v>
      </c>
      <c r="BN229" s="356">
        <f t="shared" si="84"/>
        <v>0</v>
      </c>
      <c r="BO229" s="356">
        <f t="shared" si="84"/>
        <v>0</v>
      </c>
      <c r="BP229" s="356">
        <f t="shared" si="84"/>
        <v>0</v>
      </c>
      <c r="BQ229" s="356">
        <f t="shared" si="84"/>
        <v>0</v>
      </c>
      <c r="BR229" s="356">
        <f t="shared" si="84"/>
        <v>0</v>
      </c>
      <c r="BS229" s="356">
        <f t="shared" si="84"/>
        <v>0</v>
      </c>
      <c r="BT229" s="356">
        <f t="shared" si="84"/>
        <v>0</v>
      </c>
      <c r="BU229" s="356">
        <f t="shared" si="84"/>
        <v>0</v>
      </c>
      <c r="BV229" s="356">
        <f t="shared" si="84"/>
        <v>0</v>
      </c>
      <c r="BW229" s="357">
        <f t="shared" si="84"/>
        <v>0</v>
      </c>
      <c r="BX229" s="393"/>
      <c r="BY229" s="170"/>
    </row>
    <row r="230" spans="1:77" s="282" customFormat="1" ht="23.1" hidden="1" customHeight="1" x14ac:dyDescent="0.25">
      <c r="A230" s="298"/>
      <c r="B230" s="298"/>
      <c r="C230" s="358" t="s">
        <v>2</v>
      </c>
      <c r="D230" s="359" t="s">
        <v>149</v>
      </c>
      <c r="E230" s="360"/>
      <c r="F230" s="361">
        <f>SUM(G230:R230)</f>
        <v>25</v>
      </c>
      <c r="G230" s="358">
        <f>COUNTIF(S20:S130,1)+COUNTIF(S20:S130,12)+COUNTIF(S20:S130,123)+COUNTIF(S20:S130,1234)+COUNTIF(S20:S130,12345)+COUNTIF(S20:S130,123456)+COUNTIF(S20:S130,1234567)+COUNTIF(S20:S130,12345678)+COUNTIF(S160:S175,1)</f>
        <v>4</v>
      </c>
      <c r="H230" s="358">
        <f>COUNTIF(S20:S130,2)+COUNTIF(S20:S130,12)+COUNTIF(S20:S130,123)+COUNTIF(S20:S130,1234)+COUNTIF(S20:S130,12345)+COUNTIF(S20:S130,123456)+COUNTIF(S20:S130,1234567)+COUNTIF(S20:S130,12345678)+COUNTIF(S160:S175,2)+COUNTIF(S20:S130,23)</f>
        <v>5</v>
      </c>
      <c r="I230" s="358">
        <f>COUNTIF(S20:S130,3)+COUNTIF(S20:S130,123)+COUNTIF(S20:S130,1234)+COUNTIF(S20:S130,12345)+COUNTIF(S20:S130,123456)+COUNTIF(S20:S130,1234567)+COUNTIF(S20:S130,12345678)+COUNTIF(S160:S175,3)+COUNTIF(S20:S130,23)+COUNTIF(S20:S130,34)</f>
        <v>4</v>
      </c>
      <c r="J230" s="358">
        <f>COUNTIF(S20:S130,4)+COUNTIF(S20:S130,1234)+COUNTIF(S20:S130,12345)+COUNTIF(S20:S130,123456)+COUNTIF(S20:S130,1234567)+COUNTIF(S20:S130,12345678)+COUNTIF(S160:S175,4)+COUNTIF(S20:S130,34)</f>
        <v>3</v>
      </c>
      <c r="K230" s="531">
        <f>COUNTIF(S20:S130,5)+COUNTIF(S20:S130,12345)+COUNTIF(S20:S130,123456)+COUNTIF(S20:S130,1234567)+COUNTIF(S20:S130,12345678)+COUNTIF(S160:S175,5)+COUNTIF(S160:S175,56)</f>
        <v>1</v>
      </c>
      <c r="L230" s="531">
        <f>COUNTIF(S20:S130,6)+COUNTIF(S20:S130,123456)+COUNTIF(S20:S130,1234567)+COUNTIF(S20:S130,12345678)+COUNTIF(S160:S175,6)+COUNTIF(S160:S175,56)</f>
        <v>3</v>
      </c>
      <c r="M230" s="358">
        <f>COUNTIF(S20:S130,7)+COUNTIF(S20:S130,1234567)+COUNTIF(S20:S130,12345678)+COUNTIF(S160:S175,7)</f>
        <v>3</v>
      </c>
      <c r="N230" s="358">
        <f>COUNTIF(S20:S130,8)+COUNTIF(S20:S130,12345678)+COUNTIF(S160:S175,8)</f>
        <v>2</v>
      </c>
      <c r="O230" s="147">
        <f>COUNTIF(S32:S136,9)+COUNTIF(S152:S164,9)</f>
        <v>0</v>
      </c>
      <c r="P230" s="147">
        <f>COUNTIF(S32:S136,10)+COUNTIF(S152:S164,10)</f>
        <v>0</v>
      </c>
      <c r="Q230" s="147">
        <f>COUNTIF(S32:S136,11)+COUNTIF(S152:S164,11)</f>
        <v>0</v>
      </c>
      <c r="R230" s="147"/>
      <c r="S230" s="151"/>
      <c r="T230" s="152"/>
      <c r="U230" s="152"/>
      <c r="V230" s="153"/>
      <c r="W230" s="363"/>
      <c r="X230" s="364"/>
      <c r="Y230" s="154"/>
      <c r="Z230" s="154"/>
      <c r="AA230" s="155"/>
      <c r="AB230" s="365"/>
      <c r="AC230" s="366"/>
      <c r="AD230" s="367"/>
      <c r="AE230" s="367"/>
      <c r="AF230" s="367"/>
      <c r="AG230" s="368"/>
      <c r="AH230" s="358"/>
      <c r="AI230" s="358"/>
      <c r="AJ230" s="369"/>
      <c r="AK230" s="370"/>
      <c r="AL230" s="371"/>
      <c r="AM230" s="367"/>
      <c r="AN230" s="372">
        <f>AN207+AO207+AP207</f>
        <v>500</v>
      </c>
      <c r="AO230" s="154"/>
      <c r="AP230" s="154"/>
      <c r="AQ230" s="372">
        <f>AQ207+AR207+AS207</f>
        <v>500</v>
      </c>
      <c r="AR230" s="154"/>
      <c r="AS230" s="154"/>
      <c r="AT230" s="372">
        <f>AT207+AU207+AV207</f>
        <v>432</v>
      </c>
      <c r="AU230" s="154"/>
      <c r="AV230" s="154"/>
      <c r="AW230" s="372">
        <f>AW207+AX207+AY207</f>
        <v>192</v>
      </c>
      <c r="AX230" s="154"/>
      <c r="AY230" s="154"/>
      <c r="AZ230" s="372">
        <f>AZ207+BA207+BB207</f>
        <v>272</v>
      </c>
      <c r="BA230" s="154"/>
      <c r="BB230" s="154"/>
      <c r="BC230" s="372">
        <f>BC207+BD207+BE207</f>
        <v>224</v>
      </c>
      <c r="BD230" s="154"/>
      <c r="BE230" s="154"/>
      <c r="BF230" s="372">
        <f>BF207+BG207+BH207</f>
        <v>304</v>
      </c>
      <c r="BG230" s="154"/>
      <c r="BH230" s="154"/>
      <c r="BI230" s="372">
        <f>BI207+BJ207+BK207</f>
        <v>96</v>
      </c>
      <c r="BJ230" s="154"/>
      <c r="BK230" s="154"/>
      <c r="BL230" s="372">
        <f>BL212+BM212+BN212</f>
        <v>0</v>
      </c>
      <c r="BM230" s="154"/>
      <c r="BN230" s="154"/>
      <c r="BO230" s="372">
        <f>BO212+BP212+BQ212</f>
        <v>0</v>
      </c>
      <c r="BP230" s="154"/>
      <c r="BQ230" s="154"/>
      <c r="BR230" s="372">
        <f>BR212+BS212+BT212</f>
        <v>0</v>
      </c>
      <c r="BS230" s="154"/>
      <c r="BT230" s="154"/>
      <c r="BU230" s="372">
        <f>BU212+BV212+BW212</f>
        <v>0</v>
      </c>
      <c r="BV230" s="154"/>
      <c r="BW230" s="155"/>
      <c r="BX230" s="373"/>
      <c r="BY230" s="122"/>
    </row>
    <row r="231" spans="1:77" s="282" customFormat="1" ht="23.1" hidden="1" customHeight="1" x14ac:dyDescent="0.25">
      <c r="A231" s="394"/>
      <c r="B231" s="298"/>
      <c r="C231" s="358" t="s">
        <v>2</v>
      </c>
      <c r="D231" s="359" t="s">
        <v>150</v>
      </c>
      <c r="E231" s="360"/>
      <c r="F231" s="361">
        <f>SUM(G231:R231)</f>
        <v>8</v>
      </c>
      <c r="G231" s="358">
        <f>COUNTIF(T20:T130,1)+COUNTIF(T160:T175,1)+COUNTIF(T211:T213,1)+COUNTIF(T20:T130,12)</f>
        <v>0</v>
      </c>
      <c r="H231" s="358">
        <f>COUNTIF(T20:T130,2)+COUNTIF(T160:T175,2)+COUNTIF(T211:T213,2)+COUNTIF(T20:T130,12)</f>
        <v>1</v>
      </c>
      <c r="I231" s="358">
        <f>COUNTIF(T20:T130,3)+COUNTIF(T160:T175,3)+COUNTIF(T211:T213,3)</f>
        <v>0</v>
      </c>
      <c r="J231" s="358">
        <f>COUNTIF(T20:T130,4)+COUNTIF(T160:T175,4)+COUNTIF(T211:T213,4)</f>
        <v>0</v>
      </c>
      <c r="K231" s="531">
        <f>COUNTIF(T20:T130,5)+COUNTIF(T160:T175,5)+COUNTIF(T211:T213,5)</f>
        <v>1</v>
      </c>
      <c r="L231" s="531">
        <f>COUNTIF(T20:T130,6)+COUNTIF(T160:T175,6)+COUNTIF(T211:T213,6)+COUNTIF(T211:T213,67)</f>
        <v>3</v>
      </c>
      <c r="M231" s="358">
        <f>+COUNTIF(T211:T213,67)</f>
        <v>1</v>
      </c>
      <c r="N231" s="358">
        <f>COUNTIF(T20:T130,8)+COUNTIF(T160:T175,8)+COUNTIF(T211:T213,8)</f>
        <v>2</v>
      </c>
      <c r="O231" s="147">
        <f>COUNTIF(T32:T136,9)+COUNTIF(T152:T164,9)+COUNTIF(T217:T219,9)</f>
        <v>0</v>
      </c>
      <c r="P231" s="147">
        <f>COUNTIF(T32:T136,10)+COUNTIF(T152:T164,10)+COUNTIF(T217:T219,10)</f>
        <v>0</v>
      </c>
      <c r="Q231" s="147">
        <f>COUNTIF(T32:T136,11)+COUNTIF(T152:T164,11)+COUNTIF(T217:T219,11)</f>
        <v>0</v>
      </c>
      <c r="R231" s="147"/>
      <c r="S231" s="151"/>
      <c r="T231" s="152"/>
      <c r="U231" s="152"/>
      <c r="V231" s="153"/>
      <c r="W231" s="363"/>
      <c r="X231" s="364"/>
      <c r="Y231" s="154"/>
      <c r="Z231" s="154"/>
      <c r="AA231" s="155"/>
      <c r="AB231" s="365"/>
      <c r="AC231" s="366"/>
      <c r="AD231" s="367"/>
      <c r="AE231" s="367"/>
      <c r="AF231" s="367"/>
      <c r="AG231" s="368"/>
      <c r="AH231" s="358"/>
      <c r="AI231" s="358"/>
      <c r="AJ231" s="369"/>
      <c r="AK231" s="370"/>
      <c r="AL231" s="371"/>
      <c r="AM231" s="367"/>
      <c r="AN231" s="375">
        <f>AN230/16</f>
        <v>31.25</v>
      </c>
      <c r="AO231" s="376"/>
      <c r="AP231" s="376"/>
      <c r="AQ231" s="375">
        <f>AQ230/16</f>
        <v>31.25</v>
      </c>
      <c r="AR231" s="376"/>
      <c r="AS231" s="376"/>
      <c r="AT231" s="375">
        <f>AT230/16</f>
        <v>27</v>
      </c>
      <c r="AU231" s="376"/>
      <c r="AV231" s="376"/>
      <c r="AW231" s="375">
        <f>AW230/16</f>
        <v>12</v>
      </c>
      <c r="AX231" s="376"/>
      <c r="AY231" s="376"/>
      <c r="AZ231" s="375">
        <f>AZ230/16</f>
        <v>17</v>
      </c>
      <c r="BA231" s="376"/>
      <c r="BB231" s="376"/>
      <c r="BC231" s="375">
        <f>BC230/16</f>
        <v>14</v>
      </c>
      <c r="BD231" s="376"/>
      <c r="BE231" s="376"/>
      <c r="BF231" s="375">
        <f>BF230/16</f>
        <v>19</v>
      </c>
      <c r="BG231" s="376"/>
      <c r="BH231" s="376"/>
      <c r="BI231" s="375">
        <f>BI230/16</f>
        <v>6</v>
      </c>
      <c r="BJ231" s="376"/>
      <c r="BK231" s="376"/>
      <c r="BL231" s="375">
        <f>BL230/16</f>
        <v>0</v>
      </c>
      <c r="BM231" s="376"/>
      <c r="BN231" s="376"/>
      <c r="BO231" s="375">
        <f>BO230/16</f>
        <v>0</v>
      </c>
      <c r="BP231" s="376"/>
      <c r="BQ231" s="376"/>
      <c r="BR231" s="375">
        <f>BR230/16</f>
        <v>0</v>
      </c>
      <c r="BS231" s="376"/>
      <c r="BT231" s="376"/>
      <c r="BU231" s="375">
        <f>BU230/16</f>
        <v>0</v>
      </c>
      <c r="BV231" s="376"/>
      <c r="BW231" s="377"/>
      <c r="BX231" s="373"/>
      <c r="BY231" s="122"/>
    </row>
    <row r="232" spans="1:77" s="282" customFormat="1" ht="23.1" hidden="1" customHeight="1" x14ac:dyDescent="0.25">
      <c r="A232" s="269"/>
      <c r="B232" s="298"/>
      <c r="C232" s="317" t="s">
        <v>2</v>
      </c>
      <c r="D232" s="359" t="s">
        <v>151</v>
      </c>
      <c r="E232" s="360"/>
      <c r="F232" s="361">
        <f>SUM(G232:R232)</f>
        <v>22</v>
      </c>
      <c r="G232" s="358">
        <f>COUNTIF(U20:U130,1)+COUNTIF(U20:U130,12)+COUNTIF(U20:U130,123)+COUNTIF(U20:U130,1234)+COUNTIF(U20:U130,12345)+COUNTIF(U20:U130,123456)+COUNTIF(U20:U130,1234567)+COUNTIF(U20:U130,1234567)+COUNTIF(U160:U175,1)</f>
        <v>5</v>
      </c>
      <c r="H232" s="358">
        <f>COUNTIF(U20:U130,2)+COUNTIF(U20:U130,12)+COUNTIF(U20:U130,123)+COUNTIF(U20:U130,1234)+COUNTIF(U20:U130,12345)+COUNTIF(U20:U130,123456)+COUNTIF(U20:U130,1234567)+COUNTIF(U20:U130,234567)+COUNTIF(U160:U175,2)</f>
        <v>3</v>
      </c>
      <c r="I232" s="358">
        <f>COUNTIF(U20:U130,3)+COUNTIF(U20:U130,123)+COUNTIF(U20:U130,1234)+COUNTIF(U20:U130,12345)+COUNTIF(U20:U130,123456)+COUNTIF(U20:U130,1234567)+COUNTIF(U20:U130,234567)+COUNTIF(U160:U175,3)-10+COUNTIF(U204,34567)</f>
        <v>5</v>
      </c>
      <c r="J232" s="358">
        <f>COUNTIF(U20:U130,4)+COUNTIF(U20:U130,1234)+COUNTIF(U20:U130,12345)+COUNTIF(U20:U130,123456)+COUNTIF(U20:U130,1234567)+COUNTIF(U20:U130,234567)+COUNTIF(U160:U175,4)+COUNTIF(U204,34567)</f>
        <v>1</v>
      </c>
      <c r="K232" s="531">
        <f>COUNTIF(U20:U130,5)+COUNTIF(U20:U130,12345)+COUNTIF(U20:U130,123456)+COUNTIF(U20:U130,1234567)+COUNTIF(U20:U130,234567)+COUNTIF(U160:U175,5)+COUNTIF(U204,34567)</f>
        <v>4</v>
      </c>
      <c r="L232" s="531">
        <f>COUNTIF(U20:U130,6)+COUNTIF(U160:U175,6)+COUNTIF(U204,34567)-2</f>
        <v>1</v>
      </c>
      <c r="M232" s="358">
        <f>COUNTIF(U20:U130,7)+COUNTIF(U20:U130,1234567)+COUNTIF(U20:U130,234567)+COUNTIF(U160:U175,7)+COUNTIF(U204,34567)</f>
        <v>3</v>
      </c>
      <c r="N232" s="358">
        <f>COUNTIF(U20:U130,8)+COUNTIF(U20:U130,12345678)+COUNTIF(U160:U175,8)</f>
        <v>0</v>
      </c>
      <c r="O232" s="147">
        <f>COUNTIF(U32:U136,9)+COUNTIF(U152:U164,9)</f>
        <v>0</v>
      </c>
      <c r="P232" s="147">
        <f>COUNTIF(U32:U136,10)+COUNTIF(U152:U164,10)</f>
        <v>0</v>
      </c>
      <c r="Q232" s="147">
        <f>COUNTIF(U32:U136,11)+COUNTIF(U152:U164,11)</f>
        <v>0</v>
      </c>
      <c r="R232" s="147"/>
      <c r="S232" s="151"/>
      <c r="T232" s="152"/>
      <c r="U232" s="152"/>
      <c r="V232" s="153"/>
      <c r="W232" s="363"/>
      <c r="X232" s="364"/>
      <c r="Y232" s="154"/>
      <c r="Z232" s="154"/>
      <c r="AA232" s="155"/>
      <c r="AB232" s="365"/>
      <c r="AC232" s="378"/>
      <c r="AD232" s="367"/>
      <c r="AE232" s="367"/>
      <c r="AF232" s="367"/>
      <c r="AG232" s="368"/>
      <c r="AH232" s="379"/>
      <c r="AI232" s="379"/>
      <c r="AJ232" s="380"/>
      <c r="AK232" s="370"/>
      <c r="AL232" s="371"/>
      <c r="AM232" s="367"/>
      <c r="AN232" s="381" t="s">
        <v>181</v>
      </c>
      <c r="AO232" s="154"/>
      <c r="AP232" s="154"/>
      <c r="AQ232" s="154"/>
      <c r="AR232" s="154"/>
      <c r="AS232" s="154"/>
      <c r="AT232" s="154"/>
      <c r="AU232" s="154"/>
      <c r="AV232" s="154"/>
      <c r="AW232" s="154"/>
      <c r="AX232" s="154"/>
      <c r="AY232" s="154"/>
      <c r="AZ232" s="154"/>
      <c r="BA232" s="154"/>
      <c r="BB232" s="154"/>
      <c r="BC232" s="154"/>
      <c r="BD232" s="154"/>
      <c r="BE232" s="154"/>
      <c r="BF232" s="154"/>
      <c r="BG232" s="154"/>
      <c r="BH232" s="154"/>
      <c r="BI232" s="154"/>
      <c r="BJ232" s="154"/>
      <c r="BK232" s="154"/>
      <c r="BL232" s="154"/>
      <c r="BM232" s="154"/>
      <c r="BN232" s="154"/>
      <c r="BO232" s="154"/>
      <c r="BP232" s="154"/>
      <c r="BQ232" s="154"/>
      <c r="BR232" s="154"/>
      <c r="BS232" s="154"/>
      <c r="BT232" s="154"/>
      <c r="BU232" s="154"/>
      <c r="BV232" s="154"/>
      <c r="BW232" s="155"/>
      <c r="BX232" s="373"/>
      <c r="BY232" s="122"/>
    </row>
    <row r="233" spans="1:77" s="282" customFormat="1" ht="23.1" hidden="1" customHeight="1" x14ac:dyDescent="0.25">
      <c r="A233" s="396"/>
      <c r="B233" s="298"/>
      <c r="C233" s="358" t="s">
        <v>2</v>
      </c>
      <c r="D233" s="383" t="s">
        <v>28</v>
      </c>
      <c r="E233" s="360"/>
      <c r="F233" s="361">
        <f>SUM(G233:R233)</f>
        <v>2</v>
      </c>
      <c r="G233" s="358">
        <f>COUNTIF(V20:V130,1)+COUNTIF(V160:V175,1)</f>
        <v>0</v>
      </c>
      <c r="H233" s="358">
        <f>COUNTIF(V20:V130,2)+COUNTIF(V160:V175,2)</f>
        <v>0</v>
      </c>
      <c r="I233" s="358">
        <f>COUNTIF(V20:V130,3)+COUNTIF(V160:V175,3)</f>
        <v>0</v>
      </c>
      <c r="J233" s="358">
        <f>COUNTIF(V20:V130,4)+COUNTIF(V160:V175,4)</f>
        <v>0</v>
      </c>
      <c r="K233" s="531">
        <f>COUNTIF(V20:V130,5)+COUNTIF(V160:V175,5)</f>
        <v>0</v>
      </c>
      <c r="L233" s="531">
        <f>COUNTIF(V20:V130,6)+COUNTIF(V160:V175,6)</f>
        <v>1</v>
      </c>
      <c r="M233" s="358">
        <f>COUNTIF(V20:V130,7)+COUNTIF(V160:V175,7)</f>
        <v>1</v>
      </c>
      <c r="N233" s="358">
        <f>COUNTIF(V20:V130,8)+COUNTIF(V160:V175,8)</f>
        <v>0</v>
      </c>
      <c r="O233" s="147">
        <f>COUNTIF(V32:V136,9)+COUNTIF(V152:V164,9)</f>
        <v>0</v>
      </c>
      <c r="P233" s="147">
        <f>COUNTIF(V32:V136,10)+COUNTIF(V152:V164,10)</f>
        <v>0</v>
      </c>
      <c r="Q233" s="147">
        <f>COUNTIF(V32:V136,11)+COUNTIF(V152:V164,11)</f>
        <v>0</v>
      </c>
      <c r="R233" s="147"/>
      <c r="S233" s="151"/>
      <c r="T233" s="152"/>
      <c r="U233" s="152"/>
      <c r="V233" s="153"/>
      <c r="W233" s="363"/>
      <c r="X233" s="364"/>
      <c r="Y233" s="154"/>
      <c r="Z233" s="154"/>
      <c r="AA233" s="155"/>
      <c r="AB233" s="365"/>
      <c r="AC233" s="366"/>
      <c r="AD233" s="367"/>
      <c r="AE233" s="367"/>
      <c r="AF233" s="367"/>
      <c r="AG233" s="368"/>
      <c r="AH233" s="358"/>
      <c r="AI233" s="358"/>
      <c r="AJ233" s="369"/>
      <c r="AK233" s="370"/>
      <c r="AL233" s="371"/>
      <c r="AM233" s="367"/>
      <c r="AN233" s="364"/>
      <c r="AO233" s="154"/>
      <c r="AP233" s="154"/>
      <c r="AQ233" s="154"/>
      <c r="AR233" s="154"/>
      <c r="AS233" s="154"/>
      <c r="AT233" s="154"/>
      <c r="AU233" s="154"/>
      <c r="AV233" s="154"/>
      <c r="AW233" s="154"/>
      <c r="AX233" s="154"/>
      <c r="AY233" s="154"/>
      <c r="AZ233" s="154"/>
      <c r="BA233" s="154"/>
      <c r="BB233" s="154"/>
      <c r="BC233" s="154"/>
      <c r="BD233" s="154"/>
      <c r="BE233" s="154"/>
      <c r="BF233" s="154"/>
      <c r="BG233" s="154"/>
      <c r="BH233" s="154"/>
      <c r="BI233" s="154"/>
      <c r="BJ233" s="154"/>
      <c r="BK233" s="154"/>
      <c r="BL233" s="154"/>
      <c r="BM233" s="154"/>
      <c r="BN233" s="154"/>
      <c r="BO233" s="154"/>
      <c r="BP233" s="154"/>
      <c r="BQ233" s="154"/>
      <c r="BR233" s="154"/>
      <c r="BS233" s="154"/>
      <c r="BT233" s="154"/>
      <c r="BU233" s="154"/>
      <c r="BV233" s="154"/>
      <c r="BW233" s="155"/>
      <c r="BX233" s="373"/>
      <c r="BY233" s="122"/>
    </row>
    <row r="234" spans="1:77" s="282" customFormat="1" ht="9.75" hidden="1" customHeight="1" x14ac:dyDescent="0.25">
      <c r="A234" s="396"/>
      <c r="B234" s="298"/>
      <c r="C234" s="358"/>
      <c r="D234" s="384"/>
      <c r="E234" s="385"/>
      <c r="F234" s="386"/>
      <c r="G234" s="387"/>
      <c r="H234" s="387"/>
      <c r="I234" s="387"/>
      <c r="J234" s="387"/>
      <c r="K234" s="532"/>
      <c r="L234" s="532"/>
      <c r="M234" s="387"/>
      <c r="N234" s="387"/>
      <c r="O234" s="387"/>
      <c r="P234" s="387"/>
      <c r="Q234" s="387"/>
      <c r="R234" s="387"/>
      <c r="S234" s="388"/>
      <c r="T234" s="388"/>
      <c r="U234" s="388"/>
      <c r="V234" s="388"/>
      <c r="W234" s="363"/>
      <c r="X234" s="386"/>
      <c r="Y234" s="386"/>
      <c r="Z234" s="386"/>
      <c r="AA234" s="386"/>
      <c r="AB234" s="365"/>
      <c r="AC234" s="389"/>
      <c r="AD234" s="363"/>
      <c r="AE234" s="363"/>
      <c r="AF234" s="363"/>
      <c r="AG234" s="365"/>
      <c r="AH234" s="389"/>
      <c r="AI234" s="389"/>
      <c r="AJ234" s="389"/>
      <c r="AK234" s="363"/>
      <c r="AL234" s="363"/>
      <c r="AM234" s="363"/>
      <c r="AN234" s="386"/>
      <c r="AO234" s="386"/>
      <c r="AP234" s="386"/>
      <c r="AQ234" s="386"/>
      <c r="AR234" s="386"/>
      <c r="AS234" s="386"/>
      <c r="AT234" s="386"/>
      <c r="AU234" s="386"/>
      <c r="AV234" s="386"/>
      <c r="AW234" s="386"/>
      <c r="AX234" s="386"/>
      <c r="AY234" s="386"/>
      <c r="AZ234" s="386"/>
      <c r="BA234" s="386"/>
      <c r="BB234" s="386"/>
      <c r="BC234" s="386"/>
      <c r="BD234" s="386"/>
      <c r="BE234" s="386"/>
      <c r="BF234" s="386"/>
      <c r="BG234" s="386"/>
      <c r="BH234" s="386"/>
      <c r="BI234" s="386"/>
      <c r="BJ234" s="386"/>
      <c r="BK234" s="386"/>
      <c r="BL234" s="386"/>
      <c r="BM234" s="386"/>
      <c r="BN234" s="386"/>
      <c r="BO234" s="386"/>
      <c r="BP234" s="386"/>
      <c r="BQ234" s="386"/>
      <c r="BR234" s="386"/>
      <c r="BS234" s="386"/>
      <c r="BT234" s="386"/>
      <c r="BU234" s="386"/>
      <c r="BV234" s="386"/>
      <c r="BW234" s="386"/>
      <c r="BX234" s="389"/>
      <c r="BY234" s="395"/>
    </row>
    <row r="235" spans="1:77" s="282" customFormat="1" ht="23.1" hidden="1" customHeight="1" x14ac:dyDescent="0.25">
      <c r="A235" s="396"/>
      <c r="B235" s="298"/>
      <c r="C235" s="298" t="s">
        <v>2</v>
      </c>
      <c r="D235" s="352" t="s">
        <v>212</v>
      </c>
      <c r="E235" s="268">
        <f>SUM(G235:R235)</f>
        <v>229</v>
      </c>
      <c r="F235" s="269">
        <f>E235*36</f>
        <v>8244</v>
      </c>
      <c r="G235" s="353">
        <f t="shared" ref="G235:N235" si="85">G208+SUM(G210:G215)</f>
        <v>30</v>
      </c>
      <c r="H235" s="353">
        <f t="shared" si="85"/>
        <v>30</v>
      </c>
      <c r="I235" s="353">
        <f t="shared" si="85"/>
        <v>57</v>
      </c>
      <c r="J235" s="353">
        <f t="shared" si="85"/>
        <v>11</v>
      </c>
      <c r="K235" s="530">
        <f t="shared" si="85"/>
        <v>20</v>
      </c>
      <c r="L235" s="530">
        <f t="shared" si="85"/>
        <v>27</v>
      </c>
      <c r="M235" s="353">
        <f t="shared" si="85"/>
        <v>32</v>
      </c>
      <c r="N235" s="353">
        <f t="shared" si="85"/>
        <v>22</v>
      </c>
      <c r="O235" s="353">
        <f>O218+SUM(O222:O227)</f>
        <v>0</v>
      </c>
      <c r="P235" s="353">
        <f>P218+SUM(P222:P227)</f>
        <v>0</v>
      </c>
      <c r="Q235" s="353">
        <f>Q218+SUM(Q222:Q227)</f>
        <v>0</v>
      </c>
      <c r="R235" s="353">
        <f>R218+SUM(R222:R227)</f>
        <v>0</v>
      </c>
      <c r="S235" s="176"/>
      <c r="T235" s="177"/>
      <c r="U235" s="177"/>
      <c r="V235" s="178"/>
      <c r="W235" s="112">
        <f>X235+X235*0.1</f>
        <v>3370.4</v>
      </c>
      <c r="X235" s="391">
        <f>SUM(Y235:AA235)</f>
        <v>3064</v>
      </c>
      <c r="Y235" s="354">
        <f>Y208+SUM(Y210:Y215)</f>
        <v>1152</v>
      </c>
      <c r="Z235" s="354">
        <f>Z208+SUM(Z210:Z215)</f>
        <v>656</v>
      </c>
      <c r="AA235" s="354">
        <f>AA208+SUM(AA210:AA215)</f>
        <v>1256</v>
      </c>
      <c r="AB235" s="179"/>
      <c r="AC235" s="355"/>
      <c r="AD235" s="356"/>
      <c r="AE235" s="356"/>
      <c r="AF235" s="356"/>
      <c r="AG235" s="356"/>
      <c r="AH235" s="356"/>
      <c r="AI235" s="356"/>
      <c r="AJ235" s="357"/>
      <c r="AK235" s="119">
        <f>F235-W235</f>
        <v>4873.6000000000004</v>
      </c>
      <c r="AL235" s="188"/>
      <c r="AM235" s="184"/>
      <c r="AN235" s="354">
        <f t="shared" ref="AN235:BK235" si="86">AN208+SUM(AN210:AN215)</f>
        <v>208</v>
      </c>
      <c r="AO235" s="392">
        <f t="shared" si="86"/>
        <v>112</v>
      </c>
      <c r="AP235" s="392">
        <f t="shared" si="86"/>
        <v>180</v>
      </c>
      <c r="AQ235" s="392">
        <f t="shared" si="86"/>
        <v>176</v>
      </c>
      <c r="AR235" s="392">
        <f t="shared" si="86"/>
        <v>144</v>
      </c>
      <c r="AS235" s="392">
        <f t="shared" si="86"/>
        <v>180</v>
      </c>
      <c r="AT235" s="392">
        <f t="shared" si="86"/>
        <v>320</v>
      </c>
      <c r="AU235" s="392">
        <f t="shared" si="86"/>
        <v>96</v>
      </c>
      <c r="AV235" s="392">
        <f t="shared" si="86"/>
        <v>496</v>
      </c>
      <c r="AW235" s="392">
        <f t="shared" si="86"/>
        <v>64</v>
      </c>
      <c r="AX235" s="392">
        <f t="shared" si="86"/>
        <v>32</v>
      </c>
      <c r="AY235" s="392">
        <f t="shared" si="86"/>
        <v>96</v>
      </c>
      <c r="AZ235" s="392">
        <f t="shared" si="86"/>
        <v>96</v>
      </c>
      <c r="BA235" s="392">
        <f t="shared" si="86"/>
        <v>64</v>
      </c>
      <c r="BB235" s="392">
        <f t="shared" si="86"/>
        <v>112</v>
      </c>
      <c r="BC235" s="392">
        <f t="shared" si="86"/>
        <v>96</v>
      </c>
      <c r="BD235" s="392">
        <f t="shared" si="86"/>
        <v>64</v>
      </c>
      <c r="BE235" s="392">
        <f t="shared" si="86"/>
        <v>112</v>
      </c>
      <c r="BF235" s="392">
        <f t="shared" si="86"/>
        <v>144</v>
      </c>
      <c r="BG235" s="392">
        <f t="shared" si="86"/>
        <v>128</v>
      </c>
      <c r="BH235" s="392">
        <f t="shared" si="86"/>
        <v>32</v>
      </c>
      <c r="BI235" s="392">
        <f t="shared" si="86"/>
        <v>48</v>
      </c>
      <c r="BJ235" s="392">
        <f t="shared" si="86"/>
        <v>48</v>
      </c>
      <c r="BK235" s="392">
        <f t="shared" si="86"/>
        <v>0</v>
      </c>
      <c r="BL235" s="356">
        <f t="shared" ref="BL235:BW235" si="87">BL218+SUM(BL222:BL227)</f>
        <v>0</v>
      </c>
      <c r="BM235" s="356">
        <f t="shared" si="87"/>
        <v>0</v>
      </c>
      <c r="BN235" s="356">
        <f t="shared" si="87"/>
        <v>0</v>
      </c>
      <c r="BO235" s="356">
        <f t="shared" si="87"/>
        <v>0</v>
      </c>
      <c r="BP235" s="356">
        <f t="shared" si="87"/>
        <v>0</v>
      </c>
      <c r="BQ235" s="356">
        <f t="shared" si="87"/>
        <v>0</v>
      </c>
      <c r="BR235" s="356">
        <f t="shared" si="87"/>
        <v>0</v>
      </c>
      <c r="BS235" s="356">
        <f t="shared" si="87"/>
        <v>0</v>
      </c>
      <c r="BT235" s="356">
        <f t="shared" si="87"/>
        <v>0</v>
      </c>
      <c r="BU235" s="356">
        <f t="shared" si="87"/>
        <v>0</v>
      </c>
      <c r="BV235" s="356">
        <f t="shared" si="87"/>
        <v>0</v>
      </c>
      <c r="BW235" s="357">
        <f t="shared" si="87"/>
        <v>0</v>
      </c>
      <c r="BX235" s="393"/>
      <c r="BY235" s="170"/>
    </row>
    <row r="236" spans="1:77" s="282" customFormat="1" ht="23.1" hidden="1" customHeight="1" x14ac:dyDescent="0.25">
      <c r="A236" s="396"/>
      <c r="B236" s="298"/>
      <c r="C236" s="358" t="s">
        <v>2</v>
      </c>
      <c r="D236" s="359" t="s">
        <v>149</v>
      </c>
      <c r="E236" s="360"/>
      <c r="F236" s="361">
        <f>SUM(G236:R236)</f>
        <v>25</v>
      </c>
      <c r="G236" s="362">
        <f>COUNTIF(S20:S130,1)+COUNTIF(S20:S130,12)+COUNTIF(S20:S130,123)+COUNTIF(S20:S130,1234)+COUNTIF(S20:S130,12345)+COUNTIF(S20:S130,123456)+COUNTIF(S20:S130,1234567)+COUNTIF(S20:S130,12345678)+COUNTIF(S177:S189,1)</f>
        <v>4</v>
      </c>
      <c r="H236" s="147">
        <f>COUNTIF(S20:S130,2)+COUNTIF(S20:S130,12)+COUNTIF(S20:S130,123)+COUNTIF(S20:S130,1234)+COUNTIF(S20:S130,12345)+COUNTIF(S20:S130,123456)+COUNTIF(S20:S130,1234567)+COUNTIF(S20:S130,12345678)+COUNTIF(S177:S189,2)+COUNTIF(S20:S130,23)</f>
        <v>5</v>
      </c>
      <c r="I236" s="147">
        <f>COUNTIF(S20:S130,3)+COUNTIF(S20:S130,123)+COUNTIF(S20:S130,1234)+COUNTIF(S20:S130,12345)+COUNTIF(S20:S130,123456)+COUNTIF(S20:S130,1234567)+COUNTIF(S20:S130,12345678)+COUNTIF(S177:S189,3)+COUNTIF(S20:S130,23)</f>
        <v>4</v>
      </c>
      <c r="J236" s="147">
        <f>COUNTIF(S20:S130,4)+COUNTIF(S20:S130,1234)+COUNTIF(S20:S130,12345)+COUNTIF(S20:S130,123456)+COUNTIF(S20:S130,1234567)+COUNTIF(S20:S130,12345678)+COUNTIF(S177:S189,4)</f>
        <v>3</v>
      </c>
      <c r="K236" s="533">
        <f>COUNTIF(S20:S130,5)+COUNTIF(S20:S130,12345)+COUNTIF(S20:S130,123456)+COUNTIF(S20:S130,1234567)+COUNTIF(S20:S130,12345678)+COUNTIF(S177:S189,5)</f>
        <v>1</v>
      </c>
      <c r="L236" s="533">
        <f>COUNTIF(S20:S130,6)+COUNTIF(S20:S130,123456)+COUNTIF(S20:S130,1234567)+COUNTIF(S20:S130,12345678)+COUNTIF(S177:S189,6)</f>
        <v>3</v>
      </c>
      <c r="M236" s="147">
        <f>COUNTIF(S20:S130,7)+COUNTIF(S20:S130,1234567)+COUNTIF(S20:S130,12345678)+COUNTIF(S177:S189,7)</f>
        <v>3</v>
      </c>
      <c r="N236" s="147">
        <f>COUNTIF(S20:S130,8)+COUNTIF(S20:S130,12345678)+COUNTIF(S177:S189,8)</f>
        <v>2</v>
      </c>
      <c r="O236" s="147">
        <f>COUNTIF(S38:S141,9)+COUNTIF(S158:S173,9)</f>
        <v>0</v>
      </c>
      <c r="P236" s="147">
        <f>COUNTIF(S38:S141,10)+COUNTIF(S158:S173,10)</f>
        <v>0</v>
      </c>
      <c r="Q236" s="147">
        <f>COUNTIF(S38:S141,11)+COUNTIF(S158:S173,11)</f>
        <v>0</v>
      </c>
      <c r="R236" s="147"/>
      <c r="S236" s="151"/>
      <c r="T236" s="152"/>
      <c r="U236" s="152"/>
      <c r="V236" s="153"/>
      <c r="W236" s="363"/>
      <c r="X236" s="364"/>
      <c r="Y236" s="154"/>
      <c r="Z236" s="154"/>
      <c r="AA236" s="155"/>
      <c r="AB236" s="365"/>
      <c r="AC236" s="366"/>
      <c r="AD236" s="367"/>
      <c r="AE236" s="367"/>
      <c r="AF236" s="367"/>
      <c r="AG236" s="368"/>
      <c r="AH236" s="358"/>
      <c r="AI236" s="358"/>
      <c r="AJ236" s="369"/>
      <c r="AK236" s="370"/>
      <c r="AL236" s="371"/>
      <c r="AM236" s="367"/>
      <c r="AN236" s="372">
        <f>AN208+AO208+AP208</f>
        <v>500</v>
      </c>
      <c r="AO236" s="154"/>
      <c r="AP236" s="154"/>
      <c r="AQ236" s="372">
        <f>AQ208+AR208+AS208</f>
        <v>500</v>
      </c>
      <c r="AR236" s="154"/>
      <c r="AS236" s="154"/>
      <c r="AT236" s="372">
        <f>AT208+AU208+AV208</f>
        <v>912</v>
      </c>
      <c r="AU236" s="154"/>
      <c r="AV236" s="154"/>
      <c r="AW236" s="372">
        <f>AW208+AX208+AY208</f>
        <v>192</v>
      </c>
      <c r="AX236" s="154"/>
      <c r="AY236" s="154"/>
      <c r="AZ236" s="372">
        <f>AZ208+BA208+BB208</f>
        <v>272</v>
      </c>
      <c r="BA236" s="154"/>
      <c r="BB236" s="154"/>
      <c r="BC236" s="372">
        <f>BC208+BD208+BE208</f>
        <v>272</v>
      </c>
      <c r="BD236" s="154"/>
      <c r="BE236" s="154"/>
      <c r="BF236" s="372">
        <f>BF208+BG208+BH208</f>
        <v>304</v>
      </c>
      <c r="BG236" s="154"/>
      <c r="BH236" s="154"/>
      <c r="BI236" s="372">
        <f>BI208+BJ208+BK208</f>
        <v>96</v>
      </c>
      <c r="BJ236" s="154"/>
      <c r="BK236" s="154"/>
      <c r="BL236" s="372">
        <f>BL218+BM218+BN218</f>
        <v>0</v>
      </c>
      <c r="BM236" s="154"/>
      <c r="BN236" s="154"/>
      <c r="BO236" s="372">
        <f>BO218+BP218+BQ218</f>
        <v>0</v>
      </c>
      <c r="BP236" s="154"/>
      <c r="BQ236" s="154"/>
      <c r="BR236" s="372">
        <f>BR218+BS218+BT218</f>
        <v>0</v>
      </c>
      <c r="BS236" s="154"/>
      <c r="BT236" s="154"/>
      <c r="BU236" s="372">
        <f>BU218+BV218+BW218</f>
        <v>0</v>
      </c>
      <c r="BV236" s="154"/>
      <c r="BW236" s="155"/>
      <c r="BX236" s="373"/>
      <c r="BY236" s="122"/>
    </row>
    <row r="237" spans="1:77" s="282" customFormat="1" ht="23.1" hidden="1" customHeight="1" x14ac:dyDescent="0.25">
      <c r="A237" s="394"/>
      <c r="B237" s="298"/>
      <c r="C237" s="358" t="s">
        <v>2</v>
      </c>
      <c r="D237" s="359" t="s">
        <v>150</v>
      </c>
      <c r="E237" s="360"/>
      <c r="F237" s="361">
        <f>SUM(G237:R237)</f>
        <v>6</v>
      </c>
      <c r="G237" s="362">
        <f>COUNTIF(T20:T130,1)+COUNTIF(T177:T189,1)+COUNTIF(T211:T213,1)</f>
        <v>0</v>
      </c>
      <c r="H237" s="147">
        <f>COUNTIF(T20:T130,2)+COUNTIF(T177:T189,2)+COUNTIF(T211:T213,2)</f>
        <v>1</v>
      </c>
      <c r="I237" s="147">
        <f>COUNTIF(T20:T130,3)+COUNTIF(T177:T189,3)+COUNTIF(T211:T213,3)</f>
        <v>0</v>
      </c>
      <c r="J237" s="147">
        <f>COUNTIF(T20:T130,4)+COUNTIF(T177:T189,4)+COUNTIF(T211:T213,4)</f>
        <v>0</v>
      </c>
      <c r="K237" s="533">
        <f>COUNTIF(T20:T130,5)+COUNTIF(T177:T189,5)+COUNTIF(T211:T213,5)</f>
        <v>1</v>
      </c>
      <c r="L237" s="533">
        <f>COUNTIF(T20:T130,6)+COUNTIF(T177:T189,6)+COUNTIF(T211:T213,6)</f>
        <v>2</v>
      </c>
      <c r="M237" s="147">
        <f>COUNTIF(T20:T130,7)+COUNTIF(T177:T189,7)+COUNTIF(T211:T213,7)</f>
        <v>0</v>
      </c>
      <c r="N237" s="147">
        <f>COUNTIF(T20:T130,8)+COUNTIF(T177:T189,8)+COUNTIF(T211:T213,8)</f>
        <v>2</v>
      </c>
      <c r="O237" s="147">
        <f>COUNTIF(T38:T141,9)+COUNTIF(T158:T173,9)+COUNTIF(T223:T225,9)</f>
        <v>0</v>
      </c>
      <c r="P237" s="147">
        <f>COUNTIF(T38:T141,10)+COUNTIF(T158:T173,10)+COUNTIF(T223:T225,10)</f>
        <v>0</v>
      </c>
      <c r="Q237" s="147">
        <f>COUNTIF(T38:T141,11)+COUNTIF(T158:T173,11)+COUNTIF(T223:T225,11)</f>
        <v>0</v>
      </c>
      <c r="R237" s="147"/>
      <c r="S237" s="151"/>
      <c r="T237" s="152"/>
      <c r="U237" s="152"/>
      <c r="V237" s="153"/>
      <c r="W237" s="363"/>
      <c r="X237" s="364"/>
      <c r="Y237" s="154"/>
      <c r="Z237" s="154"/>
      <c r="AA237" s="155"/>
      <c r="AB237" s="365"/>
      <c r="AC237" s="366"/>
      <c r="AD237" s="367"/>
      <c r="AE237" s="367"/>
      <c r="AF237" s="367"/>
      <c r="AG237" s="368"/>
      <c r="AH237" s="358"/>
      <c r="AI237" s="358"/>
      <c r="AJ237" s="369"/>
      <c r="AK237" s="370"/>
      <c r="AL237" s="371"/>
      <c r="AM237" s="367"/>
      <c r="AN237" s="375">
        <f>AN236/16</f>
        <v>31.25</v>
      </c>
      <c r="AO237" s="376"/>
      <c r="AP237" s="376"/>
      <c r="AQ237" s="375">
        <f>AQ236/16</f>
        <v>31.25</v>
      </c>
      <c r="AR237" s="376"/>
      <c r="AS237" s="376"/>
      <c r="AT237" s="375">
        <f>AT236/16</f>
        <v>57</v>
      </c>
      <c r="AU237" s="376"/>
      <c r="AV237" s="376"/>
      <c r="AW237" s="375">
        <f>AW236/16</f>
        <v>12</v>
      </c>
      <c r="AX237" s="376"/>
      <c r="AY237" s="376"/>
      <c r="AZ237" s="375">
        <f>AZ236/16</f>
        <v>17</v>
      </c>
      <c r="BA237" s="376"/>
      <c r="BB237" s="376"/>
      <c r="BC237" s="375">
        <f>BC236/16</f>
        <v>17</v>
      </c>
      <c r="BD237" s="376"/>
      <c r="BE237" s="376"/>
      <c r="BF237" s="375">
        <f>BF236/16</f>
        <v>19</v>
      </c>
      <c r="BG237" s="376"/>
      <c r="BH237" s="376"/>
      <c r="BI237" s="375">
        <f>BI236/16</f>
        <v>6</v>
      </c>
      <c r="BJ237" s="376"/>
      <c r="BK237" s="376"/>
      <c r="BL237" s="375">
        <f>BL236/16</f>
        <v>0</v>
      </c>
      <c r="BM237" s="376"/>
      <c r="BN237" s="376"/>
      <c r="BO237" s="375">
        <f>BO236/16</f>
        <v>0</v>
      </c>
      <c r="BP237" s="376"/>
      <c r="BQ237" s="376"/>
      <c r="BR237" s="375">
        <f>BR236/16</f>
        <v>0</v>
      </c>
      <c r="BS237" s="376"/>
      <c r="BT237" s="376"/>
      <c r="BU237" s="375">
        <f>BU236/16</f>
        <v>0</v>
      </c>
      <c r="BV237" s="376"/>
      <c r="BW237" s="377"/>
      <c r="BX237" s="373"/>
      <c r="BY237" s="122"/>
    </row>
    <row r="238" spans="1:77" s="282" customFormat="1" ht="23.1" hidden="1" customHeight="1" x14ac:dyDescent="0.25">
      <c r="A238" s="269"/>
      <c r="B238" s="298"/>
      <c r="C238" s="317" t="s">
        <v>2</v>
      </c>
      <c r="D238" s="359" t="s">
        <v>151</v>
      </c>
      <c r="E238" s="360"/>
      <c r="F238" s="361">
        <f>SUM(G238:R238)</f>
        <v>29</v>
      </c>
      <c r="G238" s="362">
        <f>COUNTIF(U20:U130,1)+COUNTIF(U20:U130,12)+COUNTIF(U20:U130,123)+COUNTIF(U20:U130,1234)+COUNTIF(U20:U130,12345)+COUNTIF(U20:U130,123456)+COUNTIF(U20:U130,1234567)+COUNTIF(U20:U130,1234567)+COUNTIF(U177:U189,1)</f>
        <v>5</v>
      </c>
      <c r="H238" s="147">
        <f>COUNTIF(U20:U130,2)+COUNTIF(U20:U130,12)+COUNTIF(U20:U130,123)+COUNTIF(U20:U130,1234)+COUNTIF(U20:U130,12345)+COUNTIF(U20:U130,123456)+COUNTIF(U20:U130,1234567)+COUNTIF(U20:U130,234567)+COUNTIF(U177:U189,2)</f>
        <v>3</v>
      </c>
      <c r="I238" s="147">
        <f>COUNTIF(U20:U130,3)+COUNTIF(U20:U130,123)+COUNTIF(U20:U130,1234)+COUNTIF(U20:U130,12345)+COUNTIF(U20:U130,123456)+COUNTIF(U20:U130,1234567)+COUNTIF(U20:U130,234567)+COUNTIF(U177:U189,3)</f>
        <v>14</v>
      </c>
      <c r="J238" s="147">
        <f>COUNTIF(U20:U130,4)+COUNTIF(U20:U130,1234)+COUNTIF(U20:U130,12345)+COUNTIF(U20:U130,123456)+COUNTIF(U20:U130,1234567)+COUNTIF(U20:U130,234567)+COUNTIF(U177:U189,4)</f>
        <v>0</v>
      </c>
      <c r="K238" s="533">
        <f>COUNTIF(U20:U130,5)+COUNTIF(U20:U130,12345)+COUNTIF(U20:U130,123456)+COUNTIF(U20:U130,1234567)+COUNTIF(U20:U130,234567)+COUNTIF(U177:U189,5)</f>
        <v>3</v>
      </c>
      <c r="L238" s="533">
        <f>COUNTIF(U20:U130,6)+COUNTIF(U20:U130,123456)+COUNTIF(U20:U130,1234567)+COUNTIF(U20:U130,234567)+COUNTIF(U177:U189,6)</f>
        <v>2</v>
      </c>
      <c r="M238" s="147">
        <f>COUNTIF(U20:U130,7)+COUNTIF(U20:U130,1234567)+COUNTIF(U20:U130,234567)+COUNTIF(U177:U189,7)</f>
        <v>2</v>
      </c>
      <c r="N238" s="147">
        <f>COUNTIF(U20:U130,8)+COUNTIF(U20:U130,12345678)+COUNTIF(U177:U189,8)</f>
        <v>0</v>
      </c>
      <c r="O238" s="147">
        <f>COUNTIF(U38:U141,9)+COUNTIF(U158:U173,9)</f>
        <v>0</v>
      </c>
      <c r="P238" s="147">
        <f>COUNTIF(U38:U141,10)+COUNTIF(U158:U173,10)</f>
        <v>0</v>
      </c>
      <c r="Q238" s="147">
        <f>COUNTIF(U38:U141,11)+COUNTIF(U158:U173,11)</f>
        <v>0</v>
      </c>
      <c r="R238" s="147"/>
      <c r="S238" s="151"/>
      <c r="T238" s="152"/>
      <c r="U238" s="152"/>
      <c r="V238" s="153"/>
      <c r="W238" s="363"/>
      <c r="X238" s="364"/>
      <c r="Y238" s="154"/>
      <c r="Z238" s="154"/>
      <c r="AA238" s="155"/>
      <c r="AB238" s="365"/>
      <c r="AC238" s="378"/>
      <c r="AD238" s="367"/>
      <c r="AE238" s="367"/>
      <c r="AF238" s="367"/>
      <c r="AG238" s="368"/>
      <c r="AH238" s="379"/>
      <c r="AI238" s="379"/>
      <c r="AJ238" s="380"/>
      <c r="AK238" s="370"/>
      <c r="AL238" s="371"/>
      <c r="AM238" s="367"/>
      <c r="AN238" s="381" t="s">
        <v>181</v>
      </c>
      <c r="AO238" s="154"/>
      <c r="AP238" s="154"/>
      <c r="AQ238" s="154"/>
      <c r="AR238" s="154"/>
      <c r="AS238" s="154"/>
      <c r="AT238" s="154"/>
      <c r="AU238" s="154"/>
      <c r="AV238" s="154"/>
      <c r="AW238" s="154"/>
      <c r="AX238" s="154"/>
      <c r="AY238" s="154"/>
      <c r="AZ238" s="154"/>
      <c r="BA238" s="154"/>
      <c r="BB238" s="154"/>
      <c r="BC238" s="154"/>
      <c r="BD238" s="154"/>
      <c r="BE238" s="154"/>
      <c r="BF238" s="154"/>
      <c r="BG238" s="154"/>
      <c r="BH238" s="154"/>
      <c r="BI238" s="154"/>
      <c r="BJ238" s="154"/>
      <c r="BK238" s="154"/>
      <c r="BL238" s="154"/>
      <c r="BM238" s="154"/>
      <c r="BN238" s="154"/>
      <c r="BO238" s="154"/>
      <c r="BP238" s="154"/>
      <c r="BQ238" s="154"/>
      <c r="BR238" s="154"/>
      <c r="BS238" s="154"/>
      <c r="BT238" s="154"/>
      <c r="BU238" s="154"/>
      <c r="BV238" s="154"/>
      <c r="BW238" s="155"/>
      <c r="BX238" s="373"/>
      <c r="BY238" s="122"/>
    </row>
    <row r="239" spans="1:77" s="282" customFormat="1" ht="23.1" hidden="1" customHeight="1" x14ac:dyDescent="0.25">
      <c r="A239" s="396"/>
      <c r="B239" s="298"/>
      <c r="C239" s="358" t="s">
        <v>2</v>
      </c>
      <c r="D239" s="383" t="s">
        <v>28</v>
      </c>
      <c r="E239" s="360"/>
      <c r="F239" s="361">
        <f>SUM(G239:R239)</f>
        <v>2</v>
      </c>
      <c r="G239" s="362">
        <f>COUNTIF(V20:V130,1)+COUNTIF(V177:V189,1)</f>
        <v>0</v>
      </c>
      <c r="H239" s="147">
        <f>COUNTIF(V20:V130,2)+COUNTIF(V177:V189,2)</f>
        <v>0</v>
      </c>
      <c r="I239" s="147">
        <f>COUNTIF(V20:V130,3)+COUNTIF(V177:V189,3)</f>
        <v>0</v>
      </c>
      <c r="J239" s="147">
        <f>COUNTIF(V20:V130,4)+COUNTIF(V177:V189,4)</f>
        <v>0</v>
      </c>
      <c r="K239" s="533">
        <f>COUNTIF(V20:V130,5)+COUNTIF(V177:V189,5)</f>
        <v>0</v>
      </c>
      <c r="L239" s="533">
        <f>COUNTIF(V20:V130,6)+COUNTIF(V177:V189,6)</f>
        <v>1</v>
      </c>
      <c r="M239" s="147">
        <f>COUNTIF(V20:V130,7)+COUNTIF(V177:V189,7)</f>
        <v>1</v>
      </c>
      <c r="N239" s="147">
        <f>COUNTIF(V20:V130,8)+COUNTIF(V177:V189,8)</f>
        <v>0</v>
      </c>
      <c r="O239" s="147">
        <f>COUNTIF(V38:V141,9)+COUNTIF(V158:V173,9)</f>
        <v>0</v>
      </c>
      <c r="P239" s="147">
        <f>COUNTIF(V38:V141,10)+COUNTIF(V158:V173,10)</f>
        <v>0</v>
      </c>
      <c r="Q239" s="147">
        <f>COUNTIF(V38:V141,11)+COUNTIF(V158:V173,11)</f>
        <v>0</v>
      </c>
      <c r="R239" s="147"/>
      <c r="S239" s="151"/>
      <c r="T239" s="152"/>
      <c r="U239" s="152"/>
      <c r="V239" s="153"/>
      <c r="W239" s="363"/>
      <c r="X239" s="364"/>
      <c r="Y239" s="154"/>
      <c r="Z239" s="154"/>
      <c r="AA239" s="155"/>
      <c r="AB239" s="365"/>
      <c r="AC239" s="366"/>
      <c r="AD239" s="367"/>
      <c r="AE239" s="367"/>
      <c r="AF239" s="367"/>
      <c r="AG239" s="368"/>
      <c r="AH239" s="358"/>
      <c r="AI239" s="358"/>
      <c r="AJ239" s="369"/>
      <c r="AK239" s="370"/>
      <c r="AL239" s="371"/>
      <c r="AM239" s="367"/>
      <c r="AN239" s="364"/>
      <c r="AO239" s="154"/>
      <c r="AP239" s="154"/>
      <c r="AQ239" s="154"/>
      <c r="AR239" s="154"/>
      <c r="AS239" s="154"/>
      <c r="AT239" s="154"/>
      <c r="AU239" s="154"/>
      <c r="AV239" s="154"/>
      <c r="AW239" s="154"/>
      <c r="AX239" s="154"/>
      <c r="AY239" s="154"/>
      <c r="AZ239" s="154"/>
      <c r="BA239" s="154"/>
      <c r="BB239" s="154"/>
      <c r="BC239" s="154"/>
      <c r="BD239" s="154"/>
      <c r="BE239" s="154"/>
      <c r="BF239" s="154"/>
      <c r="BG239" s="154"/>
      <c r="BH239" s="154"/>
      <c r="BI239" s="154"/>
      <c r="BJ239" s="154"/>
      <c r="BK239" s="154"/>
      <c r="BL239" s="154"/>
      <c r="BM239" s="154"/>
      <c r="BN239" s="154"/>
      <c r="BO239" s="154"/>
      <c r="BP239" s="154"/>
      <c r="BQ239" s="154"/>
      <c r="BR239" s="154"/>
      <c r="BS239" s="154"/>
      <c r="BT239" s="154"/>
      <c r="BU239" s="154"/>
      <c r="BV239" s="154"/>
      <c r="BW239" s="155"/>
      <c r="BX239" s="373"/>
      <c r="BY239" s="122"/>
    </row>
    <row r="240" spans="1:77" s="282" customFormat="1" ht="9" hidden="1" customHeight="1" x14ac:dyDescent="0.25">
      <c r="A240" s="396"/>
      <c r="B240" s="298"/>
      <c r="C240" s="358"/>
      <c r="D240" s="384"/>
      <c r="E240" s="385"/>
      <c r="F240" s="386"/>
      <c r="G240" s="387"/>
      <c r="H240" s="387"/>
      <c r="I240" s="387"/>
      <c r="J240" s="387"/>
      <c r="K240" s="532"/>
      <c r="L240" s="532"/>
      <c r="M240" s="387"/>
      <c r="N240" s="387"/>
      <c r="O240" s="387"/>
      <c r="P240" s="387"/>
      <c r="Q240" s="387"/>
      <c r="R240" s="387"/>
      <c r="S240" s="388"/>
      <c r="T240" s="388"/>
      <c r="U240" s="388"/>
      <c r="V240" s="388"/>
      <c r="W240" s="363"/>
      <c r="X240" s="386"/>
      <c r="Y240" s="386"/>
      <c r="Z240" s="386"/>
      <c r="AA240" s="386"/>
      <c r="AB240" s="365"/>
      <c r="AC240" s="389"/>
      <c r="AD240" s="363"/>
      <c r="AE240" s="363"/>
      <c r="AF240" s="363"/>
      <c r="AG240" s="365"/>
      <c r="AH240" s="389"/>
      <c r="AI240" s="389"/>
      <c r="AJ240" s="389"/>
      <c r="AK240" s="363"/>
      <c r="AL240" s="363"/>
      <c r="AM240" s="363"/>
      <c r="AN240" s="386"/>
      <c r="AO240" s="386"/>
      <c r="AP240" s="386"/>
      <c r="AQ240" s="386"/>
      <c r="AR240" s="386"/>
      <c r="AS240" s="386"/>
      <c r="AT240" s="386"/>
      <c r="AU240" s="386"/>
      <c r="AV240" s="386"/>
      <c r="AW240" s="386"/>
      <c r="AX240" s="386"/>
      <c r="AY240" s="386"/>
      <c r="AZ240" s="386"/>
      <c r="BA240" s="386"/>
      <c r="BB240" s="386"/>
      <c r="BC240" s="386"/>
      <c r="BD240" s="386"/>
      <c r="BE240" s="386"/>
      <c r="BF240" s="386"/>
      <c r="BG240" s="386"/>
      <c r="BH240" s="386"/>
      <c r="BI240" s="386"/>
      <c r="BJ240" s="386"/>
      <c r="BK240" s="386"/>
      <c r="BL240" s="386"/>
      <c r="BM240" s="386"/>
      <c r="BN240" s="386"/>
      <c r="BO240" s="386"/>
      <c r="BP240" s="386"/>
      <c r="BQ240" s="386"/>
      <c r="BR240" s="386"/>
      <c r="BS240" s="386"/>
      <c r="BT240" s="386"/>
      <c r="BU240" s="386"/>
      <c r="BV240" s="386"/>
      <c r="BW240" s="386"/>
      <c r="BX240" s="389"/>
      <c r="BY240" s="395"/>
    </row>
    <row r="241" spans="1:77" s="282" customFormat="1" ht="23.1" hidden="1" customHeight="1" x14ac:dyDescent="0.25">
      <c r="A241" s="396"/>
      <c r="B241" s="298"/>
      <c r="C241" s="298" t="s">
        <v>2</v>
      </c>
      <c r="D241" s="352" t="s">
        <v>213</v>
      </c>
      <c r="E241" s="268">
        <f>SUM(G241:R241)</f>
        <v>229</v>
      </c>
      <c r="F241" s="269">
        <f>E241*36</f>
        <v>8244</v>
      </c>
      <c r="G241" s="353">
        <f t="shared" ref="G241:N241" si="88">G209+SUM(G210:G215)</f>
        <v>30</v>
      </c>
      <c r="H241" s="353">
        <f t="shared" si="88"/>
        <v>30</v>
      </c>
      <c r="I241" s="353">
        <f t="shared" si="88"/>
        <v>57</v>
      </c>
      <c r="J241" s="353">
        <f t="shared" si="88"/>
        <v>11</v>
      </c>
      <c r="K241" s="530">
        <f t="shared" si="88"/>
        <v>20</v>
      </c>
      <c r="L241" s="530">
        <f t="shared" si="88"/>
        <v>27</v>
      </c>
      <c r="M241" s="353">
        <f t="shared" si="88"/>
        <v>32</v>
      </c>
      <c r="N241" s="353">
        <f t="shared" si="88"/>
        <v>22</v>
      </c>
      <c r="O241" s="353">
        <f>O224+SUM(O228:O233)</f>
        <v>0</v>
      </c>
      <c r="P241" s="353">
        <f>P224+SUM(P228:P233)</f>
        <v>0</v>
      </c>
      <c r="Q241" s="353">
        <f>Q224+SUM(Q228:Q233)</f>
        <v>0</v>
      </c>
      <c r="R241" s="353">
        <f>R224+SUM(R228:R233)</f>
        <v>0</v>
      </c>
      <c r="S241" s="176"/>
      <c r="T241" s="177"/>
      <c r="U241" s="177"/>
      <c r="V241" s="178"/>
      <c r="W241" s="112">
        <f>X241+X241*0.1</f>
        <v>3370.4</v>
      </c>
      <c r="X241" s="391">
        <f>SUM(Y241:AA241)</f>
        <v>3064</v>
      </c>
      <c r="Y241" s="354">
        <f>Y209+SUM(Y210:Y215)</f>
        <v>1152</v>
      </c>
      <c r="Z241" s="354">
        <f>Z209+SUM(Z210:Z215)</f>
        <v>656</v>
      </c>
      <c r="AA241" s="354">
        <f>AA209+SUM(AA210:AA215)</f>
        <v>1256</v>
      </c>
      <c r="AB241" s="179"/>
      <c r="AC241" s="355"/>
      <c r="AD241" s="356"/>
      <c r="AE241" s="356"/>
      <c r="AF241" s="356"/>
      <c r="AG241" s="356"/>
      <c r="AH241" s="356"/>
      <c r="AI241" s="356"/>
      <c r="AJ241" s="357"/>
      <c r="AK241" s="119">
        <f>F241-W241</f>
        <v>4873.6000000000004</v>
      </c>
      <c r="AL241" s="188"/>
      <c r="AM241" s="184"/>
      <c r="AN241" s="354">
        <f t="shared" ref="AN241:BK241" si="89">AN209+SUM(AN210:AN215)</f>
        <v>208</v>
      </c>
      <c r="AO241" s="392">
        <f t="shared" si="89"/>
        <v>112</v>
      </c>
      <c r="AP241" s="392">
        <f t="shared" si="89"/>
        <v>180</v>
      </c>
      <c r="AQ241" s="392">
        <f t="shared" si="89"/>
        <v>176</v>
      </c>
      <c r="AR241" s="392">
        <f t="shared" si="89"/>
        <v>144</v>
      </c>
      <c r="AS241" s="392">
        <f t="shared" si="89"/>
        <v>180</v>
      </c>
      <c r="AT241" s="392">
        <f t="shared" si="89"/>
        <v>320</v>
      </c>
      <c r="AU241" s="392">
        <f t="shared" si="89"/>
        <v>96</v>
      </c>
      <c r="AV241" s="392">
        <f t="shared" si="89"/>
        <v>496</v>
      </c>
      <c r="AW241" s="392">
        <f t="shared" si="89"/>
        <v>64</v>
      </c>
      <c r="AX241" s="392">
        <f t="shared" si="89"/>
        <v>32</v>
      </c>
      <c r="AY241" s="392">
        <f t="shared" si="89"/>
        <v>96</v>
      </c>
      <c r="AZ241" s="392">
        <f t="shared" si="89"/>
        <v>96</v>
      </c>
      <c r="BA241" s="392">
        <f t="shared" si="89"/>
        <v>64</v>
      </c>
      <c r="BB241" s="392">
        <f t="shared" si="89"/>
        <v>112</v>
      </c>
      <c r="BC241" s="392">
        <f t="shared" si="89"/>
        <v>96</v>
      </c>
      <c r="BD241" s="392">
        <f t="shared" si="89"/>
        <v>64</v>
      </c>
      <c r="BE241" s="392">
        <f t="shared" si="89"/>
        <v>112</v>
      </c>
      <c r="BF241" s="392">
        <f t="shared" si="89"/>
        <v>144</v>
      </c>
      <c r="BG241" s="392">
        <f t="shared" si="89"/>
        <v>128</v>
      </c>
      <c r="BH241" s="392">
        <f t="shared" si="89"/>
        <v>32</v>
      </c>
      <c r="BI241" s="392">
        <f t="shared" si="89"/>
        <v>48</v>
      </c>
      <c r="BJ241" s="392">
        <f t="shared" si="89"/>
        <v>48</v>
      </c>
      <c r="BK241" s="392">
        <f t="shared" si="89"/>
        <v>0</v>
      </c>
      <c r="BL241" s="356">
        <f t="shared" ref="BL241:BW241" si="90">BL224+SUM(BL228:BL233)</f>
        <v>0</v>
      </c>
      <c r="BM241" s="356">
        <f t="shared" si="90"/>
        <v>0</v>
      </c>
      <c r="BN241" s="356">
        <f t="shared" si="90"/>
        <v>0</v>
      </c>
      <c r="BO241" s="356">
        <f t="shared" si="90"/>
        <v>0</v>
      </c>
      <c r="BP241" s="356">
        <f t="shared" si="90"/>
        <v>0</v>
      </c>
      <c r="BQ241" s="356">
        <f t="shared" si="90"/>
        <v>0</v>
      </c>
      <c r="BR241" s="356">
        <f t="shared" si="90"/>
        <v>0</v>
      </c>
      <c r="BS241" s="356">
        <f t="shared" si="90"/>
        <v>0</v>
      </c>
      <c r="BT241" s="356">
        <f t="shared" si="90"/>
        <v>0</v>
      </c>
      <c r="BU241" s="356">
        <f t="shared" si="90"/>
        <v>0</v>
      </c>
      <c r="BV241" s="356">
        <f t="shared" si="90"/>
        <v>0</v>
      </c>
      <c r="BW241" s="357">
        <f t="shared" si="90"/>
        <v>0</v>
      </c>
      <c r="BX241" s="393"/>
      <c r="BY241" s="170"/>
    </row>
    <row r="242" spans="1:77" s="282" customFormat="1" ht="23.1" hidden="1" customHeight="1" x14ac:dyDescent="0.25">
      <c r="A242" s="396"/>
      <c r="B242" s="298"/>
      <c r="C242" s="358" t="s">
        <v>2</v>
      </c>
      <c r="D242" s="359" t="s">
        <v>149</v>
      </c>
      <c r="E242" s="360"/>
      <c r="F242" s="361">
        <f>SUM(G242:R242)</f>
        <v>25</v>
      </c>
      <c r="G242" s="362">
        <f>COUNTIF(S20:S130,1)+COUNTIF(S20:S130,12)+COUNTIF(S20:S130,123)+COUNTIF(S20:S130,1234)+COUNTIF(S20:S130,12345)+COUNTIF(S20:S130,123456)+COUNTIF(S20:S130,1234567)+COUNTIF(S20:S130,12345678)+COUNTIF(S191:S203,1)</f>
        <v>4</v>
      </c>
      <c r="H242" s="147">
        <f>COUNTIF(S20:S130,2)+COUNTIF(S20:S130,12)+COUNTIF(S20:S130,123)+COUNTIF(S20:S130,1234)+COUNTIF(S20:S130,12345)+COUNTIF(S20:S130,123456)+COUNTIF(S20:S130,1234567)+COUNTIF(S20:S130,12345678)+COUNTIF(S191:S203,2)+COUNTIF(S20:S130,23)</f>
        <v>5</v>
      </c>
      <c r="I242" s="147">
        <f>COUNTIF(S20:S130,3)+COUNTIF(S20:S130,123)+COUNTIF(S20:S130,1234)+COUNTIF(S20:S130,12345)+COUNTIF(S20:S130,123456)+COUNTIF(S20:S130,1234567)+COUNTIF(S20:S130,12345678)+COUNTIF(S191:S203,3)+COUNTIF(S20:S130,23)</f>
        <v>4</v>
      </c>
      <c r="J242" s="147">
        <f>COUNTIF(S20:S130,4)+COUNTIF(S20:S130,1234)+COUNTIF(S20:S130,12345)+COUNTIF(S20:S130,123456)+COUNTIF(S20:S130,1234567)+COUNTIF(S20:S130,12345678)+COUNTIF(S191:S203,4)</f>
        <v>3</v>
      </c>
      <c r="K242" s="533">
        <f>COUNTIF(S20:S130,5)+COUNTIF(S20:S130,12345)+COUNTIF(S20:S130,123456)+COUNTIF(S20:S130,1234567)+COUNTIF(S20:S130,12345678)+COUNTIF(S191:S203,5)</f>
        <v>1</v>
      </c>
      <c r="L242" s="533">
        <f>COUNTIF(S20:S130,6)+COUNTIF(S20:S130,123456)+COUNTIF(S20:S130,1234567)+COUNTIF(S20:S130,12345678)+COUNTIF(S191:S203,6)</f>
        <v>3</v>
      </c>
      <c r="M242" s="147">
        <f>COUNTIF(S20:S130,7)+COUNTIF(S20:S130,1234567)+COUNTIF(S20:S130,12345678)+COUNTIF(S191:S203,7)</f>
        <v>3</v>
      </c>
      <c r="N242" s="147">
        <f>COUNTIF(S20:S130,8)+COUNTIF(S20:S130,12345678)+COUNTIF(S191:S203,8)</f>
        <v>2</v>
      </c>
      <c r="O242" s="147">
        <f>COUNTIF(S43:S145,9)+COUNTIF(S162:S177,9)</f>
        <v>0</v>
      </c>
      <c r="P242" s="147">
        <f>COUNTIF(S43:S145,10)+COUNTIF(S162:S177,10)</f>
        <v>0</v>
      </c>
      <c r="Q242" s="147">
        <f>COUNTIF(S43:S145,11)+COUNTIF(S162:S177,11)</f>
        <v>0</v>
      </c>
      <c r="R242" s="147"/>
      <c r="S242" s="151"/>
      <c r="T242" s="152"/>
      <c r="U242" s="152"/>
      <c r="V242" s="153"/>
      <c r="W242" s="363"/>
      <c r="X242" s="364"/>
      <c r="Y242" s="154"/>
      <c r="Z242" s="154"/>
      <c r="AA242" s="155"/>
      <c r="AB242" s="365"/>
      <c r="AC242" s="366"/>
      <c r="AD242" s="367"/>
      <c r="AE242" s="367"/>
      <c r="AF242" s="367"/>
      <c r="AG242" s="368"/>
      <c r="AH242" s="358"/>
      <c r="AI242" s="358"/>
      <c r="AJ242" s="369"/>
      <c r="AK242" s="370"/>
      <c r="AL242" s="371"/>
      <c r="AM242" s="367"/>
      <c r="AN242" s="372">
        <f>AN209+AO209+AP209</f>
        <v>500</v>
      </c>
      <c r="AO242" s="154"/>
      <c r="AP242" s="154"/>
      <c r="AQ242" s="372">
        <f>AQ209+AR209+AS209</f>
        <v>500</v>
      </c>
      <c r="AR242" s="154"/>
      <c r="AS242" s="154"/>
      <c r="AT242" s="372">
        <f>AT209+AU209+AV209</f>
        <v>912</v>
      </c>
      <c r="AU242" s="154"/>
      <c r="AV242" s="154"/>
      <c r="AW242" s="372">
        <f>AW209+AX209+AY209</f>
        <v>192</v>
      </c>
      <c r="AX242" s="154"/>
      <c r="AY242" s="154"/>
      <c r="AZ242" s="372">
        <f>AZ209+BA209+BB209</f>
        <v>272</v>
      </c>
      <c r="BA242" s="154"/>
      <c r="BB242" s="154"/>
      <c r="BC242" s="372">
        <f>BC209+BD209+BE209</f>
        <v>272</v>
      </c>
      <c r="BD242" s="154"/>
      <c r="BE242" s="154"/>
      <c r="BF242" s="372">
        <f>BF209+BG209+BH209</f>
        <v>304</v>
      </c>
      <c r="BG242" s="154"/>
      <c r="BH242" s="154"/>
      <c r="BI242" s="372">
        <f>BI209+BJ209+BK209</f>
        <v>96</v>
      </c>
      <c r="BJ242" s="154"/>
      <c r="BK242" s="154"/>
      <c r="BL242" s="372">
        <f>BL224+BM224+BN224</f>
        <v>0</v>
      </c>
      <c r="BM242" s="154"/>
      <c r="BN242" s="154"/>
      <c r="BO242" s="372">
        <f>BO224+BP224+BQ224</f>
        <v>0</v>
      </c>
      <c r="BP242" s="154"/>
      <c r="BQ242" s="154"/>
      <c r="BR242" s="372">
        <f>BR224+BS224+BT224</f>
        <v>0</v>
      </c>
      <c r="BS242" s="154"/>
      <c r="BT242" s="154"/>
      <c r="BU242" s="372">
        <f>BU224+BV224+BW224</f>
        <v>0</v>
      </c>
      <c r="BV242" s="154"/>
      <c r="BW242" s="155"/>
      <c r="BX242" s="373"/>
      <c r="BY242" s="122"/>
    </row>
    <row r="243" spans="1:77" s="282" customFormat="1" ht="23.1" hidden="1" customHeight="1" x14ac:dyDescent="0.25">
      <c r="A243" s="397"/>
      <c r="B243" s="298"/>
      <c r="C243" s="358" t="s">
        <v>2</v>
      </c>
      <c r="D243" s="359" t="s">
        <v>150</v>
      </c>
      <c r="E243" s="360"/>
      <c r="F243" s="361">
        <f>SUM(G243:R243)</f>
        <v>6</v>
      </c>
      <c r="G243" s="362">
        <f>COUNTIF(T20:T130,1)+COUNTIF(T191:T203,1)+COUNTIF(T211:T213,1)</f>
        <v>0</v>
      </c>
      <c r="H243" s="147">
        <f>COUNTIF(T20:T130,2)+COUNTIF(T191:T203,2)+COUNTIF(T211:T213,2)</f>
        <v>1</v>
      </c>
      <c r="I243" s="147">
        <f>COUNTIF(T20:T130,3)+COUNTIF(T191:T203,3)+COUNTIF(T211:T213,3)</f>
        <v>0</v>
      </c>
      <c r="J243" s="147">
        <f>COUNTIF(T20:T130,4)+COUNTIF(T191:T203,4)+COUNTIF(T211:T213,4)</f>
        <v>0</v>
      </c>
      <c r="K243" s="533">
        <f>COUNTIF(T20:T130,5)+COUNTIF(T191:T203,5)+COUNTIF(T211:T213,5)</f>
        <v>1</v>
      </c>
      <c r="L243" s="533">
        <f>COUNTIF(T20:T130,6)+COUNTIF(T191:T203,6)+COUNTIF(T211:T213,6)</f>
        <v>2</v>
      </c>
      <c r="M243" s="147">
        <f>COUNTIF(T20:T130,7)+COUNTIF(T191:T203,7)+COUNTIF(T211:T213,7)</f>
        <v>0</v>
      </c>
      <c r="N243" s="147">
        <f>COUNTIF(T20:T130,8)+COUNTIF(T191:T203,8)+COUNTIF(T211:T213,8)</f>
        <v>2</v>
      </c>
      <c r="O243" s="147">
        <f>COUNTIF(T43:T145,9)+COUNTIF(T162:T177,9)+COUNTIF(T229:T231,9)</f>
        <v>0</v>
      </c>
      <c r="P243" s="147">
        <f>COUNTIF(T43:T145,10)+COUNTIF(T162:T177,10)+COUNTIF(T229:T231,10)</f>
        <v>0</v>
      </c>
      <c r="Q243" s="147">
        <f>COUNTIF(T43:T145,11)+COUNTIF(T162:T177,11)+COUNTIF(T229:T231,11)</f>
        <v>0</v>
      </c>
      <c r="R243" s="147"/>
      <c r="S243" s="151"/>
      <c r="T243" s="152"/>
      <c r="U243" s="152"/>
      <c r="V243" s="153"/>
      <c r="W243" s="363"/>
      <c r="X243" s="364"/>
      <c r="Y243" s="154"/>
      <c r="Z243" s="154"/>
      <c r="AA243" s="155"/>
      <c r="AB243" s="365"/>
      <c r="AC243" s="366"/>
      <c r="AD243" s="367"/>
      <c r="AE243" s="367"/>
      <c r="AF243" s="367"/>
      <c r="AG243" s="368"/>
      <c r="AH243" s="358"/>
      <c r="AI243" s="358"/>
      <c r="AJ243" s="369"/>
      <c r="AK243" s="370"/>
      <c r="AL243" s="371"/>
      <c r="AM243" s="367"/>
      <c r="AN243" s="375">
        <f>AN242/16</f>
        <v>31.25</v>
      </c>
      <c r="AO243" s="376"/>
      <c r="AP243" s="376"/>
      <c r="AQ243" s="375">
        <f>AQ242/16</f>
        <v>31.25</v>
      </c>
      <c r="AR243" s="376"/>
      <c r="AS243" s="376"/>
      <c r="AT243" s="375">
        <f>AT242/16</f>
        <v>57</v>
      </c>
      <c r="AU243" s="376"/>
      <c r="AV243" s="376"/>
      <c r="AW243" s="375">
        <f>AW242/16</f>
        <v>12</v>
      </c>
      <c r="AX243" s="376"/>
      <c r="AY243" s="376"/>
      <c r="AZ243" s="375">
        <f>AZ242/16</f>
        <v>17</v>
      </c>
      <c r="BA243" s="376"/>
      <c r="BB243" s="376"/>
      <c r="BC243" s="375">
        <f>BC242/16</f>
        <v>17</v>
      </c>
      <c r="BD243" s="376"/>
      <c r="BE243" s="376"/>
      <c r="BF243" s="375">
        <f>BF242/16</f>
        <v>19</v>
      </c>
      <c r="BG243" s="376"/>
      <c r="BH243" s="376"/>
      <c r="BI243" s="375">
        <f>BI242/16</f>
        <v>6</v>
      </c>
      <c r="BJ243" s="376"/>
      <c r="BK243" s="376"/>
      <c r="BL243" s="375">
        <f>BL242/16</f>
        <v>0</v>
      </c>
      <c r="BM243" s="376"/>
      <c r="BN243" s="376"/>
      <c r="BO243" s="375">
        <f>BO242/16</f>
        <v>0</v>
      </c>
      <c r="BP243" s="376"/>
      <c r="BQ243" s="376"/>
      <c r="BR243" s="375">
        <f>BR242/16</f>
        <v>0</v>
      </c>
      <c r="BS243" s="376"/>
      <c r="BT243" s="376"/>
      <c r="BU243" s="375">
        <f>BU242/16</f>
        <v>0</v>
      </c>
      <c r="BV243" s="376"/>
      <c r="BW243" s="377"/>
      <c r="BX243" s="373"/>
      <c r="BY243" s="122"/>
    </row>
    <row r="244" spans="1:77" s="382" customFormat="1" ht="23.1" hidden="1" customHeight="1" x14ac:dyDescent="0.25">
      <c r="A244" s="298"/>
      <c r="B244" s="298"/>
      <c r="C244" s="317" t="s">
        <v>2</v>
      </c>
      <c r="D244" s="359" t="s">
        <v>151</v>
      </c>
      <c r="E244" s="360"/>
      <c r="F244" s="361">
        <f>SUM(G244:R244)</f>
        <v>25</v>
      </c>
      <c r="G244" s="362">
        <f>COUNTIF(U50:U172,1)+COUNTIF(U50:U172,12)+COUNTIF(U50:U172,123)+COUNTIF(U50:U172,1234)+COUNTIF(U50:U172,12345)+COUNTIF(U50:U172,123456)+COUNTIF(U50:U172,1234567)+COUNTIF(U50:U172,1234567)+COUNTIF(U216:U229,1)</f>
        <v>2</v>
      </c>
      <c r="H244" s="147">
        <f>COUNTIF(U50:U172,2)+COUNTIF(U50:U172,12)+COUNTIF(U50:U172,123)+COUNTIF(U50:U172,1234)+COUNTIF(U50:U172,12345)+COUNTIF(U50:U172,123456)+COUNTIF(U50:U172,1234567)+COUNTIF(U50:U172,234567)+COUNTIF(U216:U229,2)</f>
        <v>1</v>
      </c>
      <c r="I244" s="147">
        <f>COUNTIF(U50:U172,3)+COUNTIF(U50:U172,123)+COUNTIF(U50:U172,1234)+COUNTIF(U50:U172,12345)+COUNTIF(U50:U172,123456)+COUNTIF(U50:U172,1234567)+COUNTIF(U50:U172,234567)+COUNTIF(U216:U229,3)</f>
        <v>12</v>
      </c>
      <c r="J244" s="147">
        <f>COUNTIF(U50:U172,4)+COUNTIF(U50:U172,1234)+COUNTIF(U50:U172,12345)+COUNTIF(U50:U172,123456)+COUNTIF(U50:U172,1234567)+COUNTIF(U50:U172,234567)+COUNTIF(U216:U229,4)</f>
        <v>3</v>
      </c>
      <c r="K244" s="533">
        <f>COUNTIF(U50:U172,5)+COUNTIF(U50:U172,12345)+COUNTIF(U50:U172,123456)+COUNTIF(U50:U172,1234567)+COUNTIF(U50:U172,234567)+COUNTIF(U216:U229,5)</f>
        <v>3</v>
      </c>
      <c r="L244" s="533">
        <f>COUNTIF(U50:U172,6)+COUNTIF(U50:U172,123456)+COUNTIF(U50:U172,1234567)+COUNTIF(U50:U172,234567)+COUNTIF(U216:U229,6)</f>
        <v>1</v>
      </c>
      <c r="M244" s="147">
        <f>COUNTIF(U50:U172,7)+COUNTIF(U50:U172,1234567)+COUNTIF(U50:U172,234567)+COUNTIF(U216:U229,7)</f>
        <v>1</v>
      </c>
      <c r="N244" s="147">
        <f>COUNTIF(U50:U172,8)+COUNTIF(U50:U172,12345678)+COUNTIF(U216:U229,8)</f>
        <v>2</v>
      </c>
      <c r="O244" s="147">
        <f>COUNTIF(U55:U183,9)+COUNTIF(U199:U211,9)</f>
        <v>0</v>
      </c>
      <c r="P244" s="147">
        <f>COUNTIF(U55:U183,10)+COUNTIF(U199:U211,10)</f>
        <v>0</v>
      </c>
      <c r="Q244" s="147">
        <f>COUNTIF(U55:U183,11)+COUNTIF(U199:U211,11)</f>
        <v>0</v>
      </c>
      <c r="R244" s="147"/>
      <c r="S244" s="151"/>
      <c r="T244" s="152"/>
      <c r="U244" s="152"/>
      <c r="V244" s="153"/>
      <c r="W244" s="363"/>
      <c r="X244" s="364"/>
      <c r="Y244" s="154"/>
      <c r="Z244" s="154"/>
      <c r="AA244" s="155"/>
      <c r="AB244" s="365"/>
      <c r="AC244" s="378"/>
      <c r="AD244" s="367"/>
      <c r="AE244" s="367"/>
      <c r="AF244" s="367"/>
      <c r="AG244" s="368"/>
      <c r="AH244" s="379"/>
      <c r="AI244" s="379"/>
      <c r="AJ244" s="380"/>
      <c r="AK244" s="370"/>
      <c r="AL244" s="371"/>
      <c r="AM244" s="367"/>
      <c r="AN244" s="381" t="s">
        <v>181</v>
      </c>
      <c r="AO244" s="154"/>
      <c r="AP244" s="154"/>
      <c r="AQ244" s="154"/>
      <c r="AR244" s="154"/>
      <c r="AS244" s="154"/>
      <c r="AT244" s="154"/>
      <c r="AU244" s="154"/>
      <c r="AV244" s="154"/>
      <c r="AW244" s="154"/>
      <c r="AX244" s="154"/>
      <c r="AY244" s="154"/>
      <c r="AZ244" s="154"/>
      <c r="BA244" s="154"/>
      <c r="BB244" s="154"/>
      <c r="BC244" s="154"/>
      <c r="BD244" s="154"/>
      <c r="BE244" s="154"/>
      <c r="BF244" s="154"/>
      <c r="BG244" s="154"/>
      <c r="BH244" s="154"/>
      <c r="BI244" s="154"/>
      <c r="BJ244" s="154"/>
      <c r="BK244" s="154"/>
      <c r="BL244" s="154"/>
      <c r="BM244" s="154"/>
      <c r="BN244" s="154"/>
      <c r="BO244" s="154"/>
      <c r="BP244" s="154"/>
      <c r="BQ244" s="154"/>
      <c r="BR244" s="154"/>
      <c r="BS244" s="154"/>
      <c r="BT244" s="154"/>
      <c r="BU244" s="154"/>
      <c r="BV244" s="154"/>
      <c r="BW244" s="155"/>
      <c r="BX244" s="373"/>
      <c r="BY244" s="122"/>
    </row>
    <row r="245" spans="1:77" s="382" customFormat="1" ht="23.1" hidden="1" customHeight="1" x14ac:dyDescent="0.25">
      <c r="A245" s="298"/>
      <c r="B245" s="298"/>
      <c r="C245" s="358" t="s">
        <v>2</v>
      </c>
      <c r="D245" s="383" t="s">
        <v>28</v>
      </c>
      <c r="E245" s="360"/>
      <c r="F245" s="361"/>
      <c r="G245" s="362">
        <f>COUNTIF(V50:V172,1)+COUNTIF(V216:V229,1)</f>
        <v>0</v>
      </c>
      <c r="H245" s="147">
        <f>COUNTIF(V50:V172,2)+COUNTIF(V216:V229,2)</f>
        <v>0</v>
      </c>
      <c r="I245" s="147">
        <f>COUNTIF(V50:V172,3)+COUNTIF(V216:V229,3)</f>
        <v>0</v>
      </c>
      <c r="J245" s="147">
        <f>COUNTIF(V50:V172,4)+COUNTIF(V216:V229,4)</f>
        <v>0</v>
      </c>
      <c r="K245" s="533">
        <f>COUNTIF(V50:V172,5)+COUNTIF(V216:V229,5)</f>
        <v>0</v>
      </c>
      <c r="L245" s="533">
        <f>COUNTIF(V50:V172,6)+COUNTIF(V216:V229,6)</f>
        <v>1</v>
      </c>
      <c r="M245" s="147">
        <f>COUNTIF(V50:V172,7)+COUNTIF(V216:V229,7)</f>
        <v>1</v>
      </c>
      <c r="N245" s="147">
        <f>COUNTIF(V50:V172,8)+COUNTIF(V216:V229,8)</f>
        <v>0</v>
      </c>
      <c r="O245" s="147">
        <f>COUNTIF(V55:V183,9)+COUNTIF(V199:V211,9)</f>
        <v>0</v>
      </c>
      <c r="P245" s="147">
        <f>COUNTIF(V55:V183,10)+COUNTIF(V199:V211,10)</f>
        <v>0</v>
      </c>
      <c r="Q245" s="147">
        <f>COUNTIF(V55:V183,11)+COUNTIF(V199:V211,11)</f>
        <v>0</v>
      </c>
      <c r="R245" s="147"/>
      <c r="S245" s="151"/>
      <c r="T245" s="152"/>
      <c r="U245" s="152"/>
      <c r="V245" s="153"/>
      <c r="W245" s="363"/>
      <c r="X245" s="364"/>
      <c r="Y245" s="154"/>
      <c r="Z245" s="154"/>
      <c r="AA245" s="155"/>
      <c r="AB245" s="365"/>
      <c r="AC245" s="366"/>
      <c r="AD245" s="367"/>
      <c r="AE245" s="367"/>
      <c r="AF245" s="367"/>
      <c r="AG245" s="368"/>
      <c r="AH245" s="358"/>
      <c r="AI245" s="358"/>
      <c r="AJ245" s="369"/>
      <c r="AK245" s="370"/>
      <c r="AL245" s="371"/>
      <c r="AM245" s="367"/>
      <c r="AN245" s="364"/>
      <c r="AO245" s="154"/>
      <c r="AP245" s="154"/>
      <c r="AQ245" s="154"/>
      <c r="AR245" s="154"/>
      <c r="AS245" s="154"/>
      <c r="AT245" s="154"/>
      <c r="AU245" s="154"/>
      <c r="AV245" s="154"/>
      <c r="AW245" s="154"/>
      <c r="AX245" s="154"/>
      <c r="AY245" s="154"/>
      <c r="AZ245" s="154"/>
      <c r="BA245" s="154"/>
      <c r="BB245" s="154"/>
      <c r="BC245" s="154"/>
      <c r="BD245" s="154"/>
      <c r="BE245" s="154"/>
      <c r="BF245" s="154"/>
      <c r="BG245" s="154"/>
      <c r="BH245" s="154"/>
      <c r="BI245" s="154"/>
      <c r="BJ245" s="154"/>
      <c r="BK245" s="154"/>
      <c r="BL245" s="154"/>
      <c r="BM245" s="154"/>
      <c r="BN245" s="154"/>
      <c r="BO245" s="154"/>
      <c r="BP245" s="154"/>
      <c r="BQ245" s="154"/>
      <c r="BR245" s="154"/>
      <c r="BS245" s="154"/>
      <c r="BT245" s="154"/>
      <c r="BU245" s="154"/>
      <c r="BV245" s="154"/>
      <c r="BW245" s="155"/>
      <c r="BX245" s="373"/>
      <c r="BY245" s="122"/>
    </row>
    <row r="246" spans="1:77" s="411" customFormat="1" x14ac:dyDescent="0.25">
      <c r="A246" s="401"/>
      <c r="B246" s="401"/>
      <c r="C246" s="402"/>
      <c r="D246" s="403"/>
      <c r="E246" s="404"/>
      <c r="F246" s="404"/>
      <c r="G246" s="404"/>
      <c r="H246" s="404"/>
      <c r="I246" s="404"/>
      <c r="J246" s="404"/>
      <c r="K246" s="534"/>
      <c r="L246" s="534"/>
      <c r="M246" s="404"/>
      <c r="N246" s="404"/>
      <c r="O246" s="404"/>
      <c r="P246" s="404"/>
      <c r="Q246" s="404"/>
      <c r="R246" s="404"/>
      <c r="S246" s="405"/>
      <c r="T246" s="405"/>
      <c r="U246" s="405"/>
      <c r="V246" s="405"/>
      <c r="W246" s="406"/>
      <c r="X246" s="162"/>
      <c r="Y246" s="162"/>
      <c r="Z246" s="162"/>
      <c r="AA246" s="162"/>
      <c r="AB246" s="407"/>
      <c r="AC246" s="408"/>
      <c r="AD246" s="408"/>
      <c r="AE246" s="408"/>
      <c r="AF246" s="408"/>
      <c r="AG246" s="408"/>
      <c r="AH246" s="408"/>
      <c r="AI246" s="408"/>
      <c r="AJ246" s="408"/>
      <c r="AK246" s="406"/>
      <c r="AL246" s="406"/>
      <c r="AM246" s="406"/>
      <c r="AN246" s="162"/>
      <c r="AO246" s="162"/>
      <c r="AP246" s="162"/>
      <c r="AQ246" s="162"/>
      <c r="AR246" s="162"/>
      <c r="AS246" s="162"/>
      <c r="AT246" s="162"/>
      <c r="AU246" s="162"/>
      <c r="AV246" s="162"/>
      <c r="AW246" s="162"/>
      <c r="AX246" s="162"/>
      <c r="AY246" s="162"/>
      <c r="AZ246" s="162"/>
      <c r="BA246" s="162"/>
      <c r="BB246" s="162"/>
      <c r="BC246" s="162"/>
      <c r="BD246" s="162"/>
      <c r="BE246" s="162"/>
      <c r="BF246" s="162"/>
      <c r="BG246" s="162"/>
      <c r="BH246" s="162"/>
      <c r="BI246" s="162"/>
      <c r="BJ246" s="162"/>
      <c r="BK246" s="162"/>
      <c r="BL246" s="162"/>
      <c r="BM246" s="162"/>
      <c r="BN246" s="162"/>
      <c r="BO246" s="162"/>
      <c r="BP246" s="162"/>
      <c r="BQ246" s="162"/>
      <c r="BR246" s="162"/>
      <c r="BS246" s="162"/>
      <c r="BT246" s="162"/>
      <c r="BU246" s="162"/>
      <c r="BV246" s="162"/>
      <c r="BW246" s="162"/>
      <c r="BX246" s="409"/>
      <c r="BY246" s="410"/>
    </row>
    <row r="247" spans="1:77" x14ac:dyDescent="0.25">
      <c r="A247" s="412"/>
      <c r="B247" s="412"/>
      <c r="C247" s="413" t="s">
        <v>147</v>
      </c>
      <c r="D247" s="228" t="s">
        <v>193</v>
      </c>
      <c r="E247" s="414"/>
      <c r="F247" s="414"/>
      <c r="G247" s="414"/>
      <c r="H247" s="414"/>
      <c r="I247" s="414"/>
      <c r="J247" s="414"/>
      <c r="K247" s="414"/>
      <c r="L247" s="414"/>
      <c r="M247" s="414"/>
      <c r="N247" s="414"/>
      <c r="O247" s="414"/>
      <c r="P247" s="414"/>
      <c r="Q247" s="415"/>
      <c r="R247" s="680"/>
      <c r="S247" s="681"/>
      <c r="T247" s="415"/>
      <c r="U247" s="415"/>
      <c r="V247" s="683"/>
      <c r="W247" s="685"/>
      <c r="X247" s="682"/>
      <c r="Y247" s="415"/>
      <c r="Z247" s="415"/>
      <c r="AA247" s="415"/>
      <c r="AB247" s="415"/>
      <c r="AC247" s="415"/>
      <c r="AD247" s="415"/>
      <c r="AE247" s="415"/>
      <c r="AF247" s="415"/>
      <c r="AG247" s="415"/>
      <c r="AH247" s="415"/>
      <c r="AI247" s="415"/>
      <c r="AJ247" s="680"/>
      <c r="AK247" s="681"/>
      <c r="AL247" s="415"/>
      <c r="AM247" s="680"/>
      <c r="AN247" s="681"/>
      <c r="AO247" s="415"/>
      <c r="AP247" s="415"/>
      <c r="AQ247" s="415"/>
      <c r="AR247" s="415"/>
      <c r="AS247" s="415"/>
      <c r="AT247" s="415"/>
      <c r="AU247" s="415"/>
      <c r="AV247" s="415"/>
      <c r="AW247" s="415"/>
      <c r="AX247" s="415"/>
      <c r="AY247" s="415"/>
      <c r="AZ247" s="415"/>
      <c r="BA247" s="415"/>
      <c r="BB247" s="415"/>
      <c r="BC247" s="415"/>
      <c r="BD247" s="415"/>
      <c r="BE247" s="415"/>
      <c r="BF247" s="415"/>
      <c r="BG247" s="415"/>
      <c r="BH247" s="415"/>
      <c r="BI247" s="415"/>
      <c r="BJ247" s="415"/>
      <c r="BK247" s="415"/>
      <c r="BL247" s="415"/>
      <c r="BM247" s="415"/>
      <c r="BN247" s="415"/>
      <c r="BO247" s="415"/>
      <c r="BP247" s="415"/>
      <c r="BQ247" s="415"/>
      <c r="BR247" s="415"/>
      <c r="BS247" s="415"/>
      <c r="BT247" s="415"/>
      <c r="BU247" s="415"/>
      <c r="BV247" s="415"/>
      <c r="BW247" s="680"/>
      <c r="BX247" s="681"/>
      <c r="BY247" s="416"/>
    </row>
    <row r="248" spans="1:77" ht="34.5" customHeight="1" x14ac:dyDescent="0.25">
      <c r="A248" s="358"/>
      <c r="B248" s="417" t="s">
        <v>119</v>
      </c>
      <c r="C248" s="437">
        <v>1</v>
      </c>
      <c r="D248" s="438" t="s">
        <v>194</v>
      </c>
      <c r="E248" s="128">
        <f>G248+H248+I248+J248+K248+L248+M248+N248+O248+P248+Q248+R248</f>
        <v>3</v>
      </c>
      <c r="F248" s="285">
        <f>E248*36</f>
        <v>108</v>
      </c>
      <c r="G248" s="140">
        <v>3</v>
      </c>
      <c r="H248" s="140"/>
      <c r="I248" s="140"/>
      <c r="J248" s="140"/>
      <c r="K248" s="519"/>
      <c r="L248" s="519"/>
      <c r="M248" s="140"/>
      <c r="N248" s="140"/>
      <c r="O248" s="140"/>
      <c r="P248" s="140"/>
      <c r="Q248" s="140"/>
      <c r="R248" s="157"/>
      <c r="S248" s="151"/>
      <c r="T248" s="152"/>
      <c r="U248" s="152">
        <v>1</v>
      </c>
      <c r="V248" s="153"/>
      <c r="W248" s="686">
        <f>X248+X248*0.1</f>
        <v>35.200000000000003</v>
      </c>
      <c r="X248" s="684">
        <f>SUM(Y248:AA248)</f>
        <v>32</v>
      </c>
      <c r="Y248" s="419">
        <f t="shared" ref="Y248:AA248" si="91">AN248+AQ248+AT248+AW248+AZ248+BC248+BF248+BI248+BL248+BO248+BR248+BU248</f>
        <v>4</v>
      </c>
      <c r="Z248" s="419">
        <f t="shared" si="91"/>
        <v>0</v>
      </c>
      <c r="AA248" s="419">
        <f t="shared" si="91"/>
        <v>28</v>
      </c>
      <c r="AB248" s="420"/>
      <c r="AC248" s="421"/>
      <c r="AD248" s="418"/>
      <c r="AE248" s="418"/>
      <c r="AF248" s="418"/>
      <c r="AG248" s="420"/>
      <c r="AH248" s="421"/>
      <c r="AI248" s="421"/>
      <c r="AJ248" s="687"/>
      <c r="AK248" s="688">
        <f>F248-W248</f>
        <v>72.8</v>
      </c>
      <c r="AL248" s="418"/>
      <c r="AM248" s="689"/>
      <c r="AN248" s="690">
        <v>4</v>
      </c>
      <c r="AO248" s="419"/>
      <c r="AP248" s="419">
        <v>28</v>
      </c>
      <c r="AQ248" s="154"/>
      <c r="AR248" s="154"/>
      <c r="AS248" s="154"/>
      <c r="AT248" s="419"/>
      <c r="AU248" s="419"/>
      <c r="AV248" s="419"/>
      <c r="AW248" s="154"/>
      <c r="AX248" s="154"/>
      <c r="AY248" s="154"/>
      <c r="AZ248" s="419"/>
      <c r="BA248" s="419"/>
      <c r="BB248" s="419"/>
      <c r="BC248" s="154"/>
      <c r="BD248" s="154"/>
      <c r="BE248" s="154"/>
      <c r="BF248" s="419"/>
      <c r="BG248" s="419"/>
      <c r="BH248" s="419"/>
      <c r="BI248" s="154"/>
      <c r="BJ248" s="154"/>
      <c r="BK248" s="154"/>
      <c r="BL248" s="114"/>
      <c r="BM248" s="114"/>
      <c r="BN248" s="114"/>
      <c r="BO248" s="154"/>
      <c r="BP248" s="154"/>
      <c r="BQ248" s="154"/>
      <c r="BR248" s="114"/>
      <c r="BS248" s="114"/>
      <c r="BT248" s="114"/>
      <c r="BU248" s="154"/>
      <c r="BV248" s="154"/>
      <c r="BW248" s="361"/>
      <c r="BX248" s="691" t="s">
        <v>306</v>
      </c>
      <c r="BY248" s="122">
        <f>X248/F248*100</f>
        <v>29.629629629629626</v>
      </c>
    </row>
    <row r="249" spans="1:77" ht="34.5" customHeight="1" x14ac:dyDescent="0.25">
      <c r="A249" s="605"/>
      <c r="B249" s="601" t="s">
        <v>119</v>
      </c>
      <c r="C249" s="602">
        <v>2</v>
      </c>
      <c r="D249" s="615" t="s">
        <v>283</v>
      </c>
      <c r="E249" s="603">
        <v>3</v>
      </c>
      <c r="F249" s="604">
        <v>108</v>
      </c>
      <c r="G249" s="605">
        <v>3</v>
      </c>
      <c r="H249" s="605"/>
      <c r="I249" s="605"/>
      <c r="J249" s="605"/>
      <c r="K249" s="605"/>
      <c r="L249" s="605"/>
      <c r="M249" s="605"/>
      <c r="N249" s="605"/>
      <c r="O249" s="605"/>
      <c r="P249" s="605"/>
      <c r="Q249" s="605"/>
      <c r="R249" s="157"/>
      <c r="S249" s="151"/>
      <c r="T249" s="606"/>
      <c r="U249" s="606">
        <v>1</v>
      </c>
      <c r="V249" s="153"/>
      <c r="W249" s="686">
        <v>35.200000000000003</v>
      </c>
      <c r="X249" s="684">
        <v>32</v>
      </c>
      <c r="Y249" s="608">
        <v>4</v>
      </c>
      <c r="Z249" s="608">
        <v>0</v>
      </c>
      <c r="AA249" s="608">
        <v>28</v>
      </c>
      <c r="AB249" s="609"/>
      <c r="AC249" s="610"/>
      <c r="AD249" s="607"/>
      <c r="AE249" s="607"/>
      <c r="AF249" s="607"/>
      <c r="AG249" s="609"/>
      <c r="AH249" s="610"/>
      <c r="AI249" s="610"/>
      <c r="AJ249" s="687"/>
      <c r="AK249" s="688">
        <v>72.8</v>
      </c>
      <c r="AL249" s="607"/>
      <c r="AM249" s="689"/>
      <c r="AN249" s="690">
        <v>4</v>
      </c>
      <c r="AO249" s="608"/>
      <c r="AP249" s="608">
        <v>28</v>
      </c>
      <c r="AQ249" s="611"/>
      <c r="AR249" s="611"/>
      <c r="AS249" s="611"/>
      <c r="AT249" s="608"/>
      <c r="AU249" s="608"/>
      <c r="AV249" s="608"/>
      <c r="AW249" s="611"/>
      <c r="AX249" s="611"/>
      <c r="AY249" s="611"/>
      <c r="AZ249" s="608"/>
      <c r="BA249" s="608"/>
      <c r="BB249" s="608"/>
      <c r="BC249" s="611"/>
      <c r="BD249" s="611"/>
      <c r="BE249" s="611"/>
      <c r="BF249" s="608"/>
      <c r="BG249" s="608"/>
      <c r="BH249" s="608"/>
      <c r="BI249" s="611"/>
      <c r="BJ249" s="611"/>
      <c r="BK249" s="611"/>
      <c r="BL249" s="612"/>
      <c r="BM249" s="612"/>
      <c r="BN249" s="612"/>
      <c r="BO249" s="611"/>
      <c r="BP249" s="611"/>
      <c r="BQ249" s="611"/>
      <c r="BR249" s="612"/>
      <c r="BS249" s="612"/>
      <c r="BT249" s="612"/>
      <c r="BU249" s="611"/>
      <c r="BV249" s="611"/>
      <c r="BW249" s="361"/>
      <c r="BX249" s="691" t="s">
        <v>282</v>
      </c>
      <c r="BY249" s="613">
        <v>29.629629629629626</v>
      </c>
    </row>
    <row r="250" spans="1:77" ht="34.5" customHeight="1" x14ac:dyDescent="0.25">
      <c r="A250" s="614"/>
      <c r="B250" s="601" t="s">
        <v>119</v>
      </c>
      <c r="C250" s="602">
        <v>3</v>
      </c>
      <c r="D250" s="615" t="s">
        <v>284</v>
      </c>
      <c r="E250" s="603">
        <v>6</v>
      </c>
      <c r="F250" s="603">
        <f t="shared" ref="F250:F255" si="92">E250*36</f>
        <v>216</v>
      </c>
      <c r="G250" s="605"/>
      <c r="H250" s="605"/>
      <c r="I250" s="605">
        <v>3</v>
      </c>
      <c r="J250" s="605">
        <v>3</v>
      </c>
      <c r="K250" s="605"/>
      <c r="L250" s="605"/>
      <c r="M250" s="605"/>
      <c r="N250" s="605"/>
      <c r="O250" s="605"/>
      <c r="P250" s="605"/>
      <c r="Q250" s="605"/>
      <c r="R250" s="157"/>
      <c r="S250" s="151"/>
      <c r="T250" s="606"/>
      <c r="U250" s="606">
        <v>34</v>
      </c>
      <c r="V250" s="153"/>
      <c r="W250" s="686">
        <f t="shared" ref="W250:W255" si="93">X250+X250*0.1</f>
        <v>140.80000000000001</v>
      </c>
      <c r="X250" s="684">
        <f t="shared" ref="X250:X255" si="94">SUM(Y250:AA250)</f>
        <v>128</v>
      </c>
      <c r="Y250" s="608">
        <f t="shared" ref="Y250:AA255" si="95">AN250+AQ250+AT250+AW250+AZ250+BC250+BF250+BI250+BL250+BO250+BR250+BU250</f>
        <v>0</v>
      </c>
      <c r="Z250" s="608">
        <f t="shared" si="95"/>
        <v>0</v>
      </c>
      <c r="AA250" s="608">
        <f t="shared" si="95"/>
        <v>128</v>
      </c>
      <c r="AB250" s="609"/>
      <c r="AC250" s="610"/>
      <c r="AD250" s="607"/>
      <c r="AE250" s="607"/>
      <c r="AF250" s="607"/>
      <c r="AG250" s="609"/>
      <c r="AH250" s="610"/>
      <c r="AI250" s="610"/>
      <c r="AJ250" s="687"/>
      <c r="AK250" s="688">
        <f t="shared" ref="AK250:AK255" si="96">F250-W250</f>
        <v>75.199999999999989</v>
      </c>
      <c r="AL250" s="607"/>
      <c r="AM250" s="689"/>
      <c r="AN250" s="690"/>
      <c r="AO250" s="608"/>
      <c r="AP250" s="608"/>
      <c r="AQ250" s="611"/>
      <c r="AR250" s="611"/>
      <c r="AS250" s="611"/>
      <c r="AT250" s="608"/>
      <c r="AU250" s="608"/>
      <c r="AV250" s="608">
        <v>64</v>
      </c>
      <c r="AW250" s="611"/>
      <c r="AX250" s="611"/>
      <c r="AY250" s="611">
        <v>64</v>
      </c>
      <c r="AZ250" s="608"/>
      <c r="BA250" s="608"/>
      <c r="BB250" s="608"/>
      <c r="BC250" s="611"/>
      <c r="BD250" s="611"/>
      <c r="BE250" s="611"/>
      <c r="BF250" s="608"/>
      <c r="BG250" s="608"/>
      <c r="BH250" s="608"/>
      <c r="BI250" s="611"/>
      <c r="BJ250" s="611"/>
      <c r="BK250" s="611"/>
      <c r="BL250" s="612"/>
      <c r="BM250" s="612"/>
      <c r="BN250" s="612"/>
      <c r="BO250" s="611"/>
      <c r="BP250" s="611"/>
      <c r="BQ250" s="611"/>
      <c r="BR250" s="612"/>
      <c r="BS250" s="612"/>
      <c r="BT250" s="612"/>
      <c r="BU250" s="611"/>
      <c r="BV250" s="611"/>
      <c r="BW250" s="361"/>
      <c r="BX250" s="691" t="s">
        <v>281</v>
      </c>
      <c r="BY250" s="613">
        <f>X250/F250*100</f>
        <v>59.259259259259252</v>
      </c>
    </row>
    <row r="251" spans="1:77" ht="34.5" customHeight="1" x14ac:dyDescent="0.25">
      <c r="A251" s="614"/>
      <c r="B251" s="601" t="s">
        <v>119</v>
      </c>
      <c r="C251" s="602">
        <v>4</v>
      </c>
      <c r="D251" s="615" t="s">
        <v>284</v>
      </c>
      <c r="E251" s="603">
        <v>6</v>
      </c>
      <c r="F251" s="603">
        <f t="shared" si="92"/>
        <v>216</v>
      </c>
      <c r="G251" s="605"/>
      <c r="H251" s="605"/>
      <c r="I251" s="605"/>
      <c r="J251" s="605"/>
      <c r="K251" s="605">
        <v>3</v>
      </c>
      <c r="L251" s="605">
        <v>3</v>
      </c>
      <c r="M251" s="605"/>
      <c r="N251" s="605"/>
      <c r="O251" s="605"/>
      <c r="P251" s="605"/>
      <c r="Q251" s="605"/>
      <c r="R251" s="157"/>
      <c r="S251" s="151"/>
      <c r="T251" s="606"/>
      <c r="U251" s="606">
        <v>56</v>
      </c>
      <c r="V251" s="153"/>
      <c r="W251" s="686">
        <f t="shared" si="93"/>
        <v>140.80000000000001</v>
      </c>
      <c r="X251" s="684">
        <f t="shared" si="94"/>
        <v>128</v>
      </c>
      <c r="Y251" s="608">
        <f t="shared" si="95"/>
        <v>0</v>
      </c>
      <c r="Z251" s="608">
        <f t="shared" si="95"/>
        <v>0</v>
      </c>
      <c r="AA251" s="608">
        <f t="shared" si="95"/>
        <v>128</v>
      </c>
      <c r="AB251" s="609"/>
      <c r="AC251" s="610"/>
      <c r="AD251" s="607"/>
      <c r="AE251" s="607"/>
      <c r="AF251" s="607"/>
      <c r="AG251" s="609"/>
      <c r="AH251" s="610"/>
      <c r="AI251" s="610"/>
      <c r="AJ251" s="687"/>
      <c r="AK251" s="688">
        <f t="shared" si="96"/>
        <v>75.199999999999989</v>
      </c>
      <c r="AL251" s="607"/>
      <c r="AM251" s="689"/>
      <c r="AN251" s="690"/>
      <c r="AO251" s="608"/>
      <c r="AP251" s="608"/>
      <c r="AQ251" s="611"/>
      <c r="AR251" s="611"/>
      <c r="AS251" s="611"/>
      <c r="AT251" s="608"/>
      <c r="AU251" s="608"/>
      <c r="AV251" s="608"/>
      <c r="AW251" s="611"/>
      <c r="AX251" s="611"/>
      <c r="AY251" s="611"/>
      <c r="AZ251" s="608"/>
      <c r="BA251" s="608"/>
      <c r="BB251" s="608">
        <v>64</v>
      </c>
      <c r="BC251" s="611"/>
      <c r="BD251" s="611"/>
      <c r="BE251" s="611">
        <v>64</v>
      </c>
      <c r="BF251" s="608"/>
      <c r="BG251" s="608"/>
      <c r="BH251" s="608"/>
      <c r="BI251" s="611"/>
      <c r="BJ251" s="611"/>
      <c r="BK251" s="611"/>
      <c r="BL251" s="612"/>
      <c r="BM251" s="612"/>
      <c r="BN251" s="612"/>
      <c r="BO251" s="611"/>
      <c r="BP251" s="611"/>
      <c r="BQ251" s="611"/>
      <c r="BR251" s="612"/>
      <c r="BS251" s="612"/>
      <c r="BT251" s="612"/>
      <c r="BU251" s="611"/>
      <c r="BV251" s="611"/>
      <c r="BW251" s="361"/>
      <c r="BX251" s="691" t="s">
        <v>281</v>
      </c>
      <c r="BY251" s="613">
        <f t="shared" ref="BY251:BY254" si="97">X251/F251*100</f>
        <v>59.259259259259252</v>
      </c>
    </row>
    <row r="252" spans="1:77" ht="34.5" customHeight="1" x14ac:dyDescent="0.25">
      <c r="A252" s="614"/>
      <c r="B252" s="601" t="s">
        <v>119</v>
      </c>
      <c r="C252" s="602">
        <v>5</v>
      </c>
      <c r="D252" s="615" t="s">
        <v>285</v>
      </c>
      <c r="E252" s="603">
        <v>6</v>
      </c>
      <c r="F252" s="603">
        <f t="shared" si="92"/>
        <v>216</v>
      </c>
      <c r="G252" s="605"/>
      <c r="H252" s="605"/>
      <c r="I252" s="605"/>
      <c r="J252" s="605"/>
      <c r="K252" s="605">
        <v>3</v>
      </c>
      <c r="L252" s="605">
        <v>3</v>
      </c>
      <c r="M252" s="605"/>
      <c r="N252" s="605"/>
      <c r="O252" s="605"/>
      <c r="P252" s="605"/>
      <c r="Q252" s="605"/>
      <c r="R252" s="157"/>
      <c r="S252" s="151"/>
      <c r="T252" s="606"/>
      <c r="U252" s="606">
        <v>56</v>
      </c>
      <c r="V252" s="153"/>
      <c r="W252" s="686">
        <f t="shared" si="93"/>
        <v>140.80000000000001</v>
      </c>
      <c r="X252" s="684">
        <f t="shared" si="94"/>
        <v>128</v>
      </c>
      <c r="Y252" s="608">
        <f t="shared" si="95"/>
        <v>0</v>
      </c>
      <c r="Z252" s="608">
        <f t="shared" si="95"/>
        <v>0</v>
      </c>
      <c r="AA252" s="608">
        <f t="shared" si="95"/>
        <v>128</v>
      </c>
      <c r="AB252" s="609"/>
      <c r="AC252" s="610"/>
      <c r="AD252" s="607"/>
      <c r="AE252" s="607"/>
      <c r="AF252" s="607"/>
      <c r="AG252" s="609"/>
      <c r="AH252" s="610"/>
      <c r="AI252" s="610"/>
      <c r="AJ252" s="687"/>
      <c r="AK252" s="688">
        <f t="shared" si="96"/>
        <v>75.199999999999989</v>
      </c>
      <c r="AL252" s="607"/>
      <c r="AM252" s="689"/>
      <c r="AN252" s="690"/>
      <c r="AO252" s="608"/>
      <c r="AP252" s="608"/>
      <c r="AQ252" s="611"/>
      <c r="AR252" s="611"/>
      <c r="AS252" s="611"/>
      <c r="AT252" s="608"/>
      <c r="AU252" s="608"/>
      <c r="AV252" s="608"/>
      <c r="AW252" s="611"/>
      <c r="AX252" s="611"/>
      <c r="AY252" s="611"/>
      <c r="AZ252" s="608"/>
      <c r="BA252" s="608"/>
      <c r="BB252" s="608">
        <v>64</v>
      </c>
      <c r="BC252" s="611"/>
      <c r="BD252" s="611"/>
      <c r="BE252" s="611">
        <v>64</v>
      </c>
      <c r="BF252" s="608"/>
      <c r="BG252" s="608"/>
      <c r="BH252" s="608"/>
      <c r="BI252" s="611"/>
      <c r="BJ252" s="611"/>
      <c r="BK252" s="611"/>
      <c r="BL252" s="612"/>
      <c r="BM252" s="612"/>
      <c r="BN252" s="612"/>
      <c r="BO252" s="611"/>
      <c r="BP252" s="611"/>
      <c r="BQ252" s="611"/>
      <c r="BR252" s="612"/>
      <c r="BS252" s="612"/>
      <c r="BT252" s="612"/>
      <c r="BU252" s="611"/>
      <c r="BV252" s="611"/>
      <c r="BW252" s="361"/>
      <c r="BX252" s="691" t="s">
        <v>281</v>
      </c>
      <c r="BY252" s="613">
        <f t="shared" si="97"/>
        <v>59.259259259259252</v>
      </c>
    </row>
    <row r="253" spans="1:77" ht="34.5" customHeight="1" x14ac:dyDescent="0.25">
      <c r="A253" s="614"/>
      <c r="B253" s="601" t="s">
        <v>119</v>
      </c>
      <c r="C253" s="602">
        <v>6</v>
      </c>
      <c r="D253" s="615" t="s">
        <v>286</v>
      </c>
      <c r="E253" s="603">
        <v>6</v>
      </c>
      <c r="F253" s="603">
        <f t="shared" ref="F253:F254" si="98">E253*36</f>
        <v>216</v>
      </c>
      <c r="G253" s="605"/>
      <c r="H253" s="605"/>
      <c r="I253" s="605">
        <v>3</v>
      </c>
      <c r="J253" s="605">
        <v>3</v>
      </c>
      <c r="K253" s="605"/>
      <c r="L253" s="605"/>
      <c r="M253" s="605"/>
      <c r="N253" s="605"/>
      <c r="O253" s="605"/>
      <c r="P253" s="605"/>
      <c r="Q253" s="605"/>
      <c r="R253" s="157"/>
      <c r="S253" s="151"/>
      <c r="T253" s="606"/>
      <c r="U253" s="606">
        <v>34</v>
      </c>
      <c r="V253" s="153"/>
      <c r="W253" s="686">
        <f t="shared" ref="W253:W254" si="99">X253+X253*0.1</f>
        <v>140.80000000000001</v>
      </c>
      <c r="X253" s="684">
        <f t="shared" ref="X253:X254" si="100">SUM(Y253:AA253)</f>
        <v>128</v>
      </c>
      <c r="Y253" s="608">
        <f t="shared" ref="Y253:Y254" si="101">AN253+AQ253+AT253+AW253+AZ253+BC253+BF253+BI253+BL253+BO253+BR253+BU253</f>
        <v>0</v>
      </c>
      <c r="Z253" s="608">
        <f t="shared" ref="Z253:Z254" si="102">AO253+AR253+AU253+AX253+BA253+BD253+BG253+BJ253+BM253+BP253+BS253+BV253</f>
        <v>0</v>
      </c>
      <c r="AA253" s="608">
        <f t="shared" ref="AA253:AA254" si="103">AP253+AS253+AV253+AY253+BB253+BE253+BH253+BK253+BN253+BQ253+BT253+BW253</f>
        <v>128</v>
      </c>
      <c r="AB253" s="609"/>
      <c r="AC253" s="610"/>
      <c r="AD253" s="607"/>
      <c r="AE253" s="607"/>
      <c r="AF253" s="607"/>
      <c r="AG253" s="609"/>
      <c r="AH253" s="610"/>
      <c r="AI253" s="610"/>
      <c r="AJ253" s="687"/>
      <c r="AK253" s="688">
        <f t="shared" ref="AK253:AK254" si="104">F253-W253</f>
        <v>75.199999999999989</v>
      </c>
      <c r="AL253" s="607"/>
      <c r="AM253" s="689"/>
      <c r="AN253" s="690"/>
      <c r="AO253" s="608"/>
      <c r="AP253" s="608"/>
      <c r="AQ253" s="611"/>
      <c r="AR253" s="611"/>
      <c r="AS253" s="611"/>
      <c r="AT253" s="608"/>
      <c r="AU253" s="608"/>
      <c r="AV253" s="608">
        <v>64</v>
      </c>
      <c r="AW253" s="611"/>
      <c r="AX253" s="611"/>
      <c r="AY253" s="611">
        <v>64</v>
      </c>
      <c r="AZ253" s="608"/>
      <c r="BA253" s="608"/>
      <c r="BB253" s="608"/>
      <c r="BC253" s="611"/>
      <c r="BD253" s="611"/>
      <c r="BE253" s="611"/>
      <c r="BF253" s="608"/>
      <c r="BG253" s="608"/>
      <c r="BH253" s="608"/>
      <c r="BI253" s="611"/>
      <c r="BJ253" s="611"/>
      <c r="BK253" s="611"/>
      <c r="BL253" s="612"/>
      <c r="BM253" s="612"/>
      <c r="BN253" s="612"/>
      <c r="BO253" s="611"/>
      <c r="BP253" s="611"/>
      <c r="BQ253" s="611"/>
      <c r="BR253" s="612"/>
      <c r="BS253" s="612"/>
      <c r="BT253" s="612"/>
      <c r="BU253" s="611"/>
      <c r="BV253" s="611"/>
      <c r="BW253" s="361"/>
      <c r="BX253" s="691" t="s">
        <v>281</v>
      </c>
      <c r="BY253" s="613">
        <f t="shared" si="97"/>
        <v>59.259259259259252</v>
      </c>
    </row>
    <row r="254" spans="1:77" ht="34.5" customHeight="1" x14ac:dyDescent="0.25">
      <c r="A254" s="614"/>
      <c r="B254" s="601" t="s">
        <v>119</v>
      </c>
      <c r="C254" s="602">
        <v>7</v>
      </c>
      <c r="D254" s="615" t="s">
        <v>286</v>
      </c>
      <c r="E254" s="603">
        <v>6</v>
      </c>
      <c r="F254" s="603">
        <f t="shared" si="98"/>
        <v>216</v>
      </c>
      <c r="G254" s="605"/>
      <c r="H254" s="605"/>
      <c r="I254" s="605"/>
      <c r="J254" s="605"/>
      <c r="K254" s="605">
        <v>3</v>
      </c>
      <c r="L254" s="605">
        <v>3</v>
      </c>
      <c r="M254" s="605"/>
      <c r="N254" s="605"/>
      <c r="O254" s="605"/>
      <c r="P254" s="605"/>
      <c r="Q254" s="605"/>
      <c r="R254" s="157"/>
      <c r="S254" s="151"/>
      <c r="T254" s="606"/>
      <c r="U254" s="606">
        <v>56</v>
      </c>
      <c r="V254" s="153"/>
      <c r="W254" s="686">
        <f t="shared" si="99"/>
        <v>140.80000000000001</v>
      </c>
      <c r="X254" s="684">
        <f t="shared" si="100"/>
        <v>128</v>
      </c>
      <c r="Y254" s="608">
        <f t="shared" si="101"/>
        <v>0</v>
      </c>
      <c r="Z254" s="608">
        <f t="shared" si="102"/>
        <v>0</v>
      </c>
      <c r="AA254" s="608">
        <f t="shared" si="103"/>
        <v>128</v>
      </c>
      <c r="AB254" s="609"/>
      <c r="AC254" s="610"/>
      <c r="AD254" s="607"/>
      <c r="AE254" s="607"/>
      <c r="AF254" s="607"/>
      <c r="AG254" s="609"/>
      <c r="AH254" s="610"/>
      <c r="AI254" s="610"/>
      <c r="AJ254" s="687"/>
      <c r="AK254" s="688">
        <f t="shared" si="104"/>
        <v>75.199999999999989</v>
      </c>
      <c r="AL254" s="607"/>
      <c r="AM254" s="689"/>
      <c r="AN254" s="690"/>
      <c r="AO254" s="608"/>
      <c r="AP254" s="608"/>
      <c r="AQ254" s="611"/>
      <c r="AR254" s="611"/>
      <c r="AS254" s="611"/>
      <c r="AT254" s="608"/>
      <c r="AU254" s="608"/>
      <c r="AV254" s="608"/>
      <c r="AW254" s="611"/>
      <c r="AX254" s="611"/>
      <c r="AY254" s="611"/>
      <c r="AZ254" s="608"/>
      <c r="BA254" s="608"/>
      <c r="BB254" s="608">
        <v>64</v>
      </c>
      <c r="BC254" s="611"/>
      <c r="BD254" s="611"/>
      <c r="BE254" s="611">
        <v>64</v>
      </c>
      <c r="BF254" s="608"/>
      <c r="BG254" s="608"/>
      <c r="BH254" s="608"/>
      <c r="BI254" s="611"/>
      <c r="BJ254" s="611"/>
      <c r="BK254" s="611"/>
      <c r="BL254" s="612"/>
      <c r="BM254" s="612"/>
      <c r="BN254" s="612"/>
      <c r="BO254" s="611"/>
      <c r="BP254" s="611"/>
      <c r="BQ254" s="611"/>
      <c r="BR254" s="612"/>
      <c r="BS254" s="612"/>
      <c r="BT254" s="612"/>
      <c r="BU254" s="611"/>
      <c r="BV254" s="611"/>
      <c r="BW254" s="361"/>
      <c r="BX254" s="691" t="s">
        <v>281</v>
      </c>
      <c r="BY254" s="613">
        <f t="shared" si="97"/>
        <v>59.259259259259252</v>
      </c>
    </row>
    <row r="255" spans="1:77" ht="34.5" customHeight="1" x14ac:dyDescent="0.25">
      <c r="A255" s="605"/>
      <c r="B255" s="601" t="s">
        <v>119</v>
      </c>
      <c r="C255" s="602">
        <v>8</v>
      </c>
      <c r="D255" s="615" t="s">
        <v>287</v>
      </c>
      <c r="E255" s="603">
        <v>6</v>
      </c>
      <c r="F255" s="603">
        <f t="shared" si="92"/>
        <v>216</v>
      </c>
      <c r="G255" s="605"/>
      <c r="H255" s="605"/>
      <c r="I255" s="605"/>
      <c r="J255" s="605"/>
      <c r="K255" s="605">
        <v>3</v>
      </c>
      <c r="L255" s="605">
        <v>3</v>
      </c>
      <c r="M255" s="605"/>
      <c r="N255" s="605"/>
      <c r="O255" s="605"/>
      <c r="P255" s="605"/>
      <c r="Q255" s="605"/>
      <c r="R255" s="157"/>
      <c r="S255" s="151"/>
      <c r="T255" s="606"/>
      <c r="U255" s="606">
        <v>56</v>
      </c>
      <c r="V255" s="153"/>
      <c r="W255" s="686">
        <f t="shared" si="93"/>
        <v>140.80000000000001</v>
      </c>
      <c r="X255" s="684">
        <f t="shared" si="94"/>
        <v>128</v>
      </c>
      <c r="Y255" s="608">
        <f t="shared" si="95"/>
        <v>0</v>
      </c>
      <c r="Z255" s="608">
        <f t="shared" si="95"/>
        <v>0</v>
      </c>
      <c r="AA255" s="608">
        <f t="shared" si="95"/>
        <v>128</v>
      </c>
      <c r="AB255" s="609"/>
      <c r="AC255" s="610"/>
      <c r="AD255" s="607"/>
      <c r="AE255" s="607"/>
      <c r="AF255" s="607"/>
      <c r="AG255" s="609"/>
      <c r="AH255" s="610"/>
      <c r="AI255" s="610"/>
      <c r="AJ255" s="687"/>
      <c r="AK255" s="688">
        <f t="shared" si="96"/>
        <v>75.199999999999989</v>
      </c>
      <c r="AL255" s="607"/>
      <c r="AM255" s="689"/>
      <c r="AN255" s="690"/>
      <c r="AO255" s="608"/>
      <c r="AP255" s="608"/>
      <c r="AQ255" s="611"/>
      <c r="AR255" s="611"/>
      <c r="AS255" s="611"/>
      <c r="AT255" s="608"/>
      <c r="AU255" s="608"/>
      <c r="AV255" s="608"/>
      <c r="AW255" s="611"/>
      <c r="AX255" s="611"/>
      <c r="AY255" s="611"/>
      <c r="AZ255" s="608"/>
      <c r="BA255" s="608"/>
      <c r="BB255" s="608">
        <v>64</v>
      </c>
      <c r="BC255" s="611"/>
      <c r="BD255" s="611"/>
      <c r="BE255" s="611">
        <v>64</v>
      </c>
      <c r="BF255" s="608"/>
      <c r="BG255" s="608"/>
      <c r="BH255" s="608"/>
      <c r="BI255" s="611"/>
      <c r="BJ255" s="611"/>
      <c r="BK255" s="611"/>
      <c r="BL255" s="612"/>
      <c r="BM255" s="612"/>
      <c r="BN255" s="612"/>
      <c r="BO255" s="611"/>
      <c r="BP255" s="611"/>
      <c r="BQ255" s="611"/>
      <c r="BR255" s="612"/>
      <c r="BS255" s="612"/>
      <c r="BT255" s="612"/>
      <c r="BU255" s="611"/>
      <c r="BV255" s="611"/>
      <c r="BW255" s="361"/>
      <c r="BX255" s="691" t="s">
        <v>281</v>
      </c>
      <c r="BY255" s="613">
        <f>X255/F255*100</f>
        <v>59.259259259259252</v>
      </c>
    </row>
    <row r="256" spans="1:77" s="425" customFormat="1" ht="26.25" customHeight="1" x14ac:dyDescent="0.25">
      <c r="A256" s="675"/>
      <c r="B256" s="409"/>
      <c r="C256" s="676"/>
      <c r="D256" s="677"/>
      <c r="E256" s="678"/>
      <c r="F256" s="678"/>
      <c r="G256" s="675"/>
      <c r="H256" s="675"/>
      <c r="I256" s="675"/>
      <c r="J256" s="675"/>
      <c r="K256" s="675"/>
      <c r="L256" s="675"/>
      <c r="M256" s="675"/>
      <c r="N256" s="675"/>
      <c r="O256" s="675"/>
      <c r="P256" s="675"/>
      <c r="Q256" s="675"/>
      <c r="R256" s="675"/>
      <c r="S256" s="405"/>
      <c r="T256" s="405"/>
      <c r="U256" s="405"/>
      <c r="V256" s="405"/>
      <c r="W256" s="406"/>
      <c r="X256" s="162"/>
      <c r="Y256" s="162"/>
      <c r="Z256" s="162"/>
      <c r="AA256" s="162"/>
      <c r="AB256" s="407"/>
      <c r="AC256" s="679"/>
      <c r="AD256" s="406"/>
      <c r="AE256" s="406"/>
      <c r="AF256" s="406"/>
      <c r="AG256" s="407"/>
      <c r="AH256" s="679"/>
      <c r="AI256" s="679"/>
      <c r="AJ256" s="679"/>
      <c r="AK256" s="406"/>
      <c r="AL256" s="406"/>
      <c r="AM256" s="406"/>
      <c r="AN256" s="162"/>
      <c r="AO256" s="162"/>
      <c r="AP256" s="162"/>
      <c r="AQ256" s="162"/>
      <c r="AR256" s="162"/>
      <c r="AS256" s="162"/>
      <c r="AT256" s="162"/>
      <c r="AU256" s="162"/>
      <c r="AV256" s="162"/>
      <c r="AW256" s="162"/>
      <c r="AX256" s="162"/>
      <c r="AY256" s="162"/>
      <c r="AZ256" s="162"/>
      <c r="BA256" s="162"/>
      <c r="BB256" s="162"/>
      <c r="BC256" s="162"/>
      <c r="BD256" s="162"/>
      <c r="BE256" s="162"/>
      <c r="BF256" s="162"/>
      <c r="BG256" s="162"/>
      <c r="BH256" s="162"/>
      <c r="BI256" s="162"/>
      <c r="BJ256" s="162"/>
      <c r="BK256" s="162"/>
      <c r="BL256" s="162"/>
      <c r="BM256" s="162"/>
      <c r="BN256" s="162"/>
      <c r="BO256" s="162"/>
      <c r="BP256" s="162"/>
      <c r="BQ256" s="162"/>
      <c r="BR256" s="162"/>
      <c r="BS256" s="162"/>
      <c r="BT256" s="162"/>
      <c r="BU256" s="162"/>
      <c r="BV256" s="162"/>
      <c r="BW256" s="162"/>
      <c r="BX256" s="675"/>
      <c r="BY256" s="410"/>
    </row>
    <row r="257" spans="4:63" ht="12.75" customHeight="1" x14ac:dyDescent="0.25">
      <c r="D257" s="423" t="s">
        <v>157</v>
      </c>
      <c r="E257" s="424"/>
      <c r="F257" s="424"/>
      <c r="G257" s="424"/>
      <c r="H257" s="424"/>
      <c r="I257" s="424"/>
      <c r="J257" s="424"/>
      <c r="K257" s="535"/>
      <c r="L257" s="535"/>
      <c r="M257" s="424"/>
      <c r="N257" s="424"/>
      <c r="O257" s="424"/>
      <c r="P257" s="424"/>
      <c r="W257" s="425"/>
      <c r="X257" s="425"/>
      <c r="Y257" s="425"/>
      <c r="Z257" s="425"/>
      <c r="AA257" s="425"/>
      <c r="AB257" s="425"/>
      <c r="AC257" s="425"/>
      <c r="AD257" s="425"/>
      <c r="AE257" s="425"/>
      <c r="AF257" s="425"/>
      <c r="AG257" s="425"/>
      <c r="AH257" s="425"/>
      <c r="AI257" s="425"/>
      <c r="AJ257" s="425"/>
      <c r="AK257" s="425"/>
      <c r="AL257" s="425"/>
      <c r="AM257" s="425"/>
      <c r="AN257" s="425"/>
      <c r="AO257" s="425"/>
      <c r="AP257" s="425"/>
      <c r="AQ257" s="425"/>
      <c r="AR257" s="425"/>
      <c r="AS257" s="425"/>
      <c r="AT257" s="425"/>
      <c r="AU257" s="425"/>
      <c r="AV257" s="425"/>
      <c r="AW257" s="425"/>
      <c r="AX257" s="425"/>
      <c r="AY257" s="425"/>
      <c r="AZ257" s="425"/>
      <c r="BA257" s="425"/>
      <c r="BB257" s="425"/>
      <c r="BC257" s="425"/>
      <c r="BD257" s="425"/>
      <c r="BE257" s="425"/>
      <c r="BF257" s="425"/>
      <c r="BG257" s="425"/>
      <c r="BH257" s="425"/>
      <c r="BI257" s="425"/>
      <c r="BJ257" s="425"/>
      <c r="BK257" s="425"/>
    </row>
    <row r="258" spans="4:63" x14ac:dyDescent="0.25">
      <c r="D258" s="423" t="s">
        <v>155</v>
      </c>
      <c r="E258" s="424"/>
      <c r="F258" s="424"/>
      <c r="G258" s="424"/>
      <c r="H258" s="424"/>
      <c r="I258" s="424"/>
      <c r="J258" s="424"/>
      <c r="K258" s="535" t="s">
        <v>276</v>
      </c>
      <c r="L258" s="535"/>
      <c r="M258" s="424"/>
      <c r="N258" s="424"/>
      <c r="P258" s="424"/>
    </row>
    <row r="259" spans="4:63" x14ac:dyDescent="0.25">
      <c r="D259" s="426"/>
      <c r="E259" s="424"/>
      <c r="F259" s="424"/>
      <c r="G259" s="424"/>
      <c r="H259" s="424"/>
      <c r="I259" s="424"/>
      <c r="J259" s="424"/>
      <c r="K259" s="535"/>
      <c r="L259" s="536"/>
      <c r="M259" s="424"/>
      <c r="N259" s="424"/>
      <c r="P259" s="424"/>
    </row>
    <row r="260" spans="4:63" x14ac:dyDescent="0.25">
      <c r="D260" s="833" t="s">
        <v>304</v>
      </c>
      <c r="E260" s="833"/>
      <c r="F260" s="833"/>
      <c r="G260" s="833"/>
      <c r="H260" s="833"/>
      <c r="I260" s="833"/>
      <c r="J260" s="427"/>
      <c r="K260" s="537" t="s">
        <v>277</v>
      </c>
      <c r="L260" s="537"/>
      <c r="M260" s="428"/>
      <c r="N260" s="428"/>
      <c r="P260" s="428"/>
    </row>
    <row r="261" spans="4:63" x14ac:dyDescent="0.25">
      <c r="D261" s="622"/>
      <c r="E261" s="622"/>
      <c r="F261" s="622"/>
      <c r="G261" s="622"/>
      <c r="H261" s="622"/>
      <c r="I261" s="622"/>
      <c r="J261" s="427"/>
      <c r="K261" s="537"/>
      <c r="L261" s="537"/>
      <c r="M261" s="428"/>
      <c r="N261" s="428"/>
      <c r="P261" s="428"/>
    </row>
    <row r="262" spans="4:63" x14ac:dyDescent="0.25">
      <c r="D262" s="833" t="s">
        <v>311</v>
      </c>
      <c r="E262" s="833"/>
      <c r="F262" s="833"/>
      <c r="G262" s="833"/>
      <c r="H262" s="833"/>
      <c r="I262" s="833"/>
      <c r="J262" s="427"/>
      <c r="K262" s="537" t="s">
        <v>305</v>
      </c>
      <c r="L262" s="537"/>
      <c r="M262" s="428"/>
      <c r="N262" s="428"/>
      <c r="P262" s="428"/>
    </row>
    <row r="263" spans="4:63" x14ac:dyDescent="0.25">
      <c r="D263" s="429"/>
      <c r="E263" s="430"/>
      <c r="F263" s="430"/>
      <c r="G263" s="430"/>
      <c r="H263" s="430"/>
      <c r="I263" s="427"/>
      <c r="J263" s="427"/>
      <c r="K263" s="537"/>
      <c r="L263" s="537"/>
      <c r="M263" s="428"/>
      <c r="N263" s="428"/>
      <c r="P263" s="428"/>
    </row>
    <row r="264" spans="4:63" x14ac:dyDescent="0.25">
      <c r="D264" s="431" t="s">
        <v>215</v>
      </c>
      <c r="E264" s="430"/>
      <c r="F264" s="430"/>
      <c r="G264" s="430"/>
      <c r="H264" s="430"/>
      <c r="I264" s="427"/>
      <c r="J264" s="427"/>
      <c r="K264" s="537" t="s">
        <v>278</v>
      </c>
      <c r="L264" s="537"/>
      <c r="M264" s="428"/>
      <c r="N264" s="428"/>
      <c r="P264" s="428"/>
    </row>
    <row r="265" spans="4:63" x14ac:dyDescent="0.25">
      <c r="D265" s="429"/>
      <c r="E265" s="430"/>
      <c r="F265" s="430"/>
      <c r="G265" s="430"/>
      <c r="H265" s="430"/>
      <c r="I265" s="427"/>
      <c r="J265" s="427"/>
      <c r="K265" s="538"/>
      <c r="L265" s="537"/>
      <c r="M265" s="428"/>
      <c r="N265" s="428"/>
      <c r="O265" s="428"/>
      <c r="P265" s="428"/>
    </row>
  </sheetData>
  <mergeCells count="628">
    <mergeCell ref="C2:S2"/>
    <mergeCell ref="BS44:BS45"/>
    <mergeCell ref="BS174:BS175"/>
    <mergeCell ref="BT174:BT175"/>
    <mergeCell ref="BX44:BX45"/>
    <mergeCell ref="BX48:BX49"/>
    <mergeCell ref="BX99:BX103"/>
    <mergeCell ref="BX104:BX109"/>
    <mergeCell ref="BR14:BW14"/>
    <mergeCell ref="BL170:BL171"/>
    <mergeCell ref="BM170:BM171"/>
    <mergeCell ref="BN170:BN171"/>
    <mergeCell ref="BL172:BL173"/>
    <mergeCell ref="BM172:BM173"/>
    <mergeCell ref="BN172:BN173"/>
    <mergeCell ref="BS48:BS49"/>
    <mergeCell ref="BT48:BT49"/>
    <mergeCell ref="BO48:BO49"/>
    <mergeCell ref="BP48:BP49"/>
    <mergeCell ref="BQ48:BQ49"/>
    <mergeCell ref="BU48:BU49"/>
    <mergeCell ref="BV48:BV49"/>
    <mergeCell ref="BW48:BW49"/>
    <mergeCell ref="BL44:BL45"/>
    <mergeCell ref="BW99:BW103"/>
    <mergeCell ref="BO104:BO109"/>
    <mergeCell ref="BP104:BP109"/>
    <mergeCell ref="BQ104:BQ109"/>
    <mergeCell ref="BU104:BU109"/>
    <mergeCell ref="BV104:BV109"/>
    <mergeCell ref="BW104:BW109"/>
    <mergeCell ref="BQ99:BQ103"/>
    <mergeCell ref="BR48:BR49"/>
    <mergeCell ref="BQ93:BQ94"/>
    <mergeCell ref="D262:I262"/>
    <mergeCell ref="AL44:AL45"/>
    <mergeCell ref="AM44:AM45"/>
    <mergeCell ref="AL48:AL49"/>
    <mergeCell ref="AM48:AM49"/>
    <mergeCell ref="AL93:AL94"/>
    <mergeCell ref="AM93:AM94"/>
    <mergeCell ref="BO99:BO103"/>
    <mergeCell ref="BP99:BP103"/>
    <mergeCell ref="BL48:BL49"/>
    <mergeCell ref="BM48:BM49"/>
    <mergeCell ref="BN48:BN49"/>
    <mergeCell ref="N99:N103"/>
    <mergeCell ref="AZ99:AZ103"/>
    <mergeCell ref="BA99:BA103"/>
    <mergeCell ref="BB99:BB103"/>
    <mergeCell ref="AO44:AO45"/>
    <mergeCell ref="AP44:AP45"/>
    <mergeCell ref="BK48:BK49"/>
    <mergeCell ref="BK44:BK45"/>
    <mergeCell ref="AK44:AK45"/>
    <mergeCell ref="AX44:AX45"/>
    <mergeCell ref="AY44:AY45"/>
    <mergeCell ref="AQ44:AQ45"/>
    <mergeCell ref="C174:C175"/>
    <mergeCell ref="C170:C171"/>
    <mergeCell ref="C172:C173"/>
    <mergeCell ref="AU48:AU49"/>
    <mergeCell ref="AV48:AV49"/>
    <mergeCell ref="AW48:AW49"/>
    <mergeCell ref="AX48:AX49"/>
    <mergeCell ref="AY48:AY49"/>
    <mergeCell ref="F8:Y8"/>
    <mergeCell ref="X48:X49"/>
    <mergeCell ref="Y48:Y49"/>
    <mergeCell ref="Z48:Z49"/>
    <mergeCell ref="AA48:AA49"/>
    <mergeCell ref="AK48:AK49"/>
    <mergeCell ref="AN48:AN49"/>
    <mergeCell ref="C93:C94"/>
    <mergeCell ref="A10:BK10"/>
    <mergeCell ref="E25:E30"/>
    <mergeCell ref="F25:F30"/>
    <mergeCell ref="G25:G30"/>
    <mergeCell ref="H25:H30"/>
    <mergeCell ref="N25:N30"/>
    <mergeCell ref="I25:I30"/>
    <mergeCell ref="AG25:AG30"/>
    <mergeCell ref="BA48:BA49"/>
    <mergeCell ref="AS25:AS30"/>
    <mergeCell ref="AT25:AT30"/>
    <mergeCell ref="C25:C30"/>
    <mergeCell ref="O25:O30"/>
    <mergeCell ref="J25:J30"/>
    <mergeCell ref="K25:K30"/>
    <mergeCell ref="L25:L30"/>
    <mergeCell ref="C44:C45"/>
    <mergeCell ref="E44:E45"/>
    <mergeCell ref="F44:F45"/>
    <mergeCell ref="G44:G45"/>
    <mergeCell ref="H44:H45"/>
    <mergeCell ref="I44:I45"/>
    <mergeCell ref="J44:J45"/>
    <mergeCell ref="K44:K45"/>
    <mergeCell ref="L44:L45"/>
    <mergeCell ref="M44:M45"/>
    <mergeCell ref="M25:M30"/>
    <mergeCell ref="AW25:AW30"/>
    <mergeCell ref="AX25:AX30"/>
    <mergeCell ref="AY25:AY30"/>
    <mergeCell ref="AZ25:AZ30"/>
    <mergeCell ref="AU25:AU30"/>
    <mergeCell ref="AV25:AV30"/>
    <mergeCell ref="AM25:AM30"/>
    <mergeCell ref="AN25:AN30"/>
    <mergeCell ref="AA25:AA30"/>
    <mergeCell ref="AB25:AB30"/>
    <mergeCell ref="Y25:Y30"/>
    <mergeCell ref="AI25:AI30"/>
    <mergeCell ref="AJ25:AJ30"/>
    <mergeCell ref="P25:P30"/>
    <mergeCell ref="Q25:Q30"/>
    <mergeCell ref="R25:R30"/>
    <mergeCell ref="X25:X30"/>
    <mergeCell ref="Z25:Z30"/>
    <mergeCell ref="S25:S30"/>
    <mergeCell ref="T25:T30"/>
    <mergeCell ref="U25:U30"/>
    <mergeCell ref="V25:V30"/>
    <mergeCell ref="W25:W30"/>
    <mergeCell ref="BA25:BA30"/>
    <mergeCell ref="BW25:BW30"/>
    <mergeCell ref="BX25:BX30"/>
    <mergeCell ref="BN25:BN30"/>
    <mergeCell ref="BO25:BO30"/>
    <mergeCell ref="BP25:BP30"/>
    <mergeCell ref="BQ25:BQ30"/>
    <mergeCell ref="BR25:BR30"/>
    <mergeCell ref="BS25:BS30"/>
    <mergeCell ref="BT25:BT30"/>
    <mergeCell ref="BJ25:BJ30"/>
    <mergeCell ref="BK25:BK30"/>
    <mergeCell ref="BV16:BV18"/>
    <mergeCell ref="BY99:BY109"/>
    <mergeCell ref="BV93:BV94"/>
    <mergeCell ref="BW93:BW94"/>
    <mergeCell ref="BY25:BY30"/>
    <mergeCell ref="BS93:BS94"/>
    <mergeCell ref="BU93:BU94"/>
    <mergeCell ref="BY93:BY94"/>
    <mergeCell ref="BT93:BT94"/>
    <mergeCell ref="BT44:BT45"/>
    <mergeCell ref="BS16:BS18"/>
    <mergeCell ref="BT16:BT18"/>
    <mergeCell ref="BU99:BU103"/>
    <mergeCell ref="BV99:BV103"/>
    <mergeCell ref="BU16:BU18"/>
    <mergeCell ref="BY11:BY18"/>
    <mergeCell ref="BX11:BX18"/>
    <mergeCell ref="BU15:BW15"/>
    <mergeCell ref="BV25:BV30"/>
    <mergeCell ref="BU25:BU30"/>
    <mergeCell ref="BW16:BW18"/>
    <mergeCell ref="BU44:BU45"/>
    <mergeCell ref="BV44:BV45"/>
    <mergeCell ref="BW44:BW45"/>
    <mergeCell ref="BC93:BC94"/>
    <mergeCell ref="BD93:BD94"/>
    <mergeCell ref="BJ48:BJ49"/>
    <mergeCell ref="BF44:BF45"/>
    <mergeCell ref="BG44:BG45"/>
    <mergeCell ref="BJ44:BJ45"/>
    <mergeCell ref="BL25:BL30"/>
    <mergeCell ref="BM25:BM30"/>
    <mergeCell ref="BR15:BT15"/>
    <mergeCell ref="BR93:BR94"/>
    <mergeCell ref="BR16:BR18"/>
    <mergeCell ref="BQ16:BQ18"/>
    <mergeCell ref="BN16:BN18"/>
    <mergeCell ref="BL15:BN15"/>
    <mergeCell ref="BD48:BD49"/>
    <mergeCell ref="BE48:BE49"/>
    <mergeCell ref="BF48:BF49"/>
    <mergeCell ref="BG48:BG49"/>
    <mergeCell ref="BH48:BH49"/>
    <mergeCell ref="BI48:BI49"/>
    <mergeCell ref="BO44:BO45"/>
    <mergeCell ref="BP44:BP45"/>
    <mergeCell ref="BQ44:BQ45"/>
    <mergeCell ref="BR44:BR45"/>
    <mergeCell ref="BH93:BH94"/>
    <mergeCell ref="BP93:BP94"/>
    <mergeCell ref="BH44:BH45"/>
    <mergeCell ref="BM93:BM94"/>
    <mergeCell ref="BO93:BO94"/>
    <mergeCell ref="BK93:BK94"/>
    <mergeCell ref="BN93:BN94"/>
    <mergeCell ref="BL93:BL94"/>
    <mergeCell ref="BI93:BI94"/>
    <mergeCell ref="BJ93:BJ94"/>
    <mergeCell ref="BN44:BN45"/>
    <mergeCell ref="BM44:BM45"/>
    <mergeCell ref="U48:U49"/>
    <mergeCell ref="V48:V49"/>
    <mergeCell ref="W48:W49"/>
    <mergeCell ref="U44:U45"/>
    <mergeCell ref="V44:V45"/>
    <mergeCell ref="N44:N45"/>
    <mergeCell ref="S44:S45"/>
    <mergeCell ref="T44:T45"/>
    <mergeCell ref="AZ44:AZ45"/>
    <mergeCell ref="AR44:AR45"/>
    <mergeCell ref="AS44:AS45"/>
    <mergeCell ref="AT44:AT45"/>
    <mergeCell ref="AU44:AU45"/>
    <mergeCell ref="AV44:AV45"/>
    <mergeCell ref="AW44:AW45"/>
    <mergeCell ref="AZ48:AZ49"/>
    <mergeCell ref="AO48:AO49"/>
    <mergeCell ref="AP48:AP49"/>
    <mergeCell ref="AQ48:AQ49"/>
    <mergeCell ref="AR48:AR49"/>
    <mergeCell ref="AS48:AS49"/>
    <mergeCell ref="AT48:AT49"/>
    <mergeCell ref="J48:J49"/>
    <mergeCell ref="K48:K49"/>
    <mergeCell ref="L48:L49"/>
    <mergeCell ref="M48:M49"/>
    <mergeCell ref="N48:N49"/>
    <mergeCell ref="S48:S49"/>
    <mergeCell ref="C48:C49"/>
    <mergeCell ref="E48:E49"/>
    <mergeCell ref="F48:F49"/>
    <mergeCell ref="G48:G49"/>
    <mergeCell ref="H48:H49"/>
    <mergeCell ref="I48:I49"/>
    <mergeCell ref="AQ15:AS15"/>
    <mergeCell ref="AN16:AN18"/>
    <mergeCell ref="AS16:AS18"/>
    <mergeCell ref="X14:X18"/>
    <mergeCell ref="AA44:AA45"/>
    <mergeCell ref="X44:X45"/>
    <mergeCell ref="Y44:Y45"/>
    <mergeCell ref="AO25:AO30"/>
    <mergeCell ref="AP25:AP30"/>
    <mergeCell ref="AQ25:AQ30"/>
    <mergeCell ref="AR25:AR30"/>
    <mergeCell ref="AN44:AN45"/>
    <mergeCell ref="AH25:AH30"/>
    <mergeCell ref="AC25:AC30"/>
    <mergeCell ref="AE25:AE30"/>
    <mergeCell ref="AK25:AK30"/>
    <mergeCell ref="AL25:AL30"/>
    <mergeCell ref="AF25:AF30"/>
    <mergeCell ref="AD25:AD30"/>
    <mergeCell ref="BI15:BK15"/>
    <mergeCell ref="AT15:AV15"/>
    <mergeCell ref="Y14:AA14"/>
    <mergeCell ref="BO15:BQ15"/>
    <mergeCell ref="AN14:AS14"/>
    <mergeCell ref="AT14:AY14"/>
    <mergeCell ref="AZ14:BE14"/>
    <mergeCell ref="BF14:BK14"/>
    <mergeCell ref="BL14:BQ14"/>
    <mergeCell ref="AW15:AY15"/>
    <mergeCell ref="AZ15:BB15"/>
    <mergeCell ref="BC15:BE15"/>
    <mergeCell ref="AM14:AM18"/>
    <mergeCell ref="AO16:AO18"/>
    <mergeCell ref="AP16:AP18"/>
    <mergeCell ref="AQ16:AQ18"/>
    <mergeCell ref="AR16:AR18"/>
    <mergeCell ref="AA15:AA18"/>
    <mergeCell ref="AC15:AC18"/>
    <mergeCell ref="AN15:AP15"/>
    <mergeCell ref="AE15:AE18"/>
    <mergeCell ref="AL14:AL18"/>
    <mergeCell ref="BJ16:BJ18"/>
    <mergeCell ref="BF15:BH15"/>
    <mergeCell ref="A11:A18"/>
    <mergeCell ref="C11:C18"/>
    <mergeCell ref="D11:D18"/>
    <mergeCell ref="F11:F18"/>
    <mergeCell ref="E11:E18"/>
    <mergeCell ref="G11:R13"/>
    <mergeCell ref="S11:V13"/>
    <mergeCell ref="L14:L18"/>
    <mergeCell ref="M14:M18"/>
    <mergeCell ref="N14:N18"/>
    <mergeCell ref="V14:V18"/>
    <mergeCell ref="B11:B18"/>
    <mergeCell ref="AK12:AM12"/>
    <mergeCell ref="Q14:Q18"/>
    <mergeCell ref="R14:R18"/>
    <mergeCell ref="T14:T18"/>
    <mergeCell ref="Z15:Z18"/>
    <mergeCell ref="D260:I260"/>
    <mergeCell ref="G14:G18"/>
    <mergeCell ref="H14:H18"/>
    <mergeCell ref="I14:I18"/>
    <mergeCell ref="J14:J18"/>
    <mergeCell ref="AH15:AH18"/>
    <mergeCell ref="AD15:AD18"/>
    <mergeCell ref="AF15:AF18"/>
    <mergeCell ref="Y15:Y18"/>
    <mergeCell ref="K14:K18"/>
    <mergeCell ref="AC14:AJ14"/>
    <mergeCell ref="O14:O18"/>
    <mergeCell ref="P14:P18"/>
    <mergeCell ref="AG15:AG18"/>
    <mergeCell ref="T48:T49"/>
    <mergeCell ref="W13:W18"/>
    <mergeCell ref="X13:AA13"/>
    <mergeCell ref="U14:U18"/>
    <mergeCell ref="Z44:Z45"/>
    <mergeCell ref="E93:E94"/>
    <mergeCell ref="F93:F94"/>
    <mergeCell ref="W44:W45"/>
    <mergeCell ref="A1:BK1"/>
    <mergeCell ref="A3:BK3"/>
    <mergeCell ref="BG16:BG18"/>
    <mergeCell ref="BH16:BH18"/>
    <mergeCell ref="W11:AM11"/>
    <mergeCell ref="F4:AK4"/>
    <mergeCell ref="S14:S18"/>
    <mergeCell ref="W12:AA12"/>
    <mergeCell ref="AB14:AB18"/>
    <mergeCell ref="AB13:AJ13"/>
    <mergeCell ref="AT16:AT18"/>
    <mergeCell ref="BB16:BB18"/>
    <mergeCell ref="AU16:AU18"/>
    <mergeCell ref="AV16:AV18"/>
    <mergeCell ref="AW16:AW18"/>
    <mergeCell ref="AK13:AK18"/>
    <mergeCell ref="AL13:AM13"/>
    <mergeCell ref="AI15:AI18"/>
    <mergeCell ref="AJ15:AJ18"/>
    <mergeCell ref="AN11:BW13"/>
    <mergeCell ref="AX16:AX18"/>
    <mergeCell ref="AY16:AY18"/>
    <mergeCell ref="AZ16:AZ18"/>
    <mergeCell ref="BA16:BA18"/>
    <mergeCell ref="BL16:BL18"/>
    <mergeCell ref="BM16:BM18"/>
    <mergeCell ref="BI16:BI18"/>
    <mergeCell ref="BD16:BD18"/>
    <mergeCell ref="BE16:BE18"/>
    <mergeCell ref="BF16:BF18"/>
    <mergeCell ref="BK16:BK18"/>
    <mergeCell ref="AZ93:AZ94"/>
    <mergeCell ref="BB93:BB94"/>
    <mergeCell ref="BE93:BE94"/>
    <mergeCell ref="BF93:BF94"/>
    <mergeCell ref="BC16:BC18"/>
    <mergeCell ref="BO16:BO18"/>
    <mergeCell ref="BP16:BP18"/>
    <mergeCell ref="BA44:BA45"/>
    <mergeCell ref="BB44:BB45"/>
    <mergeCell ref="BC44:BC45"/>
    <mergeCell ref="BB25:BB30"/>
    <mergeCell ref="BC25:BC30"/>
    <mergeCell ref="BF25:BF30"/>
    <mergeCell ref="BG25:BG30"/>
    <mergeCell ref="BH25:BH30"/>
    <mergeCell ref="BI25:BI30"/>
    <mergeCell ref="BD25:BD30"/>
    <mergeCell ref="BE25:BE30"/>
    <mergeCell ref="BB48:BB49"/>
    <mergeCell ref="BC48:BC49"/>
    <mergeCell ref="BD44:BD45"/>
    <mergeCell ref="BE44:BE45"/>
    <mergeCell ref="BI44:BI45"/>
    <mergeCell ref="BG93:BG94"/>
    <mergeCell ref="G93:G94"/>
    <mergeCell ref="H93:H94"/>
    <mergeCell ref="J99:J103"/>
    <mergeCell ref="K99:K103"/>
    <mergeCell ref="L99:L103"/>
    <mergeCell ref="M99:M103"/>
    <mergeCell ref="I93:I94"/>
    <mergeCell ref="J93:J94"/>
    <mergeCell ref="K93:K94"/>
    <mergeCell ref="L93:L94"/>
    <mergeCell ref="AX93:AX94"/>
    <mergeCell ref="AY93:AY94"/>
    <mergeCell ref="V93:V94"/>
    <mergeCell ref="Y93:Y94"/>
    <mergeCell ref="Z93:Z94"/>
    <mergeCell ref="U93:U94"/>
    <mergeCell ref="AN93:AN94"/>
    <mergeCell ref="AO93:AO94"/>
    <mergeCell ref="AQ93:AQ94"/>
    <mergeCell ref="AR93:AR94"/>
    <mergeCell ref="AA93:AA94"/>
    <mergeCell ref="AK93:AK94"/>
    <mergeCell ref="W93:W94"/>
    <mergeCell ref="X93:X94"/>
    <mergeCell ref="S99:S103"/>
    <mergeCell ref="T99:T103"/>
    <mergeCell ref="U99:U103"/>
    <mergeCell ref="V99:V103"/>
    <mergeCell ref="W99:W103"/>
    <mergeCell ref="S93:S94"/>
    <mergeCell ref="T93:T94"/>
    <mergeCell ref="AS93:AS94"/>
    <mergeCell ref="AW93:AW94"/>
    <mergeCell ref="AN99:AN103"/>
    <mergeCell ref="AO99:AO103"/>
    <mergeCell ref="AP99:AP103"/>
    <mergeCell ref="BC99:BC103"/>
    <mergeCell ref="Z104:Z109"/>
    <mergeCell ref="BJ99:BJ103"/>
    <mergeCell ref="BK99:BK103"/>
    <mergeCell ref="C104:C109"/>
    <mergeCell ref="BD99:BD103"/>
    <mergeCell ref="BE99:BE103"/>
    <mergeCell ref="BF99:BF103"/>
    <mergeCell ref="BG99:BG103"/>
    <mergeCell ref="AT99:AT103"/>
    <mergeCell ref="AU99:AU103"/>
    <mergeCell ref="AV99:AV103"/>
    <mergeCell ref="AW99:AW103"/>
    <mergeCell ref="AR99:AR103"/>
    <mergeCell ref="AS99:AS103"/>
    <mergeCell ref="C98:C103"/>
    <mergeCell ref="E99:E103"/>
    <mergeCell ref="F99:F103"/>
    <mergeCell ref="G99:G103"/>
    <mergeCell ref="H99:H103"/>
    <mergeCell ref="I99:I103"/>
    <mergeCell ref="E104:E109"/>
    <mergeCell ref="F104:F109"/>
    <mergeCell ref="G104:G109"/>
    <mergeCell ref="H104:H109"/>
    <mergeCell ref="I104:I109"/>
    <mergeCell ref="J104:J109"/>
    <mergeCell ref="BH99:BH103"/>
    <mergeCell ref="BI99:BI103"/>
    <mergeCell ref="K104:K109"/>
    <mergeCell ref="L104:L109"/>
    <mergeCell ref="M104:M109"/>
    <mergeCell ref="N104:N109"/>
    <mergeCell ref="S104:S109"/>
    <mergeCell ref="T104:T109"/>
    <mergeCell ref="X104:X109"/>
    <mergeCell ref="Y104:Y109"/>
    <mergeCell ref="AX99:AX103"/>
    <mergeCell ref="AY99:AY103"/>
    <mergeCell ref="U104:U109"/>
    <mergeCell ref="X99:X103"/>
    <mergeCell ref="Y99:Y103"/>
    <mergeCell ref="AQ99:AQ103"/>
    <mergeCell ref="Z99:Z103"/>
    <mergeCell ref="AA99:AA103"/>
    <mergeCell ref="AY104:AY109"/>
    <mergeCell ref="AZ104:AZ109"/>
    <mergeCell ref="BG104:BG109"/>
    <mergeCell ref="AP104:AP109"/>
    <mergeCell ref="AQ104:AQ109"/>
    <mergeCell ref="AR104:AR109"/>
    <mergeCell ref="AS104:AS109"/>
    <mergeCell ref="AT104:AT109"/>
    <mergeCell ref="BF104:BF109"/>
    <mergeCell ref="AU104:AU109"/>
    <mergeCell ref="AV104:AV109"/>
    <mergeCell ref="AW104:AW109"/>
    <mergeCell ref="AX104:AX109"/>
    <mergeCell ref="BK104:BK109"/>
    <mergeCell ref="BA104:BA109"/>
    <mergeCell ref="BB104:BB109"/>
    <mergeCell ref="BC104:BC109"/>
    <mergeCell ref="BD104:BD109"/>
    <mergeCell ref="BE104:BE109"/>
    <mergeCell ref="BE174:BE175"/>
    <mergeCell ref="BD172:BD173"/>
    <mergeCell ref="BE172:BE173"/>
    <mergeCell ref="BA172:BA173"/>
    <mergeCell ref="BB172:BB173"/>
    <mergeCell ref="BC172:BC173"/>
    <mergeCell ref="BC170:BC171"/>
    <mergeCell ref="BD170:BD171"/>
    <mergeCell ref="BE170:BE171"/>
    <mergeCell ref="BI170:BI171"/>
    <mergeCell ref="BF170:BF171"/>
    <mergeCell ref="BG170:BG171"/>
    <mergeCell ref="BH170:BH171"/>
    <mergeCell ref="BH104:BH109"/>
    <mergeCell ref="BI104:BI109"/>
    <mergeCell ref="BJ104:BJ109"/>
    <mergeCell ref="BX142:BX143"/>
    <mergeCell ref="BF174:BF175"/>
    <mergeCell ref="BG174:BG175"/>
    <mergeCell ref="BH174:BH175"/>
    <mergeCell ref="BI172:BI173"/>
    <mergeCell ref="BJ172:BJ173"/>
    <mergeCell ref="BK172:BK173"/>
    <mergeCell ref="BF172:BF173"/>
    <mergeCell ref="BI174:BI175"/>
    <mergeCell ref="BG172:BG173"/>
    <mergeCell ref="BH172:BH173"/>
    <mergeCell ref="BJ170:BJ171"/>
    <mergeCell ref="BK170:BK171"/>
    <mergeCell ref="BX170:BX171"/>
    <mergeCell ref="BL174:BL175"/>
    <mergeCell ref="BM174:BM175"/>
    <mergeCell ref="BN174:BN175"/>
    <mergeCell ref="BR170:BR171"/>
    <mergeCell ref="BS170:BS171"/>
    <mergeCell ref="BT170:BT171"/>
    <mergeCell ref="BR172:BR173"/>
    <mergeCell ref="BS172:BS173"/>
    <mergeCell ref="BT172:BT173"/>
    <mergeCell ref="BR174:BR175"/>
    <mergeCell ref="AV174:AV175"/>
    <mergeCell ref="AW174:AW175"/>
    <mergeCell ref="AX174:AX175"/>
    <mergeCell ref="AY174:AY175"/>
    <mergeCell ref="BJ174:BJ175"/>
    <mergeCell ref="BK174:BK175"/>
    <mergeCell ref="AZ174:AZ175"/>
    <mergeCell ref="BA174:BA175"/>
    <mergeCell ref="BB174:BB175"/>
    <mergeCell ref="BC174:BC175"/>
    <mergeCell ref="BD174:BD175"/>
    <mergeCell ref="AK174:AK175"/>
    <mergeCell ref="AN174:AN175"/>
    <mergeCell ref="AO174:AO175"/>
    <mergeCell ref="AP174:AP175"/>
    <mergeCell ref="AQ174:AQ175"/>
    <mergeCell ref="AR174:AR175"/>
    <mergeCell ref="AS174:AS175"/>
    <mergeCell ref="AT174:AT175"/>
    <mergeCell ref="AU174:AU175"/>
    <mergeCell ref="E174:E175"/>
    <mergeCell ref="F174:F175"/>
    <mergeCell ref="G174:G175"/>
    <mergeCell ref="H174:H175"/>
    <mergeCell ref="I174:I175"/>
    <mergeCell ref="AX172:AX173"/>
    <mergeCell ref="AY172:AY173"/>
    <mergeCell ref="AZ172:AZ173"/>
    <mergeCell ref="J174:J175"/>
    <mergeCell ref="K174:K175"/>
    <mergeCell ref="L174:L175"/>
    <mergeCell ref="M174:M175"/>
    <mergeCell ref="N174:N175"/>
    <mergeCell ref="S174:S175"/>
    <mergeCell ref="T174:T175"/>
    <mergeCell ref="U174:U175"/>
    <mergeCell ref="V174:V175"/>
    <mergeCell ref="W174:W175"/>
    <mergeCell ref="X174:X175"/>
    <mergeCell ref="Y174:Y175"/>
    <mergeCell ref="Z174:Z175"/>
    <mergeCell ref="AA174:AA175"/>
    <mergeCell ref="AQ172:AQ173"/>
    <mergeCell ref="AR172:AR173"/>
    <mergeCell ref="E172:E173"/>
    <mergeCell ref="F172:F173"/>
    <mergeCell ref="G172:G173"/>
    <mergeCell ref="H172:H173"/>
    <mergeCell ref="I172:I173"/>
    <mergeCell ref="J172:J173"/>
    <mergeCell ref="K172:K173"/>
    <mergeCell ref="L172:L173"/>
    <mergeCell ref="M172:M173"/>
    <mergeCell ref="N172:N173"/>
    <mergeCell ref="S172:S173"/>
    <mergeCell ref="T172:T173"/>
    <mergeCell ref="U172:U173"/>
    <mergeCell ref="V172:V173"/>
    <mergeCell ref="W172:W173"/>
    <mergeCell ref="X172:X173"/>
    <mergeCell ref="Y172:Y173"/>
    <mergeCell ref="Z172:Z173"/>
    <mergeCell ref="AT172:AT173"/>
    <mergeCell ref="AU172:AU173"/>
    <mergeCell ref="AT170:AT171"/>
    <mergeCell ref="AU170:AU171"/>
    <mergeCell ref="AX170:AX171"/>
    <mergeCell ref="AY170:AY171"/>
    <mergeCell ref="AZ170:AZ171"/>
    <mergeCell ref="BA170:BA171"/>
    <mergeCell ref="BB170:BB171"/>
    <mergeCell ref="AV172:AV173"/>
    <mergeCell ref="AW172:AW173"/>
    <mergeCell ref="O93:O94"/>
    <mergeCell ref="P93:P94"/>
    <mergeCell ref="AS170:AS171"/>
    <mergeCell ref="AA172:AA173"/>
    <mergeCell ref="AK172:AK173"/>
    <mergeCell ref="AN172:AN173"/>
    <mergeCell ref="AO172:AO173"/>
    <mergeCell ref="AP172:AP173"/>
    <mergeCell ref="AS172:AS173"/>
    <mergeCell ref="Z170:Z171"/>
    <mergeCell ref="AA170:AA171"/>
    <mergeCell ref="AK170:AK171"/>
    <mergeCell ref="AN170:AN171"/>
    <mergeCell ref="AO170:AO171"/>
    <mergeCell ref="AP170:AP171"/>
    <mergeCell ref="AQ170:AQ171"/>
    <mergeCell ref="AR170:AR171"/>
    <mergeCell ref="AA104:AA109"/>
    <mergeCell ref="AK104:AK109"/>
    <mergeCell ref="V104:V109"/>
    <mergeCell ref="W104:W109"/>
    <mergeCell ref="AO104:AO109"/>
    <mergeCell ref="AN104:AN109"/>
    <mergeCell ref="AK99:AK103"/>
    <mergeCell ref="Q93:Q94"/>
    <mergeCell ref="R93:R94"/>
    <mergeCell ref="AV170:AV171"/>
    <mergeCell ref="AW170:AW171"/>
    <mergeCell ref="F7:Y7"/>
    <mergeCell ref="E170:E171"/>
    <mergeCell ref="F170:F171"/>
    <mergeCell ref="G170:G171"/>
    <mergeCell ref="H170:H171"/>
    <mergeCell ref="I170:I171"/>
    <mergeCell ref="J170:J171"/>
    <mergeCell ref="K170:K171"/>
    <mergeCell ref="L170:L171"/>
    <mergeCell ref="M170:M171"/>
    <mergeCell ref="N170:N171"/>
    <mergeCell ref="S170:S171"/>
    <mergeCell ref="T170:T171"/>
    <mergeCell ref="U170:U171"/>
    <mergeCell ref="V170:V171"/>
    <mergeCell ref="W170:W171"/>
    <mergeCell ref="X170:X171"/>
    <mergeCell ref="Y170:Y171"/>
    <mergeCell ref="M93:M94"/>
    <mergeCell ref="N93:N94"/>
  </mergeCells>
  <phoneticPr fontId="0" type="noConversion"/>
  <conditionalFormatting sqref="U31 U33:U34 U20:U24 U210:U216 U95:U99 U79:U91 U146:U153 U160:U166 U177:U189 U191:U204 U246 U36:U44 U46:U48 U144 U156:U158 U248:U256 U50:U70 U110:U139">
    <cfRule type="expression" dxfId="70" priority="1966" stopIfTrue="1">
      <formula>AND(INDEX($G20:$R20,1,$U20)=0, $U20&gt;0)</formula>
    </cfRule>
  </conditionalFormatting>
  <conditionalFormatting sqref="V31:V34 V20:V24 V210:V216 V95:V99 V79:V91 V146:V154 V160:V166 V177:V189 V191:V204 V246 V36 V46:V48 V144 V156:V158 V170 V172 V174 V44 V248:V256 V50:V70 V110:V140">
    <cfRule type="expression" dxfId="69" priority="1965" stopIfTrue="1">
      <formula>AND(INDEX($G20:$R20,1,$V20)=0, $V20&gt;0)</formula>
    </cfRule>
  </conditionalFormatting>
  <conditionalFormatting sqref="O223 Q223 O217 Q217 O229 Q229 O235 Q235 O241 Q241">
    <cfRule type="expression" dxfId="68" priority="1247" stopIfTrue="1">
      <formula>O217+P217&gt;70</formula>
    </cfRule>
  </conditionalFormatting>
  <conditionalFormatting sqref="P223 R223 P217 R217 P229 R229 P235 R235 P241 R241">
    <cfRule type="expression" dxfId="67" priority="1246" stopIfTrue="1">
      <formula>O217+P217&gt;70</formula>
    </cfRule>
  </conditionalFormatting>
  <conditionalFormatting sqref="K235 K241">
    <cfRule type="expression" dxfId="66" priority="908" stopIfTrue="1">
      <formula>K235+L235&gt;65</formula>
    </cfRule>
  </conditionalFormatting>
  <conditionalFormatting sqref="L235 L241">
    <cfRule type="expression" dxfId="65" priority="907" stopIfTrue="1">
      <formula>K235+L235&gt;65</formula>
    </cfRule>
  </conditionalFormatting>
  <conditionalFormatting sqref="M217 M223 M229 M235 M241">
    <cfRule type="expression" dxfId="64" priority="906" stopIfTrue="1">
      <formula>M217+N217&gt;63</formula>
    </cfRule>
  </conditionalFormatting>
  <conditionalFormatting sqref="N217 N223 N229 N235 N241">
    <cfRule type="expression" dxfId="63" priority="905" stopIfTrue="1">
      <formula>M217+N217&gt;63</formula>
    </cfRule>
  </conditionalFormatting>
  <conditionalFormatting sqref="E24">
    <cfRule type="expression" dxfId="62" priority="1989">
      <formula>E43&lt;&gt;3</formula>
    </cfRule>
  </conditionalFormatting>
  <conditionalFormatting sqref="AK241 AK217 AK223 AK205:AK209 AK229 AK235 AK191:AK203 AK177:AK189 AK146:AK154 AK211:AK213 AK95:AK98 AK46:AK48 AK144 AK156:AK158 AK20:AK24 AK160:AK170 AK172 AK174 AK31:AK44 AK248:AK256 AK50:AK93 AK110:AK140">
    <cfRule type="expression" dxfId="61" priority="1230">
      <formula>"&lt;=0.5*$E$17"</formula>
    </cfRule>
    <cfRule type="expression" dxfId="60" priority="1231">
      <formula>"&gt;=0,5*$E$17"</formula>
    </cfRule>
  </conditionalFormatting>
  <conditionalFormatting sqref="E210">
    <cfRule type="expression" dxfId="59" priority="1988">
      <formula>E210&lt;&gt;21</formula>
    </cfRule>
  </conditionalFormatting>
  <conditionalFormatting sqref="E223 E217 E229 E235 E241">
    <cfRule type="expression" dxfId="58" priority="1969">
      <formula>E217&lt;&gt;240</formula>
    </cfRule>
  </conditionalFormatting>
  <conditionalFormatting sqref="AN146:BK153 AN211:BK211 AN144:BK144 X20:X24 AN20:BW24 AN93:AO93 AQ93:AS93 AW93:AZ93 BB93:BW93 AP93:AP94 AT93:AV94 BA93:BA94 AN154:AP154 BF154:BH154 AZ154:BB154 AT154:AV154 AN160:BK169 BF170:BH170 AZ170:BB170 AT170:AV170 AN170:AP170 AZ172:BB172 AT172:AV172 AN172:AP172 AT174:AV174 AN174:AP174 BF172:BH172 AZ174:BB174 BF174:BH174 BL143:BW144 BL110:BW132 BO72:BQ77 BU73:BW77 AN31:BW34 BU72:BV72 BO160:BQ175 BO146:BQ158 BU146:BW158 BU160:BW175 BO211:BQ211 BU211:BW211 AN35:BH35 AN248:BW256 X31:X37 AN142:BN142 BR142:BT142 AN95:BW99 BO104:BQ104 BU104:BW104 AN78:BW92 BL71:BN77 BR71:BT77 AN36:BW44 BW71:BW72 BL146:BN154 AN156:BN158 BL160:BN170 BL172:BN172 BL174:BN174 AN191:BW203 AN177:BW189 BR146:BT154 BR156:BT158 BR160:BT170 BR172:BT172 BR174:BT174 AN210:AP210 AT210:AV210 AZ210:BB210 BF210:BH210 BR210:BT215 AN214:AP214 AT214:AV214 AZ214:BB214 BF214:BH214 BL210:BN215 BW145 BW35 BY20:BY24 BL35:BN35 BR35:BT35 AN46:BW48 AN50:BW70 AN110:BK140 BO133:BQ142 BU133:BW142 BL133:BN140 BR133:BT140">
    <cfRule type="expression" dxfId="57" priority="1372" stopIfTrue="1">
      <formula>MOD(X20,2)&lt;&gt;0</formula>
    </cfRule>
  </conditionalFormatting>
  <conditionalFormatting sqref="G235:J235 G241:J241 G229:L229 G223:L223 G217:L217 K205:L207 K159:L159 K145:L145 K132:L132 K117:L117 K110:L110 K98:L98 K92:L92 K84:L84 M69 K78:L78">
    <cfRule type="expression" dxfId="56" priority="962" stopIfTrue="1">
      <formula>G69&gt;30</formula>
    </cfRule>
  </conditionalFormatting>
  <conditionalFormatting sqref="AN219 BF219 BI219 BF225 BI225 AQ219 AT219 AW219 AZ219 BC219 AN225 AQ225 AT225 AW225 AZ225 BC225 BF231 BI231 AN231 AQ231 AT231 AW231 AZ231 BC231 BF237 BI237 AN237 AQ237 AT237 AW237 AZ237 BC237 BF243 BI243 AN243 AQ243 AT243 AW243 AZ243 BC243">
    <cfRule type="expression" dxfId="55" priority="898">
      <formula>AN219&gt;32</formula>
    </cfRule>
  </conditionalFormatting>
  <conditionalFormatting sqref="F221">
    <cfRule type="expression" dxfId="54" priority="833">
      <formula>$F$221&gt;5</formula>
    </cfRule>
    <cfRule type="expression" dxfId="53" priority="911">
      <formula>$F$221&lt;2</formula>
    </cfRule>
  </conditionalFormatting>
  <conditionalFormatting sqref="BL219 BO219 BR219 BU219 BL225 BO225 BR225 BU225 BL231 BO231 BR231 BU231 BL237 BO237 BR237 BU237 BL243 BO243 BR243 BU243">
    <cfRule type="expression" dxfId="52" priority="868">
      <formula>BL219&gt;27</formula>
    </cfRule>
  </conditionalFormatting>
  <conditionalFormatting sqref="F227 F233 F239 F245">
    <cfRule type="expression" dxfId="51" priority="832">
      <formula>$F$227&gt;5</formula>
    </cfRule>
    <cfRule type="expression" dxfId="50" priority="864">
      <formula>$F$227&lt;2</formula>
    </cfRule>
  </conditionalFormatting>
  <conditionalFormatting sqref="E190 E176 E159 E145 E131:E132">
    <cfRule type="expression" dxfId="49" priority="1970">
      <formula>E131&lt;&gt;41</formula>
    </cfRule>
  </conditionalFormatting>
  <conditionalFormatting sqref="E110">
    <cfRule type="expression" dxfId="48" priority="1972">
      <formula>E110&lt;&gt;16</formula>
    </cfRule>
  </conditionalFormatting>
  <conditionalFormatting sqref="E117">
    <cfRule type="expression" dxfId="47" priority="1971">
      <formula>E117&lt;&gt;29</formula>
    </cfRule>
  </conditionalFormatting>
  <conditionalFormatting sqref="E118">
    <cfRule type="expression" dxfId="46" priority="288" stopIfTrue="1">
      <formula>E118&gt;6</formula>
    </cfRule>
    <cfRule type="expression" dxfId="45" priority="842">
      <formula>E118&lt;3</formula>
    </cfRule>
  </conditionalFormatting>
  <conditionalFormatting sqref="E95">
    <cfRule type="expression" dxfId="44" priority="1992">
      <formula>E95&lt;&gt;100</formula>
    </cfRule>
  </conditionalFormatting>
  <conditionalFormatting sqref="E46">
    <cfRule type="expression" dxfId="43" priority="1983">
      <formula>E46&lt;&gt;15</formula>
    </cfRule>
  </conditionalFormatting>
  <conditionalFormatting sqref="E69">
    <cfRule type="expression" dxfId="42" priority="1980">
      <formula>E69&lt;&gt;54</formula>
    </cfRule>
  </conditionalFormatting>
  <conditionalFormatting sqref="E33">
    <cfRule type="expression" dxfId="41" priority="1996">
      <formula>E33&lt;&gt;46</formula>
    </cfRule>
  </conditionalFormatting>
  <conditionalFormatting sqref="E23">
    <cfRule type="expression" dxfId="40" priority="1999">
      <formula>E23&lt;&gt;7</formula>
    </cfRule>
  </conditionalFormatting>
  <conditionalFormatting sqref="E22">
    <cfRule type="expression" dxfId="39" priority="1998">
      <formula>E22&lt;&gt;59</formula>
    </cfRule>
  </conditionalFormatting>
  <conditionalFormatting sqref="E21">
    <cfRule type="expression" dxfId="38" priority="1997">
      <formula>E21&lt;&gt;113</formula>
    </cfRule>
  </conditionalFormatting>
  <conditionalFormatting sqref="E31:E32">
    <cfRule type="expression" dxfId="37" priority="1994">
      <formula>E31&lt;&gt;2</formula>
    </cfRule>
  </conditionalFormatting>
  <conditionalFormatting sqref="S71">
    <cfRule type="expression" dxfId="36" priority="275" stopIfTrue="1">
      <formula>AND(INDEX($G71:$R71,1,$S71)=0, $S71&gt;0)</formula>
    </cfRule>
  </conditionalFormatting>
  <conditionalFormatting sqref="T71">
    <cfRule type="expression" dxfId="35" priority="273" stopIfTrue="1">
      <formula>AND(INDEX($G71:$R71,1,$T71)=0, $T71&gt;0)</formula>
    </cfRule>
  </conditionalFormatting>
  <conditionalFormatting sqref="U71">
    <cfRule type="expression" dxfId="34" priority="272" stopIfTrue="1">
      <formula>AND(INDEX($G71:$R71,1,$U71)=0, $U71&gt;0)</formula>
    </cfRule>
  </conditionalFormatting>
  <conditionalFormatting sqref="V71">
    <cfRule type="expression" dxfId="33" priority="271" stopIfTrue="1">
      <formula>AND(INDEX($G71:$R71,1,$V71)=0, $V71&gt;0)</formula>
    </cfRule>
  </conditionalFormatting>
  <conditionalFormatting sqref="T92">
    <cfRule type="expression" dxfId="32" priority="254" stopIfTrue="1">
      <formula>AND(INDEX($G92:$R92,1,$T92)=0, $T92&gt;0)</formula>
    </cfRule>
  </conditionalFormatting>
  <conditionalFormatting sqref="U92">
    <cfRule type="expression" dxfId="31" priority="253" stopIfTrue="1">
      <formula>AND(INDEX($G92:$R92,1,$U92)=0, $U92&gt;0)</formula>
    </cfRule>
  </conditionalFormatting>
  <conditionalFormatting sqref="V92">
    <cfRule type="expression" dxfId="30" priority="252" stopIfTrue="1">
      <formula>AND(INDEX($G92:$R92,1,$V92)=0, $V92&gt;0)</formula>
    </cfRule>
  </conditionalFormatting>
  <conditionalFormatting sqref="T72:T77">
    <cfRule type="expression" dxfId="29" priority="238" stopIfTrue="1">
      <formula>AND(INDEX($G72:$R72,1,$T72)=0, $T72&gt;0)</formula>
    </cfRule>
  </conditionalFormatting>
  <conditionalFormatting sqref="U72:U77">
    <cfRule type="expression" dxfId="28" priority="237" stopIfTrue="1">
      <formula>AND(INDEX($G72:$R72,1,$U72)=0, $U72&gt;0)</formula>
    </cfRule>
  </conditionalFormatting>
  <conditionalFormatting sqref="V72:V77">
    <cfRule type="expression" dxfId="27" priority="236" stopIfTrue="1">
      <formula>AND(INDEX($G72:$R72,1,$V72)=0, $V72&gt;0)</formula>
    </cfRule>
  </conditionalFormatting>
  <conditionalFormatting sqref="T93">
    <cfRule type="expression" dxfId="26" priority="233" stopIfTrue="1">
      <formula>AND(INDEX($G93:$R93,1,$T93)=0, $T93&gt;0)</formula>
    </cfRule>
  </conditionalFormatting>
  <conditionalFormatting sqref="U93">
    <cfRule type="expression" dxfId="25" priority="232" stopIfTrue="1">
      <formula>AND(INDEX($G93:$R93,1,$U93)=0, $U93&gt;0)</formula>
    </cfRule>
  </conditionalFormatting>
  <conditionalFormatting sqref="V93">
    <cfRule type="expression" dxfId="24" priority="231" stopIfTrue="1">
      <formula>AND(INDEX($G93:$R93,1,$V93)=0, $V93&gt;0)</formula>
    </cfRule>
  </conditionalFormatting>
  <conditionalFormatting sqref="T104">
    <cfRule type="expression" dxfId="23" priority="204" stopIfTrue="1">
      <formula>AND(INDEX($G104:$R104,1,$T104)=0, $T104&gt;0)</formula>
    </cfRule>
  </conditionalFormatting>
  <conditionalFormatting sqref="U104">
    <cfRule type="expression" dxfId="22" priority="203" stopIfTrue="1">
      <formula>AND(INDEX($G104:$R104,1,$U104)=0, $U104&gt;0)</formula>
    </cfRule>
  </conditionalFormatting>
  <conditionalFormatting sqref="V104">
    <cfRule type="expression" dxfId="21" priority="202" stopIfTrue="1">
      <formula>AND(INDEX($G104:$R104,1,$V104)=0, $V104&gt;0)</formula>
    </cfRule>
  </conditionalFormatting>
  <conditionalFormatting sqref="V142">
    <cfRule type="expression" dxfId="20" priority="197" stopIfTrue="1">
      <formula>AND(INDEX($G142:$R142,1,$V142)=0, $V142&gt;0)</formula>
    </cfRule>
  </conditionalFormatting>
  <conditionalFormatting sqref="T167:T169">
    <cfRule type="expression" dxfId="19" priority="173" stopIfTrue="1">
      <formula>AND(INDEX($G167:$R167,1,$T167)=0, $T167&gt;0)</formula>
    </cfRule>
  </conditionalFormatting>
  <conditionalFormatting sqref="U167:U169">
    <cfRule type="expression" dxfId="18" priority="172" stopIfTrue="1">
      <formula>AND(INDEX($G167:$R167,1,$U167)=0, $U167&gt;0)</formula>
    </cfRule>
  </conditionalFormatting>
  <conditionalFormatting sqref="V167:V169">
    <cfRule type="expression" dxfId="17" priority="171" stopIfTrue="1">
      <formula>AND(INDEX($G167:$R167,1,$V167)=0, $V167&gt;0)</formula>
    </cfRule>
  </conditionalFormatting>
  <conditionalFormatting sqref="S35">
    <cfRule type="expression" dxfId="16" priority="147" stopIfTrue="1">
      <formula>AND(INDEX($F35:$Q35,1,$R35)=0, $R35&gt;0)</formula>
    </cfRule>
  </conditionalFormatting>
  <conditionalFormatting sqref="T35">
    <cfRule type="expression" dxfId="15" priority="146" stopIfTrue="1">
      <formula>AND(INDEX($F35:$Q35,1,$S35)=0, $S35&gt;0)</formula>
    </cfRule>
  </conditionalFormatting>
  <conditionalFormatting sqref="U35">
    <cfRule type="expression" dxfId="14" priority="145" stopIfTrue="1">
      <formula>AND(INDEX($F35:$Q35,1,$T35)=0, $T35&gt;0)</formula>
    </cfRule>
  </conditionalFormatting>
  <conditionalFormatting sqref="T250:T256">
    <cfRule type="expression" dxfId="13" priority="74" stopIfTrue="1">
      <formula>AND(INDEX($G250:$R250,1,$T250)=0, $T250&gt;0)</formula>
    </cfRule>
  </conditionalFormatting>
  <conditionalFormatting sqref="U250:U256">
    <cfRule type="expression" dxfId="12" priority="73" stopIfTrue="1">
      <formula>AND(INDEX($G250:$R250,1,$U250)=0, $U250&gt;0)</formula>
    </cfRule>
  </conditionalFormatting>
  <conditionalFormatting sqref="V250:V256">
    <cfRule type="expression" dxfId="11" priority="72" stopIfTrue="1">
      <formula>AND(INDEX($G250:$R250,1,$V250)=0, $V250&gt;0)</formula>
    </cfRule>
  </conditionalFormatting>
  <conditionalFormatting sqref="T250:T256">
    <cfRule type="expression" dxfId="10" priority="68" stopIfTrue="1">
      <formula>AND(INDEX($G250:$R250,1,$T250)=0, $T250&gt;0)</formula>
    </cfRule>
  </conditionalFormatting>
  <conditionalFormatting sqref="U250:U256">
    <cfRule type="expression" dxfId="9" priority="67" stopIfTrue="1">
      <formula>AND(INDEX($G250:$R250,1,$U250)=0, $U250&gt;0)</formula>
    </cfRule>
  </conditionalFormatting>
  <conditionalFormatting sqref="V250:V256">
    <cfRule type="expression" dxfId="8" priority="66" stopIfTrue="1">
      <formula>AND(INDEX($G250:$R250,1,$V250)=0, $V250&gt;0)</formula>
    </cfRule>
  </conditionalFormatting>
  <conditionalFormatting sqref="U78">
    <cfRule type="expression" dxfId="7" priority="20" stopIfTrue="1">
      <formula>AND(INDEX($G78:$R78,1,$U78)=0, $U78&gt;0)</formula>
    </cfRule>
  </conditionalFormatting>
  <conditionalFormatting sqref="V78">
    <cfRule type="expression" dxfId="6" priority="19" stopIfTrue="1">
      <formula>AND(INDEX($G78:$R78,1,$V78)=0, $V78&gt;0)</formula>
    </cfRule>
  </conditionalFormatting>
  <conditionalFormatting sqref="V37:V42">
    <cfRule type="expression" dxfId="5" priority="7" stopIfTrue="1">
      <formula>AND(INDEX($G37:$R37,1,$V37)=0, $V37&gt;0)</formula>
    </cfRule>
  </conditionalFormatting>
  <conditionalFormatting sqref="V43">
    <cfRule type="expression" dxfId="4" priority="6" stopIfTrue="1">
      <formula>AND(INDEX($G43:$R43,1,$V43)=0, $V43&gt;0)</formula>
    </cfRule>
  </conditionalFormatting>
  <conditionalFormatting sqref="AM218">
    <cfRule type="expression" dxfId="3" priority="4" stopIfTrue="1">
      <formula>AND(INDEX($G218:$R218,1,$V218)=0, $V218&gt;0)</formula>
    </cfRule>
  </conditionalFormatting>
  <conditionalFormatting sqref="AM224">
    <cfRule type="expression" dxfId="2" priority="3" stopIfTrue="1">
      <formula>AND(INDEX($G224:$R224,1,$V224)=0, $V224&gt;0)</formula>
    </cfRule>
  </conditionalFormatting>
  <conditionalFormatting sqref="AM219:AM220">
    <cfRule type="expression" dxfId="1" priority="2" stopIfTrue="1">
      <formula>AND(INDEX($G219:$R219,1,$V219)=0, $V219&gt;0)</formula>
    </cfRule>
  </conditionalFormatting>
  <conditionalFormatting sqref="AM225:AM226">
    <cfRule type="expression" dxfId="0" priority="1" stopIfTrue="1">
      <formula>AND(INDEX($G225:$R225,1,$V225)=0, $V225&gt;0)</formula>
    </cfRule>
  </conditionalFormatting>
  <printOptions horizontalCentered="1" gridLines="1"/>
  <pageMargins left="0.19685039370078741" right="0.19685039370078741" top="0.11811023622047245" bottom="0.19685039370078741" header="0.15748031496062992" footer="0.15748031496062992"/>
  <pageSetup paperSize="9" scale="41" fitToHeight="0" orientation="landscape" verticalDpi="1200" r:id="rId1"/>
  <ignoredErrors>
    <ignoredError sqref="E8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R192"/>
  <sheetViews>
    <sheetView view="pageBreakPreview" zoomScale="80" zoomScaleNormal="70" zoomScaleSheetLayoutView="80" workbookViewId="0">
      <pane ySplit="4" topLeftCell="A41" activePane="bottomLeft" state="frozen"/>
      <selection pane="bottomLeft" activeCell="A59" sqref="A59:IV60"/>
    </sheetView>
  </sheetViews>
  <sheetFormatPr defaultRowHeight="15.75" x14ac:dyDescent="0.25"/>
  <cols>
    <col min="1" max="1" width="13.85546875" style="472" customWidth="1"/>
    <col min="2" max="2" width="48.5703125" style="35" customWidth="1"/>
    <col min="3" max="6" width="7.5703125" style="36" customWidth="1"/>
    <col min="7" max="7" width="7.5703125" style="37" customWidth="1"/>
    <col min="8" max="8" width="7.5703125" style="36" customWidth="1"/>
    <col min="9" max="13" width="8.28515625" style="36" customWidth="1"/>
    <col min="14" max="18" width="10.140625" style="36" customWidth="1"/>
    <col min="19" max="16384" width="9.140625" style="36"/>
  </cols>
  <sheetData>
    <row r="2" spans="1:44" s="38" customFormat="1" ht="60" customHeight="1" x14ac:dyDescent="0.25">
      <c r="A2" s="960" t="s">
        <v>187</v>
      </c>
      <c r="B2" s="958" t="s">
        <v>144</v>
      </c>
      <c r="C2" s="962" t="s">
        <v>160</v>
      </c>
      <c r="D2" s="963"/>
      <c r="E2" s="963"/>
      <c r="F2" s="963"/>
      <c r="G2" s="963"/>
      <c r="H2" s="963"/>
      <c r="I2" s="963" t="s">
        <v>161</v>
      </c>
      <c r="J2" s="963"/>
      <c r="K2" s="963"/>
      <c r="L2" s="963"/>
      <c r="M2" s="963"/>
      <c r="N2" s="963" t="s">
        <v>162</v>
      </c>
      <c r="O2" s="963"/>
      <c r="P2" s="963"/>
      <c r="Q2" s="963"/>
      <c r="R2" s="963"/>
      <c r="S2" s="957" t="s">
        <v>163</v>
      </c>
      <c r="T2" s="957"/>
      <c r="U2" s="957"/>
      <c r="V2" s="957"/>
      <c r="W2" s="957"/>
      <c r="X2" s="957"/>
      <c r="Y2" s="957"/>
      <c r="Z2" s="957"/>
      <c r="AA2" s="957"/>
      <c r="AB2" s="957"/>
      <c r="AC2" s="957"/>
      <c r="AD2" s="957"/>
      <c r="AE2" s="957"/>
    </row>
    <row r="3" spans="1:44" s="38" customFormat="1" ht="171.75" hidden="1" customHeight="1" x14ac:dyDescent="0.25">
      <c r="A3" s="961"/>
      <c r="B3" s="959"/>
      <c r="C3" s="441" t="s">
        <v>214</v>
      </c>
      <c r="D3" s="441" t="s">
        <v>214</v>
      </c>
      <c r="E3" s="441" t="s">
        <v>214</v>
      </c>
      <c r="F3" s="441" t="s">
        <v>214</v>
      </c>
      <c r="G3" s="441" t="s">
        <v>214</v>
      </c>
      <c r="H3" s="441" t="s">
        <v>214</v>
      </c>
      <c r="I3" s="441" t="s">
        <v>214</v>
      </c>
      <c r="J3" s="441" t="s">
        <v>214</v>
      </c>
      <c r="K3" s="441" t="s">
        <v>214</v>
      </c>
      <c r="L3" s="441" t="s">
        <v>214</v>
      </c>
      <c r="M3" s="441" t="s">
        <v>214</v>
      </c>
      <c r="N3" s="441" t="s">
        <v>214</v>
      </c>
      <c r="O3" s="441" t="s">
        <v>214</v>
      </c>
      <c r="P3" s="441" t="s">
        <v>214</v>
      </c>
      <c r="Q3" s="441" t="s">
        <v>214</v>
      </c>
      <c r="R3" s="441" t="s">
        <v>214</v>
      </c>
      <c r="S3" s="441" t="s">
        <v>214</v>
      </c>
      <c r="T3" s="441" t="s">
        <v>214</v>
      </c>
      <c r="U3" s="441" t="s">
        <v>214</v>
      </c>
      <c r="V3" s="441" t="s">
        <v>214</v>
      </c>
      <c r="W3" s="441" t="s">
        <v>214</v>
      </c>
      <c r="X3" s="441" t="s">
        <v>214</v>
      </c>
      <c r="Y3" s="441" t="s">
        <v>214</v>
      </c>
      <c r="Z3" s="441" t="s">
        <v>214</v>
      </c>
      <c r="AA3" s="441" t="s">
        <v>214</v>
      </c>
      <c r="AB3" s="441" t="s">
        <v>214</v>
      </c>
      <c r="AC3" s="441" t="s">
        <v>214</v>
      </c>
      <c r="AD3" s="441" t="s">
        <v>214</v>
      </c>
      <c r="AE3" s="441" t="s">
        <v>214</v>
      </c>
    </row>
    <row r="4" spans="1:44" s="41" customFormat="1" ht="15.75" customHeight="1" x14ac:dyDescent="0.25">
      <c r="A4" s="458"/>
      <c r="B4" s="2"/>
      <c r="C4" s="3" t="s">
        <v>164</v>
      </c>
      <c r="D4" s="4" t="s">
        <v>165</v>
      </c>
      <c r="E4" s="4" t="s">
        <v>166</v>
      </c>
      <c r="F4" s="4" t="s">
        <v>167</v>
      </c>
      <c r="G4" s="4" t="s">
        <v>168</v>
      </c>
      <c r="H4" s="4" t="s">
        <v>169</v>
      </c>
      <c r="I4" s="4" t="s">
        <v>170</v>
      </c>
      <c r="J4" s="4" t="s">
        <v>171</v>
      </c>
      <c r="K4" s="4" t="s">
        <v>172</v>
      </c>
      <c r="L4" s="4" t="s">
        <v>173</v>
      </c>
      <c r="M4" s="4" t="s">
        <v>174</v>
      </c>
      <c r="N4" s="4" t="s">
        <v>175</v>
      </c>
      <c r="O4" s="4" t="s">
        <v>176</v>
      </c>
      <c r="P4" s="4" t="s">
        <v>177</v>
      </c>
      <c r="Q4" s="4" t="s">
        <v>178</v>
      </c>
      <c r="R4" s="4" t="s">
        <v>179</v>
      </c>
      <c r="S4" s="5" t="s">
        <v>200</v>
      </c>
      <c r="T4" s="5"/>
      <c r="U4" s="5"/>
      <c r="V4" s="5"/>
      <c r="W4" s="5"/>
      <c r="X4" s="5"/>
      <c r="Y4" s="39"/>
      <c r="Z4" s="39"/>
      <c r="AA4" s="39"/>
      <c r="AB4" s="39"/>
      <c r="AC4" s="39"/>
      <c r="AD4" s="39"/>
      <c r="AE4" s="39"/>
      <c r="AF4" s="40"/>
      <c r="AG4" s="40"/>
      <c r="AH4" s="40"/>
      <c r="AI4" s="40"/>
      <c r="AJ4" s="40"/>
      <c r="AK4" s="40"/>
      <c r="AL4" s="40"/>
      <c r="AM4" s="40"/>
      <c r="AN4" s="40"/>
      <c r="AO4" s="40"/>
      <c r="AP4" s="40"/>
      <c r="AQ4" s="40"/>
      <c r="AR4" s="40"/>
    </row>
    <row r="5" spans="1:44" s="41" customFormat="1" x14ac:dyDescent="0.25">
      <c r="A5" s="459"/>
      <c r="B5" s="6" t="str">
        <f>УП!D20</f>
        <v xml:space="preserve">Блок 1. Модули (дисциплины) </v>
      </c>
      <c r="C5" s="7"/>
      <c r="D5" s="8"/>
      <c r="E5" s="8"/>
      <c r="F5" s="8"/>
      <c r="G5" s="8"/>
      <c r="H5" s="8"/>
      <c r="I5" s="8"/>
      <c r="J5" s="8"/>
      <c r="K5" s="8"/>
      <c r="L5" s="8"/>
      <c r="M5" s="8"/>
      <c r="N5" s="8"/>
      <c r="O5" s="8"/>
      <c r="P5" s="8"/>
      <c r="Q5" s="8"/>
      <c r="R5" s="8"/>
      <c r="S5" s="8"/>
      <c r="T5" s="8"/>
      <c r="U5" s="8"/>
      <c r="V5" s="8"/>
      <c r="W5" s="8"/>
      <c r="X5" s="8"/>
      <c r="Y5" s="42"/>
      <c r="Z5" s="42"/>
      <c r="AA5" s="42"/>
      <c r="AB5" s="42"/>
      <c r="AC5" s="42"/>
      <c r="AD5" s="42"/>
      <c r="AE5" s="42"/>
    </row>
    <row r="6" spans="1:44" s="41" customFormat="1" x14ac:dyDescent="0.25">
      <c r="A6" s="459"/>
      <c r="B6" s="6" t="str">
        <f>УП!D21</f>
        <v>ФУНДАМЕНТАЛЬНАЯ ПОДГОТОВКА</v>
      </c>
      <c r="C6" s="7"/>
      <c r="D6" s="8"/>
      <c r="E6" s="8"/>
      <c r="F6" s="8"/>
      <c r="G6" s="8"/>
      <c r="H6" s="8"/>
      <c r="I6" s="8"/>
      <c r="J6" s="8"/>
      <c r="K6" s="8"/>
      <c r="L6" s="8"/>
      <c r="M6" s="8"/>
      <c r="N6" s="8"/>
      <c r="O6" s="8"/>
      <c r="P6" s="8"/>
      <c r="Q6" s="8"/>
      <c r="R6" s="8"/>
      <c r="S6" s="8"/>
      <c r="T6" s="8"/>
      <c r="U6" s="8"/>
      <c r="V6" s="8"/>
      <c r="W6" s="8"/>
      <c r="X6" s="8"/>
      <c r="Y6" s="42"/>
      <c r="Z6" s="42"/>
      <c r="AA6" s="42"/>
      <c r="AB6" s="42"/>
      <c r="AC6" s="42"/>
      <c r="AD6" s="42"/>
      <c r="AE6" s="42"/>
    </row>
    <row r="7" spans="1:44" s="41" customFormat="1" ht="13.5" customHeight="1" x14ac:dyDescent="0.25">
      <c r="A7" s="460"/>
      <c r="B7" s="9" t="str">
        <f>УП!D22</f>
        <v>Общеуниверситетский модуль</v>
      </c>
      <c r="C7" s="10"/>
      <c r="D7" s="11"/>
      <c r="E7" s="11"/>
      <c r="F7" s="11"/>
      <c r="G7" s="11"/>
      <c r="H7" s="11"/>
      <c r="I7" s="11"/>
      <c r="J7" s="11"/>
      <c r="K7" s="11"/>
      <c r="L7" s="11"/>
      <c r="M7" s="11"/>
      <c r="N7" s="11"/>
      <c r="O7" s="11"/>
      <c r="P7" s="11"/>
      <c r="Q7" s="11"/>
      <c r="R7" s="11"/>
      <c r="S7" s="11"/>
      <c r="T7" s="11"/>
      <c r="U7" s="11"/>
      <c r="V7" s="11"/>
      <c r="W7" s="11"/>
      <c r="X7" s="11"/>
      <c r="Y7" s="43"/>
      <c r="Z7" s="43"/>
      <c r="AA7" s="43"/>
      <c r="AB7" s="43"/>
      <c r="AC7" s="43"/>
      <c r="AD7" s="43"/>
      <c r="AE7" s="43"/>
    </row>
    <row r="8" spans="1:44" s="41" customFormat="1" x14ac:dyDescent="0.25">
      <c r="A8" s="461"/>
      <c r="B8" s="12" t="str">
        <f>УП!D23</f>
        <v>Универсальный модуль</v>
      </c>
      <c r="C8" s="3"/>
      <c r="D8" s="4"/>
      <c r="E8" s="4"/>
      <c r="F8" s="4"/>
      <c r="G8" s="4"/>
      <c r="H8" s="4"/>
      <c r="I8" s="4"/>
      <c r="J8" s="4"/>
      <c r="K8" s="4"/>
      <c r="L8" s="4"/>
      <c r="M8" s="4"/>
      <c r="N8" s="15"/>
      <c r="O8" s="15"/>
      <c r="P8" s="15"/>
      <c r="Q8" s="15"/>
      <c r="R8" s="15"/>
      <c r="S8" s="15"/>
      <c r="T8" s="15"/>
      <c r="U8" s="15"/>
      <c r="V8" s="15"/>
      <c r="W8" s="15"/>
      <c r="X8" s="15"/>
      <c r="Y8" s="44"/>
      <c r="Z8" s="44"/>
      <c r="AA8" s="44"/>
      <c r="AB8" s="44"/>
      <c r="AC8" s="44"/>
      <c r="AD8" s="44"/>
      <c r="AE8" s="44"/>
    </row>
    <row r="9" spans="1:44" s="41" customFormat="1" x14ac:dyDescent="0.25">
      <c r="A9" s="462">
        <f>УП!C25</f>
        <v>1</v>
      </c>
      <c r="B9" s="16" t="str">
        <f>УП!D24</f>
        <v>История (история России, всемирная история)</v>
      </c>
      <c r="C9" s="3"/>
      <c r="D9" s="4"/>
      <c r="E9" s="4"/>
      <c r="F9" s="4"/>
      <c r="G9" s="4"/>
      <c r="H9" s="4"/>
      <c r="I9" s="4"/>
      <c r="J9" s="4"/>
      <c r="K9" s="4"/>
      <c r="L9" s="4"/>
      <c r="M9" s="4"/>
      <c r="N9" s="15"/>
      <c r="O9" s="15"/>
      <c r="P9" s="15"/>
      <c r="Q9" s="15"/>
      <c r="R9" s="15"/>
      <c r="S9" s="15"/>
      <c r="T9" s="15"/>
      <c r="U9" s="15"/>
      <c r="V9" s="15"/>
      <c r="W9" s="15"/>
      <c r="X9" s="15"/>
      <c r="Y9" s="44"/>
      <c r="Z9" s="44"/>
      <c r="AA9" s="44"/>
      <c r="AB9" s="44"/>
      <c r="AC9" s="44"/>
      <c r="AD9" s="44"/>
      <c r="AE9" s="44"/>
    </row>
    <row r="10" spans="1:44" s="41" customFormat="1" ht="31.5" x14ac:dyDescent="0.25">
      <c r="A10" s="461"/>
      <c r="B10" s="17" t="str">
        <f>УП!D25</f>
        <v>История (История становления Российской государственности)</v>
      </c>
      <c r="C10" s="3"/>
      <c r="D10" s="4" t="s">
        <v>180</v>
      </c>
      <c r="E10" s="4" t="s">
        <v>180</v>
      </c>
      <c r="F10" s="4"/>
      <c r="G10" s="4"/>
      <c r="H10" s="4"/>
      <c r="I10" s="4"/>
      <c r="J10" s="4"/>
      <c r="K10" s="4"/>
      <c r="L10" s="4"/>
      <c r="M10" s="4"/>
      <c r="N10" s="15"/>
      <c r="O10" s="15"/>
      <c r="P10" s="15"/>
      <c r="Q10" s="15"/>
      <c r="R10" s="15"/>
      <c r="S10" s="15"/>
      <c r="T10" s="15"/>
      <c r="U10" s="15"/>
      <c r="V10" s="15"/>
      <c r="W10" s="15"/>
      <c r="X10" s="15"/>
      <c r="Y10" s="44"/>
      <c r="Z10" s="44"/>
      <c r="AA10" s="44"/>
      <c r="AB10" s="44"/>
      <c r="AC10" s="44"/>
      <c r="AD10" s="44"/>
      <c r="AE10" s="44"/>
    </row>
    <row r="11" spans="1:44" s="41" customFormat="1" x14ac:dyDescent="0.25">
      <c r="A11" s="461"/>
      <c r="B11" s="17" t="str">
        <f>УП!D26</f>
        <v>История (Проблемы истории Европы ХХ века)</v>
      </c>
      <c r="C11" s="3"/>
      <c r="D11" s="4" t="s">
        <v>180</v>
      </c>
      <c r="E11" s="4" t="s">
        <v>180</v>
      </c>
      <c r="F11" s="4"/>
      <c r="G11" s="4"/>
      <c r="H11" s="4"/>
      <c r="I11" s="4"/>
      <c r="J11" s="4"/>
      <c r="K11" s="4"/>
      <c r="L11" s="4"/>
      <c r="M11" s="4"/>
      <c r="N11" s="15"/>
      <c r="O11" s="15"/>
      <c r="P11" s="15"/>
      <c r="Q11" s="15"/>
      <c r="R11" s="15"/>
      <c r="S11" s="15"/>
      <c r="T11" s="15"/>
      <c r="U11" s="15"/>
      <c r="V11" s="15"/>
      <c r="W11" s="15"/>
      <c r="X11" s="15"/>
      <c r="Y11" s="44"/>
      <c r="Z11" s="44"/>
      <c r="AA11" s="44"/>
      <c r="AB11" s="44"/>
      <c r="AC11" s="44"/>
      <c r="AD11" s="44"/>
      <c r="AE11" s="44"/>
    </row>
    <row r="12" spans="1:44" s="41" customFormat="1" ht="31.5" x14ac:dyDescent="0.25">
      <c r="A12" s="461"/>
      <c r="B12" s="17" t="str">
        <f>УП!D27</f>
        <v>История (Наука и техника в истории цивилизации)</v>
      </c>
      <c r="C12" s="3"/>
      <c r="D12" s="4" t="s">
        <v>180</v>
      </c>
      <c r="E12" s="4" t="s">
        <v>180</v>
      </c>
      <c r="F12" s="4"/>
      <c r="G12" s="4"/>
      <c r="H12" s="4"/>
      <c r="I12" s="4"/>
      <c r="J12" s="4"/>
      <c r="K12" s="4"/>
      <c r="L12" s="4"/>
      <c r="M12" s="4"/>
      <c r="N12" s="15"/>
      <c r="O12" s="15"/>
      <c r="P12" s="15"/>
      <c r="Q12" s="15"/>
      <c r="R12" s="15"/>
      <c r="S12" s="15"/>
      <c r="T12" s="15"/>
      <c r="U12" s="15"/>
      <c r="V12" s="15"/>
      <c r="W12" s="15"/>
      <c r="X12" s="15"/>
      <c r="Y12" s="44"/>
      <c r="Z12" s="44"/>
      <c r="AA12" s="44"/>
      <c r="AB12" s="44"/>
      <c r="AC12" s="44"/>
      <c r="AD12" s="44"/>
      <c r="AE12" s="44"/>
    </row>
    <row r="13" spans="1:44" s="41" customFormat="1" ht="31.5" x14ac:dyDescent="0.25">
      <c r="A13" s="461"/>
      <c r="B13" s="17" t="str">
        <f>УП!D28</f>
        <v>История (История западноевропейской и русской культуры)</v>
      </c>
      <c r="C13" s="3"/>
      <c r="D13" s="4" t="s">
        <v>180</v>
      </c>
      <c r="E13" s="4" t="s">
        <v>180</v>
      </c>
      <c r="F13" s="4"/>
      <c r="G13" s="4"/>
      <c r="H13" s="4"/>
      <c r="I13" s="4"/>
      <c r="J13" s="4"/>
      <c r="K13" s="4"/>
      <c r="L13" s="4"/>
      <c r="M13" s="4"/>
      <c r="N13" s="15"/>
      <c r="O13" s="15"/>
      <c r="P13" s="15"/>
      <c r="Q13" s="15"/>
      <c r="R13" s="15"/>
      <c r="S13" s="15"/>
      <c r="T13" s="15"/>
      <c r="U13" s="15"/>
      <c r="V13" s="15"/>
      <c r="W13" s="15"/>
      <c r="X13" s="15"/>
      <c r="Y13" s="44"/>
      <c r="Z13" s="44"/>
      <c r="AA13" s="44"/>
      <c r="AB13" s="44"/>
      <c r="AC13" s="44"/>
      <c r="AD13" s="44"/>
      <c r="AE13" s="44"/>
    </row>
    <row r="14" spans="1:44" s="41" customFormat="1" ht="31.5" x14ac:dyDescent="0.25">
      <c r="A14" s="461"/>
      <c r="B14" s="17" t="str">
        <f>УП!D29</f>
        <v>История (Реформы и реформаторы в истории России)</v>
      </c>
      <c r="C14" s="3"/>
      <c r="D14" s="4" t="s">
        <v>180</v>
      </c>
      <c r="E14" s="4" t="s">
        <v>180</v>
      </c>
      <c r="F14" s="4"/>
      <c r="G14" s="4"/>
      <c r="H14" s="4"/>
      <c r="I14" s="4"/>
      <c r="J14" s="4"/>
      <c r="K14" s="4"/>
      <c r="L14" s="4"/>
      <c r="M14" s="4"/>
      <c r="N14" s="15"/>
      <c r="O14" s="15"/>
      <c r="P14" s="15"/>
      <c r="Q14" s="15"/>
      <c r="R14" s="15"/>
      <c r="S14" s="15"/>
      <c r="T14" s="15"/>
      <c r="U14" s="15"/>
      <c r="V14" s="15"/>
      <c r="W14" s="15"/>
      <c r="X14" s="15"/>
      <c r="Y14" s="44"/>
      <c r="Z14" s="44"/>
      <c r="AA14" s="44"/>
      <c r="AB14" s="44"/>
      <c r="AC14" s="44"/>
      <c r="AD14" s="44"/>
      <c r="AE14" s="44"/>
    </row>
    <row r="15" spans="1:44" s="41" customFormat="1" ht="31.5" x14ac:dyDescent="0.25">
      <c r="A15" s="461"/>
      <c r="B15" s="17" t="str">
        <f>УП!D30</f>
        <v>История (Россия в истории современных международных отношений)</v>
      </c>
      <c r="C15" s="3"/>
      <c r="D15" s="4" t="s">
        <v>180</v>
      </c>
      <c r="E15" s="4" t="s">
        <v>180</v>
      </c>
      <c r="F15" s="4"/>
      <c r="G15" s="4"/>
      <c r="H15" s="4"/>
      <c r="I15" s="4"/>
      <c r="J15" s="4"/>
      <c r="K15" s="4"/>
      <c r="L15" s="4"/>
      <c r="M15" s="4"/>
      <c r="N15" s="15"/>
      <c r="O15" s="15"/>
      <c r="P15" s="15"/>
      <c r="Q15" s="15"/>
      <c r="R15" s="15"/>
      <c r="S15" s="15"/>
      <c r="T15" s="15"/>
      <c r="U15" s="15"/>
      <c r="V15" s="15"/>
      <c r="W15" s="15"/>
      <c r="X15" s="15"/>
      <c r="Y15" s="44"/>
      <c r="Z15" s="44"/>
      <c r="AA15" s="44"/>
      <c r="AB15" s="44"/>
      <c r="AC15" s="44"/>
      <c r="AD15" s="44"/>
      <c r="AE15" s="44"/>
    </row>
    <row r="16" spans="1:44" s="41" customFormat="1" ht="31.5" x14ac:dyDescent="0.25">
      <c r="A16" s="461">
        <f>УП!C31</f>
        <v>2</v>
      </c>
      <c r="B16" s="17" t="str">
        <f>УП!D31</f>
        <v>Безопасность жизнедеятельности (смешанное обучение)</v>
      </c>
      <c r="C16" s="3"/>
      <c r="D16" s="4"/>
      <c r="E16" s="4"/>
      <c r="F16" s="4"/>
      <c r="G16" s="4"/>
      <c r="H16" s="4" t="s">
        <v>180</v>
      </c>
      <c r="I16" s="4"/>
      <c r="J16" s="4"/>
      <c r="K16" s="4"/>
      <c r="L16" s="4"/>
      <c r="M16" s="4"/>
      <c r="N16" s="15"/>
      <c r="O16" s="15"/>
      <c r="P16" s="15"/>
      <c r="Q16" s="15"/>
      <c r="R16" s="15"/>
      <c r="S16" s="15"/>
      <c r="T16" s="15"/>
      <c r="U16" s="15"/>
      <c r="V16" s="15"/>
      <c r="W16" s="15"/>
      <c r="X16" s="15"/>
      <c r="Y16" s="44"/>
      <c r="Z16" s="44"/>
      <c r="AA16" s="44"/>
      <c r="AB16" s="44"/>
      <c r="AC16" s="44"/>
      <c r="AD16" s="44"/>
      <c r="AE16" s="44"/>
    </row>
    <row r="17" spans="1:31" s="41" customFormat="1" x14ac:dyDescent="0.25">
      <c r="A17" s="461">
        <f>УП!C32</f>
        <v>3</v>
      </c>
      <c r="B17" s="17" t="str">
        <f>УП!D32</f>
        <v>Физическая культура</v>
      </c>
      <c r="C17" s="3"/>
      <c r="D17" s="4"/>
      <c r="E17" s="4"/>
      <c r="F17" s="4"/>
      <c r="G17" s="4"/>
      <c r="H17" s="4"/>
      <c r="I17" s="4"/>
      <c r="J17" s="4"/>
      <c r="K17" s="4"/>
      <c r="L17" s="4"/>
      <c r="M17" s="4" t="s">
        <v>180</v>
      </c>
      <c r="N17" s="4"/>
      <c r="O17" s="4"/>
      <c r="P17" s="4"/>
      <c r="Q17" s="4"/>
      <c r="R17" s="4"/>
      <c r="S17" s="15"/>
      <c r="T17" s="15"/>
      <c r="U17" s="15"/>
      <c r="V17" s="15"/>
      <c r="W17" s="15"/>
      <c r="X17" s="15"/>
      <c r="Y17" s="44"/>
      <c r="Z17" s="44"/>
      <c r="AA17" s="44"/>
      <c r="AB17" s="44"/>
      <c r="AC17" s="44"/>
      <c r="AD17" s="44"/>
      <c r="AE17" s="44"/>
    </row>
    <row r="18" spans="1:31" s="41" customFormat="1" ht="31.5" x14ac:dyDescent="0.25">
      <c r="A18" s="461"/>
      <c r="B18" s="12" t="str">
        <f>УП!D33</f>
        <v>Университетский фундаментальный модуль</v>
      </c>
      <c r="C18" s="3"/>
      <c r="D18" s="4"/>
      <c r="E18" s="4"/>
      <c r="F18" s="4"/>
      <c r="G18" s="4"/>
      <c r="H18" s="4"/>
      <c r="I18" s="4"/>
      <c r="J18" s="4"/>
      <c r="K18" s="4"/>
      <c r="L18" s="4"/>
      <c r="M18" s="4"/>
      <c r="N18" s="4"/>
      <c r="O18" s="4"/>
      <c r="P18" s="4"/>
      <c r="Q18" s="4"/>
      <c r="R18" s="4"/>
      <c r="S18" s="15"/>
      <c r="T18" s="15"/>
      <c r="U18" s="15"/>
      <c r="V18" s="15"/>
      <c r="W18" s="15"/>
      <c r="X18" s="15"/>
      <c r="Y18" s="44"/>
      <c r="Z18" s="44"/>
      <c r="AA18" s="44"/>
      <c r="AB18" s="44"/>
      <c r="AC18" s="44"/>
      <c r="AD18" s="44"/>
      <c r="AE18" s="44"/>
    </row>
    <row r="19" spans="1:31" s="41" customFormat="1" x14ac:dyDescent="0.25">
      <c r="A19" s="461"/>
      <c r="B19" s="12" t="str">
        <f>УП!D34</f>
        <v>·         Модуль «Философия+Мышление»</v>
      </c>
      <c r="C19" s="3"/>
      <c r="D19" s="4"/>
      <c r="E19" s="4"/>
      <c r="F19" s="4"/>
      <c r="G19" s="4"/>
      <c r="H19" s="4"/>
      <c r="I19" s="4"/>
      <c r="J19" s="4"/>
      <c r="K19" s="4"/>
      <c r="L19" s="4"/>
      <c r="M19" s="4"/>
      <c r="N19" s="4"/>
      <c r="O19" s="4"/>
      <c r="P19" s="4"/>
      <c r="Q19" s="4"/>
      <c r="R19" s="4"/>
      <c r="S19" s="15"/>
      <c r="T19" s="15"/>
      <c r="U19" s="15"/>
      <c r="V19" s="15"/>
      <c r="W19" s="15"/>
      <c r="X19" s="15"/>
      <c r="Y19" s="44"/>
      <c r="Z19" s="44"/>
      <c r="AA19" s="44"/>
      <c r="AB19" s="44"/>
      <c r="AC19" s="44"/>
      <c r="AD19" s="44"/>
      <c r="AE19" s="44"/>
    </row>
    <row r="20" spans="1:31" s="41" customFormat="1" x14ac:dyDescent="0.25">
      <c r="A20" s="461" t="e">
        <f>УП!#REF!</f>
        <v>#REF!</v>
      </c>
      <c r="B20" s="18" t="str">
        <f>УП!D35</f>
        <v>Философия</v>
      </c>
      <c r="C20" s="4" t="s">
        <v>180</v>
      </c>
      <c r="D20" s="4" t="s">
        <v>180</v>
      </c>
      <c r="E20" s="4"/>
      <c r="F20" s="4"/>
      <c r="G20" s="4"/>
      <c r="H20" s="4"/>
      <c r="I20" s="4"/>
      <c r="J20" s="4"/>
      <c r="K20" s="4"/>
      <c r="L20" s="4"/>
      <c r="M20" s="4"/>
      <c r="N20" s="4"/>
      <c r="O20" s="4"/>
      <c r="P20" s="4"/>
      <c r="Q20" s="4"/>
      <c r="R20" s="4"/>
      <c r="S20" s="15"/>
      <c r="T20" s="15"/>
      <c r="U20" s="15"/>
      <c r="V20" s="15"/>
      <c r="W20" s="15"/>
      <c r="X20" s="15"/>
      <c r="Y20" s="44"/>
      <c r="Z20" s="44"/>
      <c r="AA20" s="44"/>
      <c r="AB20" s="44"/>
      <c r="AC20" s="44"/>
      <c r="AD20" s="44"/>
      <c r="AE20" s="44"/>
    </row>
    <row r="21" spans="1:31" s="41" customFormat="1" x14ac:dyDescent="0.25">
      <c r="A21" s="461"/>
      <c r="B21" s="18" t="e">
        <f>УП!#REF!</f>
        <v>#REF!</v>
      </c>
      <c r="C21" s="4" t="s">
        <v>180</v>
      </c>
      <c r="D21" s="4" t="s">
        <v>180</v>
      </c>
      <c r="E21" s="4"/>
      <c r="F21" s="4"/>
      <c r="G21" s="4"/>
      <c r="H21" s="4"/>
      <c r="I21" s="4"/>
      <c r="J21" s="4"/>
      <c r="K21" s="4"/>
      <c r="L21" s="4"/>
      <c r="M21" s="4"/>
      <c r="N21" s="4"/>
      <c r="O21" s="4"/>
      <c r="P21" s="4"/>
      <c r="Q21" s="4"/>
      <c r="R21" s="4"/>
      <c r="S21" s="15"/>
      <c r="T21" s="15"/>
      <c r="U21" s="15"/>
      <c r="V21" s="15"/>
      <c r="W21" s="15"/>
      <c r="X21" s="15"/>
      <c r="Y21" s="44"/>
      <c r="Z21" s="44"/>
      <c r="AA21" s="44"/>
      <c r="AB21" s="44"/>
      <c r="AC21" s="44"/>
      <c r="AD21" s="44"/>
      <c r="AE21" s="44"/>
    </row>
    <row r="22" spans="1:31" s="41" customFormat="1" x14ac:dyDescent="0.25">
      <c r="A22" s="461"/>
      <c r="B22" s="18" t="e">
        <f>УП!#REF!</f>
        <v>#REF!</v>
      </c>
      <c r="C22" s="4" t="s">
        <v>180</v>
      </c>
      <c r="D22" s="4" t="s">
        <v>180</v>
      </c>
      <c r="E22" s="4"/>
      <c r="F22" s="4"/>
      <c r="G22" s="4"/>
      <c r="H22" s="4"/>
      <c r="I22" s="4"/>
      <c r="J22" s="4"/>
      <c r="K22" s="4"/>
      <c r="L22" s="4"/>
      <c r="M22" s="4"/>
      <c r="N22" s="4"/>
      <c r="O22" s="4"/>
      <c r="P22" s="4"/>
      <c r="Q22" s="4"/>
      <c r="R22" s="4"/>
      <c r="S22" s="15"/>
      <c r="T22" s="15"/>
      <c r="U22" s="15"/>
      <c r="V22" s="15"/>
      <c r="W22" s="15"/>
      <c r="X22" s="15"/>
      <c r="Y22" s="44"/>
      <c r="Z22" s="44"/>
      <c r="AA22" s="44"/>
      <c r="AB22" s="44"/>
      <c r="AC22" s="44"/>
      <c r="AD22" s="44"/>
      <c r="AE22" s="44"/>
    </row>
    <row r="23" spans="1:31" s="41" customFormat="1" x14ac:dyDescent="0.25">
      <c r="A23" s="461"/>
      <c r="B23" s="12" t="str">
        <f>УП!D36</f>
        <v>·         Модуль «Цифровая культура»</v>
      </c>
      <c r="C23" s="3"/>
      <c r="D23" s="4"/>
      <c r="E23" s="4"/>
      <c r="F23" s="4"/>
      <c r="G23" s="4"/>
      <c r="H23" s="4"/>
      <c r="I23" s="4"/>
      <c r="J23" s="4"/>
      <c r="K23" s="4"/>
      <c r="L23" s="4"/>
      <c r="M23" s="4"/>
      <c r="N23" s="4"/>
      <c r="O23" s="4"/>
      <c r="P23" s="4"/>
      <c r="Q23" s="4"/>
      <c r="R23" s="4"/>
      <c r="S23" s="15"/>
      <c r="T23" s="15"/>
      <c r="U23" s="15"/>
      <c r="V23" s="15"/>
      <c r="W23" s="15"/>
      <c r="X23" s="15"/>
      <c r="Y23" s="44"/>
      <c r="Z23" s="44"/>
      <c r="AA23" s="44"/>
      <c r="AB23" s="44"/>
      <c r="AC23" s="44"/>
      <c r="AD23" s="44"/>
      <c r="AE23" s="44"/>
    </row>
    <row r="24" spans="1:31" s="41" customFormat="1" ht="31.5" x14ac:dyDescent="0.25">
      <c r="A24" s="461">
        <f>УП!C37</f>
        <v>5</v>
      </c>
      <c r="B24" s="17" t="str">
        <f>УП!D37</f>
        <v>Введение в цифровую культуру и программирование (онлайн-курс)</v>
      </c>
      <c r="C24" s="3"/>
      <c r="D24" s="4"/>
      <c r="E24" s="4"/>
      <c r="F24" s="4" t="s">
        <v>180</v>
      </c>
      <c r="G24" s="4"/>
      <c r="H24" s="4"/>
      <c r="I24" s="4"/>
      <c r="J24" s="4"/>
      <c r="K24" s="4"/>
      <c r="L24" s="4"/>
      <c r="M24" s="4"/>
      <c r="N24" s="4"/>
      <c r="O24" s="4"/>
      <c r="P24" s="4"/>
      <c r="Q24" s="4"/>
      <c r="R24" s="4"/>
      <c r="S24" s="15"/>
      <c r="T24" s="15"/>
      <c r="U24" s="15"/>
      <c r="V24" s="15"/>
      <c r="W24" s="15"/>
      <c r="X24" s="15"/>
      <c r="Y24" s="44"/>
      <c r="Z24" s="44"/>
      <c r="AA24" s="44"/>
      <c r="AB24" s="44"/>
      <c r="AC24" s="44"/>
      <c r="AD24" s="44"/>
      <c r="AE24" s="44"/>
    </row>
    <row r="25" spans="1:31" s="41" customFormat="1" x14ac:dyDescent="0.25">
      <c r="A25" s="461">
        <f>УП!C38</f>
        <v>6</v>
      </c>
      <c r="B25" s="17" t="str">
        <f>УП!D38</f>
        <v>Проектирование баз данных</v>
      </c>
      <c r="C25" s="3"/>
      <c r="D25" s="4"/>
      <c r="E25" s="4"/>
      <c r="F25" s="4" t="s">
        <v>180</v>
      </c>
      <c r="G25" s="4"/>
      <c r="H25" s="4"/>
      <c r="I25" s="4"/>
      <c r="J25" s="4"/>
      <c r="K25" s="4"/>
      <c r="L25" s="4"/>
      <c r="M25" s="4"/>
      <c r="N25" s="4"/>
      <c r="O25" s="4"/>
      <c r="P25" s="4"/>
      <c r="Q25" s="4"/>
      <c r="R25" s="4"/>
      <c r="S25" s="15"/>
      <c r="T25" s="15"/>
      <c r="U25" s="15"/>
      <c r="V25" s="15"/>
      <c r="W25" s="15"/>
      <c r="X25" s="15"/>
      <c r="Y25" s="44"/>
      <c r="Z25" s="44"/>
      <c r="AA25" s="44"/>
      <c r="AB25" s="44"/>
      <c r="AC25" s="44"/>
      <c r="AD25" s="44"/>
      <c r="AE25" s="44"/>
    </row>
    <row r="26" spans="1:31" s="41" customFormat="1" x14ac:dyDescent="0.25">
      <c r="A26" s="461">
        <f>УП!C39</f>
        <v>7</v>
      </c>
      <c r="B26" s="17" t="str">
        <f>УП!D39</f>
        <v>Математическая статистика</v>
      </c>
      <c r="C26" s="3"/>
      <c r="D26" s="4"/>
      <c r="E26" s="4"/>
      <c r="F26" s="4" t="s">
        <v>180</v>
      </c>
      <c r="G26" s="4"/>
      <c r="H26" s="4"/>
      <c r="I26" s="4"/>
      <c r="J26" s="4"/>
      <c r="K26" s="4"/>
      <c r="L26" s="4"/>
      <c r="M26" s="4"/>
      <c r="N26" s="4"/>
      <c r="O26" s="4"/>
      <c r="P26" s="4"/>
      <c r="Q26" s="4"/>
      <c r="R26" s="4"/>
      <c r="S26" s="15"/>
      <c r="T26" s="15"/>
      <c r="U26" s="15"/>
      <c r="V26" s="15"/>
      <c r="W26" s="15"/>
      <c r="X26" s="15"/>
      <c r="Y26" s="44"/>
      <c r="Z26" s="44"/>
      <c r="AA26" s="44"/>
      <c r="AB26" s="44"/>
      <c r="AC26" s="44"/>
      <c r="AD26" s="44"/>
      <c r="AE26" s="44"/>
    </row>
    <row r="27" spans="1:31" s="41" customFormat="1" x14ac:dyDescent="0.25">
      <c r="A27" s="461">
        <f>УП!C40</f>
        <v>8</v>
      </c>
      <c r="B27" s="17" t="str">
        <f>УП!D40</f>
        <v>Машинное обучение</v>
      </c>
      <c r="C27" s="3"/>
      <c r="D27" s="4"/>
      <c r="E27" s="4"/>
      <c r="F27" s="4" t="s">
        <v>180</v>
      </c>
      <c r="G27" s="4"/>
      <c r="H27" s="4"/>
      <c r="I27" s="4"/>
      <c r="J27" s="4"/>
      <c r="K27" s="4"/>
      <c r="L27" s="4"/>
      <c r="M27" s="4"/>
      <c r="N27" s="4"/>
      <c r="O27" s="4"/>
      <c r="P27" s="4"/>
      <c r="Q27" s="4"/>
      <c r="R27" s="4"/>
      <c r="S27" s="15"/>
      <c r="T27" s="15"/>
      <c r="U27" s="15"/>
      <c r="V27" s="15"/>
      <c r="W27" s="15"/>
      <c r="X27" s="15"/>
      <c r="Y27" s="44"/>
      <c r="Z27" s="44"/>
      <c r="AA27" s="44"/>
      <c r="AB27" s="44"/>
      <c r="AC27" s="44"/>
      <c r="AD27" s="44"/>
      <c r="AE27" s="44"/>
    </row>
    <row r="28" spans="1:31" s="41" customFormat="1" x14ac:dyDescent="0.25">
      <c r="A28" s="461">
        <f>УП!C41</f>
        <v>9</v>
      </c>
      <c r="B28" s="17" t="str">
        <f>УП!D41</f>
        <v>Современные вопросы информатики</v>
      </c>
      <c r="C28" s="3"/>
      <c r="D28" s="4"/>
      <c r="E28" s="4"/>
      <c r="F28" s="4" t="s">
        <v>180</v>
      </c>
      <c r="G28" s="4"/>
      <c r="H28" s="4"/>
      <c r="I28" s="4"/>
      <c r="J28" s="4"/>
      <c r="K28" s="4"/>
      <c r="L28" s="4"/>
      <c r="M28" s="4"/>
      <c r="N28" s="4"/>
      <c r="O28" s="4"/>
      <c r="P28" s="4"/>
      <c r="Q28" s="4"/>
      <c r="R28" s="4"/>
      <c r="S28" s="15"/>
      <c r="T28" s="15"/>
      <c r="U28" s="15"/>
      <c r="V28" s="15"/>
      <c r="W28" s="15"/>
      <c r="X28" s="15"/>
      <c r="Y28" s="44"/>
      <c r="Z28" s="44"/>
      <c r="AA28" s="44"/>
      <c r="AB28" s="44"/>
      <c r="AC28" s="44"/>
      <c r="AD28" s="44"/>
      <c r="AE28" s="44"/>
    </row>
    <row r="29" spans="1:31" s="41" customFormat="1" x14ac:dyDescent="0.25">
      <c r="A29" s="461">
        <f>УП!C42</f>
        <v>10</v>
      </c>
      <c r="B29" s="17" t="str">
        <f>УП!D42</f>
        <v>Анализ данных и информационный поиск</v>
      </c>
      <c r="C29" s="3"/>
      <c r="D29" s="4"/>
      <c r="E29" s="4"/>
      <c r="F29" s="4" t="s">
        <v>180</v>
      </c>
      <c r="G29" s="4"/>
      <c r="H29" s="4"/>
      <c r="I29" s="4"/>
      <c r="J29" s="4"/>
      <c r="K29" s="4"/>
      <c r="L29" s="4"/>
      <c r="M29" s="4"/>
      <c r="N29" s="4"/>
      <c r="O29" s="4"/>
      <c r="P29" s="4"/>
      <c r="Q29" s="4"/>
      <c r="R29" s="4"/>
      <c r="S29" s="15"/>
      <c r="T29" s="15"/>
      <c r="U29" s="15"/>
      <c r="V29" s="15"/>
      <c r="W29" s="15"/>
      <c r="X29" s="15"/>
      <c r="Y29" s="44"/>
      <c r="Z29" s="44"/>
      <c r="AA29" s="44"/>
      <c r="AB29" s="44"/>
      <c r="AC29" s="44"/>
      <c r="AD29" s="44"/>
      <c r="AE29" s="44"/>
    </row>
    <row r="30" spans="1:31" s="41" customFormat="1" ht="31.5" x14ac:dyDescent="0.25">
      <c r="A30" s="461"/>
      <c r="B30" s="12" t="str">
        <f>УП!D43</f>
        <v>·         Модуль «Предпринимательская культура»</v>
      </c>
      <c r="C30" s="3"/>
      <c r="D30" s="4"/>
      <c r="E30" s="4"/>
      <c r="F30" s="4"/>
      <c r="G30" s="4"/>
      <c r="H30" s="4"/>
      <c r="I30" s="4"/>
      <c r="J30" s="4"/>
      <c r="K30" s="4"/>
      <c r="L30" s="4"/>
      <c r="M30" s="4"/>
      <c r="N30" s="4"/>
      <c r="O30" s="4"/>
      <c r="P30" s="4"/>
      <c r="Q30" s="4"/>
      <c r="R30" s="4"/>
      <c r="S30" s="15"/>
      <c r="T30" s="15"/>
      <c r="U30" s="15"/>
      <c r="V30" s="15"/>
      <c r="W30" s="15"/>
      <c r="X30" s="15"/>
      <c r="Y30" s="44"/>
      <c r="Z30" s="44"/>
      <c r="AA30" s="44"/>
      <c r="AB30" s="44"/>
      <c r="AC30" s="44"/>
      <c r="AD30" s="44"/>
      <c r="AE30" s="44"/>
    </row>
    <row r="31" spans="1:31" s="41" customFormat="1" ht="31.5" x14ac:dyDescent="0.25">
      <c r="A31" s="461">
        <f>УП!C44</f>
        <v>11</v>
      </c>
      <c r="B31" s="17" t="str">
        <f>УП!D44</f>
        <v>Бизнес-модели основных секторов инновационной экономики</v>
      </c>
      <c r="C31" s="3"/>
      <c r="D31" s="4"/>
      <c r="E31" s="4"/>
      <c r="F31" s="4"/>
      <c r="G31" s="4" t="s">
        <v>180</v>
      </c>
      <c r="H31" s="4"/>
      <c r="I31" s="4"/>
      <c r="J31" s="4" t="s">
        <v>180</v>
      </c>
      <c r="K31" s="4"/>
      <c r="L31" s="4"/>
      <c r="M31" s="4"/>
      <c r="N31" s="4"/>
      <c r="O31" s="4"/>
      <c r="P31" s="4"/>
      <c r="Q31" s="4"/>
      <c r="R31" s="4"/>
      <c r="S31" s="15"/>
      <c r="T31" s="15"/>
      <c r="U31" s="15"/>
      <c r="V31" s="15"/>
      <c r="W31" s="15"/>
      <c r="X31" s="15"/>
      <c r="Y31" s="44"/>
      <c r="Z31" s="44"/>
      <c r="AA31" s="44"/>
      <c r="AB31" s="44"/>
      <c r="AC31" s="44"/>
      <c r="AD31" s="44"/>
      <c r="AE31" s="44"/>
    </row>
    <row r="32" spans="1:31" s="41" customFormat="1" ht="31.5" x14ac:dyDescent="0.25">
      <c r="A32" s="461"/>
      <c r="B32" s="17" t="str">
        <f>УП!D45</f>
        <v>Инновационная экономика и технологическое предпринимательство</v>
      </c>
      <c r="C32" s="3"/>
      <c r="D32" s="4"/>
      <c r="E32" s="4"/>
      <c r="F32" s="4"/>
      <c r="G32" s="4" t="s">
        <v>180</v>
      </c>
      <c r="H32" s="4"/>
      <c r="I32" s="4"/>
      <c r="J32" s="4"/>
      <c r="K32" s="4"/>
      <c r="L32" s="4"/>
      <c r="M32" s="4"/>
      <c r="N32" s="4"/>
      <c r="O32" s="4"/>
      <c r="P32" s="4"/>
      <c r="Q32" s="4"/>
      <c r="R32" s="4"/>
      <c r="S32" s="15"/>
      <c r="T32" s="15"/>
      <c r="U32" s="15"/>
      <c r="V32" s="15"/>
      <c r="W32" s="15"/>
      <c r="X32" s="15"/>
      <c r="Y32" s="44"/>
      <c r="Z32" s="44"/>
      <c r="AA32" s="44"/>
      <c r="AB32" s="44"/>
      <c r="AC32" s="44"/>
      <c r="AD32" s="44"/>
      <c r="AE32" s="44"/>
    </row>
    <row r="33" spans="1:31" s="41" customFormat="1" x14ac:dyDescent="0.25">
      <c r="A33" s="461"/>
      <c r="B33" s="12" t="str">
        <f>УП!D46</f>
        <v>·         Модуль «Soft Skills»</v>
      </c>
      <c r="C33" s="3"/>
      <c r="D33" s="4"/>
      <c r="E33" s="4"/>
      <c r="F33" s="4"/>
      <c r="G33" s="4"/>
      <c r="H33" s="4"/>
      <c r="I33" s="4"/>
      <c r="J33" s="4"/>
      <c r="K33" s="4"/>
      <c r="L33" s="4"/>
      <c r="M33" s="4"/>
      <c r="N33" s="4"/>
      <c r="O33" s="4"/>
      <c r="P33" s="4"/>
      <c r="Q33" s="4"/>
      <c r="R33" s="4"/>
      <c r="S33" s="15"/>
      <c r="T33" s="15"/>
      <c r="U33" s="15"/>
      <c r="V33" s="15"/>
      <c r="W33" s="15"/>
      <c r="X33" s="15"/>
      <c r="Y33" s="44"/>
      <c r="Z33" s="44"/>
      <c r="AA33" s="44"/>
      <c r="AB33" s="44"/>
      <c r="AC33" s="44"/>
      <c r="AD33" s="44"/>
      <c r="AE33" s="44"/>
    </row>
    <row r="34" spans="1:31" s="41" customFormat="1" x14ac:dyDescent="0.25">
      <c r="A34" s="461">
        <f>УП!C47</f>
        <v>12</v>
      </c>
      <c r="B34" s="17" t="str">
        <f>УП!D47</f>
        <v>Иностранный язык (смешанное обучение)</v>
      </c>
      <c r="C34" s="3"/>
      <c r="D34" s="4"/>
      <c r="E34" s="4"/>
      <c r="F34" s="4"/>
      <c r="G34" s="4"/>
      <c r="H34" s="4"/>
      <c r="I34" s="4"/>
      <c r="J34" s="4"/>
      <c r="K34" s="4" t="s">
        <v>180</v>
      </c>
      <c r="L34" s="4"/>
      <c r="M34" s="4"/>
      <c r="N34" s="4"/>
      <c r="O34" s="4"/>
      <c r="P34" s="4"/>
      <c r="Q34" s="4"/>
      <c r="R34" s="4"/>
      <c r="S34" s="15"/>
      <c r="T34" s="15"/>
      <c r="U34" s="15"/>
      <c r="V34" s="15"/>
      <c r="W34" s="15"/>
      <c r="X34" s="15"/>
      <c r="Y34" s="44"/>
      <c r="Z34" s="44"/>
      <c r="AA34" s="44"/>
      <c r="AB34" s="44"/>
      <c r="AC34" s="44"/>
      <c r="AD34" s="44"/>
      <c r="AE34" s="44"/>
    </row>
    <row r="35" spans="1:31" s="41" customFormat="1" x14ac:dyDescent="0.25">
      <c r="A35" s="461">
        <f>УП!C48</f>
        <v>13</v>
      </c>
      <c r="B35" s="17" t="str">
        <f>УП!D48</f>
        <v>Коммуникации и командообразование</v>
      </c>
      <c r="C35" s="3"/>
      <c r="D35" s="4"/>
      <c r="E35" s="4"/>
      <c r="F35" s="4"/>
      <c r="G35" s="4"/>
      <c r="H35" s="4"/>
      <c r="I35" s="4"/>
      <c r="J35" s="4" t="s">
        <v>180</v>
      </c>
      <c r="K35" s="4"/>
      <c r="L35" s="4"/>
      <c r="M35" s="4"/>
      <c r="N35" s="4"/>
      <c r="O35" s="4"/>
      <c r="P35" s="4"/>
      <c r="Q35" s="4"/>
      <c r="R35" s="4"/>
      <c r="S35" s="15"/>
      <c r="T35" s="15"/>
      <c r="U35" s="15"/>
      <c r="V35" s="15"/>
      <c r="W35" s="15"/>
      <c r="X35" s="15"/>
      <c r="Y35" s="44"/>
      <c r="Z35" s="44"/>
      <c r="AA35" s="44"/>
      <c r="AB35" s="44"/>
      <c r="AC35" s="44"/>
      <c r="AD35" s="44"/>
      <c r="AE35" s="44"/>
    </row>
    <row r="36" spans="1:31" s="41" customFormat="1" ht="36" customHeight="1" x14ac:dyDescent="0.25">
      <c r="A36" s="461"/>
      <c r="B36" s="17" t="str">
        <f>УП!D49</f>
        <v>Техники публичных выступлений и презентаций</v>
      </c>
      <c r="C36" s="3"/>
      <c r="D36" s="4"/>
      <c r="E36" s="4"/>
      <c r="F36" s="4"/>
      <c r="G36" s="4"/>
      <c r="H36" s="4"/>
      <c r="I36" s="4"/>
      <c r="J36" s="4"/>
      <c r="K36" s="4" t="s">
        <v>180</v>
      </c>
      <c r="L36" s="4"/>
      <c r="M36" s="4"/>
      <c r="N36" s="4"/>
      <c r="O36" s="4"/>
      <c r="P36" s="4"/>
      <c r="Q36" s="4"/>
      <c r="R36" s="4"/>
      <c r="S36" s="15"/>
      <c r="T36" s="15"/>
      <c r="U36" s="15"/>
      <c r="V36" s="15"/>
      <c r="W36" s="15"/>
      <c r="X36" s="15"/>
      <c r="Y36" s="44"/>
      <c r="Z36" s="44"/>
      <c r="AA36" s="44"/>
      <c r="AB36" s="44"/>
      <c r="AC36" s="44"/>
      <c r="AD36" s="44"/>
      <c r="AE36" s="44"/>
    </row>
    <row r="37" spans="1:31" s="41" customFormat="1" ht="31.5" x14ac:dyDescent="0.25">
      <c r="A37" s="463"/>
      <c r="B37" s="19" t="str">
        <f>УП!D50</f>
        <v>Модуль внутривузовской академической мобильности</v>
      </c>
      <c r="C37" s="20"/>
      <c r="D37" s="21"/>
      <c r="E37" s="21"/>
      <c r="F37" s="21"/>
      <c r="G37" s="21"/>
      <c r="H37" s="21"/>
      <c r="I37" s="21"/>
      <c r="J37" s="21"/>
      <c r="K37" s="21"/>
      <c r="L37" s="21"/>
      <c r="M37" s="21"/>
      <c r="N37" s="21"/>
      <c r="O37" s="21"/>
      <c r="P37" s="21"/>
      <c r="Q37" s="21"/>
      <c r="R37" s="21"/>
      <c r="S37" s="15"/>
      <c r="T37" s="15"/>
      <c r="U37" s="15"/>
      <c r="V37" s="15"/>
      <c r="W37" s="15"/>
      <c r="X37" s="15"/>
      <c r="Y37" s="44"/>
      <c r="Z37" s="44"/>
      <c r="AA37" s="44"/>
      <c r="AB37" s="44"/>
      <c r="AC37" s="44"/>
      <c r="AD37" s="44"/>
      <c r="AE37" s="44"/>
    </row>
    <row r="38" spans="1:31" s="41" customFormat="1" ht="31.5" x14ac:dyDescent="0.25">
      <c r="A38" s="464"/>
      <c r="B38" s="59" t="str">
        <f>УП!D51</f>
        <v>ОГНП 1: Биотехнологии и низкотемпературные системы</v>
      </c>
      <c r="C38" s="60"/>
      <c r="D38" s="61"/>
      <c r="E38" s="61"/>
      <c r="F38" s="61"/>
      <c r="G38" s="61"/>
      <c r="H38" s="61"/>
      <c r="I38" s="61"/>
      <c r="J38" s="61"/>
      <c r="K38" s="61"/>
      <c r="L38" s="61"/>
      <c r="M38" s="61"/>
      <c r="N38" s="61"/>
      <c r="O38" s="61"/>
      <c r="P38" s="61"/>
      <c r="Q38" s="61"/>
      <c r="R38" s="61"/>
      <c r="S38" s="61"/>
      <c r="T38" s="61"/>
      <c r="U38" s="61"/>
      <c r="V38" s="61"/>
      <c r="W38" s="61"/>
      <c r="X38" s="61"/>
      <c r="Y38" s="62"/>
      <c r="Z38" s="62"/>
      <c r="AA38" s="62"/>
      <c r="AB38" s="62"/>
      <c r="AC38" s="62"/>
      <c r="AD38" s="62"/>
      <c r="AE38" s="62"/>
    </row>
    <row r="39" spans="1:31" s="41" customFormat="1" x14ac:dyDescent="0.25">
      <c r="A39" s="473">
        <f>УП!C52</f>
        <v>14</v>
      </c>
      <c r="B39" s="22" t="str">
        <f>УП!D52</f>
        <v>Дисциплина 1: Наука о жизни</v>
      </c>
      <c r="C39" s="3"/>
      <c r="D39" s="4"/>
      <c r="E39" s="4"/>
      <c r="F39" s="4"/>
      <c r="G39" s="4"/>
      <c r="H39" s="4"/>
      <c r="I39" s="4"/>
      <c r="J39" s="4"/>
      <c r="K39" s="4"/>
      <c r="L39" s="4"/>
      <c r="M39" s="4"/>
      <c r="N39" s="4"/>
      <c r="O39" s="4"/>
      <c r="P39" s="4"/>
      <c r="Q39" s="4"/>
      <c r="R39" s="4"/>
      <c r="S39" s="15"/>
      <c r="T39" s="15"/>
      <c r="U39" s="15"/>
      <c r="V39" s="15"/>
      <c r="W39" s="15"/>
      <c r="X39" s="15"/>
      <c r="Y39" s="44"/>
      <c r="Z39" s="44"/>
      <c r="AA39" s="44"/>
      <c r="AB39" s="44"/>
      <c r="AC39" s="44"/>
      <c r="AD39" s="44"/>
      <c r="AE39" s="44"/>
    </row>
    <row r="40" spans="1:31" s="41" customFormat="1" ht="31.5" x14ac:dyDescent="0.25">
      <c r="A40" s="473">
        <f>УП!C53</f>
        <v>15</v>
      </c>
      <c r="B40" s="22" t="str">
        <f>УП!D53</f>
        <v>Дисциплина 2: Техника и физика низких температур</v>
      </c>
      <c r="C40" s="3"/>
      <c r="D40" s="4"/>
      <c r="E40" s="4"/>
      <c r="F40" s="4"/>
      <c r="G40" s="4"/>
      <c r="H40" s="4"/>
      <c r="I40" s="4"/>
      <c r="J40" s="4"/>
      <c r="K40" s="4"/>
      <c r="L40" s="4"/>
      <c r="M40" s="4"/>
      <c r="N40" s="4"/>
      <c r="O40" s="4"/>
      <c r="P40" s="4"/>
      <c r="Q40" s="4"/>
      <c r="R40" s="4"/>
      <c r="S40" s="15"/>
      <c r="T40" s="15"/>
      <c r="U40" s="15"/>
      <c r="V40" s="15"/>
      <c r="W40" s="15"/>
      <c r="X40" s="15"/>
      <c r="Y40" s="44"/>
      <c r="Z40" s="44"/>
      <c r="AA40" s="44"/>
      <c r="AB40" s="44"/>
      <c r="AC40" s="44"/>
      <c r="AD40" s="44"/>
      <c r="AE40" s="44"/>
    </row>
    <row r="41" spans="1:31" s="41" customFormat="1" ht="31.5" x14ac:dyDescent="0.25">
      <c r="A41" s="464"/>
      <c r="B41" s="59" t="str">
        <f>УП!D54</f>
        <v>ОГНП 2: Киберфизические системы и технологи</v>
      </c>
      <c r="C41" s="60"/>
      <c r="D41" s="61"/>
      <c r="E41" s="61"/>
      <c r="F41" s="61"/>
      <c r="G41" s="61"/>
      <c r="H41" s="61"/>
      <c r="I41" s="61"/>
      <c r="J41" s="61"/>
      <c r="K41" s="61"/>
      <c r="L41" s="61"/>
      <c r="M41" s="61"/>
      <c r="N41" s="61"/>
      <c r="O41" s="61"/>
      <c r="P41" s="61"/>
      <c r="Q41" s="61"/>
      <c r="R41" s="61"/>
      <c r="S41" s="61"/>
      <c r="T41" s="61"/>
      <c r="U41" s="61"/>
      <c r="V41" s="61"/>
      <c r="W41" s="61"/>
      <c r="X41" s="61"/>
      <c r="Y41" s="62"/>
      <c r="Z41" s="62"/>
      <c r="AA41" s="62"/>
      <c r="AB41" s="62"/>
      <c r="AC41" s="62"/>
      <c r="AD41" s="62"/>
      <c r="AE41" s="62"/>
    </row>
    <row r="42" spans="1:31" s="41" customFormat="1" ht="31.5" x14ac:dyDescent="0.25">
      <c r="A42" s="473">
        <f>УП!C55</f>
        <v>14</v>
      </c>
      <c r="B42" s="22" t="str">
        <f>УП!D55</f>
        <v>Дисциплина 1: Теория автоматического управления</v>
      </c>
      <c r="C42" s="3"/>
      <c r="D42" s="4"/>
      <c r="E42" s="4"/>
      <c r="F42" s="4"/>
      <c r="G42" s="4"/>
      <c r="H42" s="4"/>
      <c r="I42" s="4"/>
      <c r="J42" s="4"/>
      <c r="K42" s="4"/>
      <c r="L42" s="4"/>
      <c r="M42" s="4"/>
      <c r="N42" s="4"/>
      <c r="O42" s="4"/>
      <c r="P42" s="4"/>
      <c r="Q42" s="4"/>
      <c r="R42" s="4"/>
      <c r="S42" s="15"/>
      <c r="T42" s="15"/>
      <c r="U42" s="15"/>
      <c r="V42" s="15"/>
      <c r="W42" s="15"/>
      <c r="X42" s="15"/>
      <c r="Y42" s="44"/>
      <c r="Z42" s="44"/>
      <c r="AA42" s="44"/>
      <c r="AB42" s="44"/>
      <c r="AC42" s="44"/>
      <c r="AD42" s="44"/>
      <c r="AE42" s="44"/>
    </row>
    <row r="43" spans="1:31" s="41" customFormat="1" ht="31.5" x14ac:dyDescent="0.25">
      <c r="A43" s="473">
        <f>УП!C56</f>
        <v>15</v>
      </c>
      <c r="B43" s="22" t="str">
        <f>УП!D56</f>
        <v>Дисциплина 2: Основы проектирования киберфизических систем</v>
      </c>
      <c r="C43" s="3"/>
      <c r="D43" s="4"/>
      <c r="E43" s="4"/>
      <c r="F43" s="4"/>
      <c r="G43" s="4"/>
      <c r="H43" s="4"/>
      <c r="I43" s="4"/>
      <c r="J43" s="4"/>
      <c r="K43" s="4"/>
      <c r="L43" s="4"/>
      <c r="M43" s="4"/>
      <c r="N43" s="4"/>
      <c r="O43" s="4"/>
      <c r="P43" s="4"/>
      <c r="Q43" s="4"/>
      <c r="R43" s="4"/>
      <c r="S43" s="15"/>
      <c r="T43" s="15"/>
      <c r="U43" s="15"/>
      <c r="V43" s="15"/>
      <c r="W43" s="15"/>
      <c r="X43" s="15"/>
      <c r="Y43" s="44"/>
      <c r="Z43" s="44"/>
      <c r="AA43" s="44"/>
      <c r="AB43" s="44"/>
      <c r="AC43" s="44"/>
      <c r="AD43" s="44"/>
      <c r="AE43" s="44"/>
    </row>
    <row r="44" spans="1:31" s="41" customFormat="1" x14ac:dyDescent="0.25">
      <c r="A44" s="464"/>
      <c r="B44" s="59" t="str">
        <f>УП!D57</f>
        <v>ОГНП 3: Компьютерные технологии</v>
      </c>
      <c r="C44" s="60"/>
      <c r="D44" s="61"/>
      <c r="E44" s="61"/>
      <c r="F44" s="61"/>
      <c r="G44" s="61"/>
      <c r="H44" s="61"/>
      <c r="I44" s="61"/>
      <c r="J44" s="61"/>
      <c r="K44" s="61"/>
      <c r="L44" s="61"/>
      <c r="M44" s="61"/>
      <c r="N44" s="61"/>
      <c r="O44" s="61"/>
      <c r="P44" s="61"/>
      <c r="Q44" s="61"/>
      <c r="R44" s="61"/>
      <c r="S44" s="61"/>
      <c r="T44" s="61"/>
      <c r="U44" s="61"/>
      <c r="V44" s="61"/>
      <c r="W44" s="61"/>
      <c r="X44" s="61"/>
      <c r="Y44" s="62"/>
      <c r="Z44" s="62"/>
      <c r="AA44" s="62"/>
      <c r="AB44" s="62"/>
      <c r="AC44" s="62"/>
      <c r="AD44" s="62"/>
      <c r="AE44" s="62"/>
    </row>
    <row r="45" spans="1:31" s="41" customFormat="1" ht="31.5" x14ac:dyDescent="0.25">
      <c r="A45" s="473">
        <f>УП!C58</f>
        <v>14</v>
      </c>
      <c r="B45" s="22" t="str">
        <f>УП!D58</f>
        <v>Дисциплина 1: Методы и средства программного обеспечения</v>
      </c>
      <c r="C45" s="3"/>
      <c r="D45" s="4"/>
      <c r="E45" s="4"/>
      <c r="F45" s="4"/>
      <c r="G45" s="4"/>
      <c r="H45" s="4"/>
      <c r="I45" s="4"/>
      <c r="J45" s="4"/>
      <c r="K45" s="4"/>
      <c r="L45" s="4"/>
      <c r="M45" s="4"/>
      <c r="N45" s="4"/>
      <c r="O45" s="4"/>
      <c r="P45" s="4"/>
      <c r="Q45" s="4"/>
      <c r="R45" s="4"/>
      <c r="S45" s="15"/>
      <c r="T45" s="15"/>
      <c r="U45" s="15"/>
      <c r="V45" s="15"/>
      <c r="W45" s="15"/>
      <c r="X45" s="15"/>
      <c r="Y45" s="44"/>
      <c r="Z45" s="44"/>
      <c r="AA45" s="44"/>
      <c r="AB45" s="44"/>
      <c r="AC45" s="44"/>
      <c r="AD45" s="44"/>
      <c r="AE45" s="44"/>
    </row>
    <row r="46" spans="1:31" s="41" customFormat="1" x14ac:dyDescent="0.25">
      <c r="A46" s="473">
        <f>УП!C59</f>
        <v>15</v>
      </c>
      <c r="B46" s="22" t="str">
        <f>УП!D59</f>
        <v>Дисциплина 2: Основы кибербезопасности</v>
      </c>
      <c r="C46" s="3"/>
      <c r="D46" s="4"/>
      <c r="E46" s="4"/>
      <c r="F46" s="4"/>
      <c r="G46" s="4"/>
      <c r="H46" s="4"/>
      <c r="I46" s="4"/>
      <c r="J46" s="4"/>
      <c r="K46" s="4"/>
      <c r="L46" s="4"/>
      <c r="M46" s="4"/>
      <c r="N46" s="4"/>
      <c r="O46" s="4"/>
      <c r="P46" s="4"/>
      <c r="Q46" s="4"/>
      <c r="R46" s="4"/>
      <c r="S46" s="15"/>
      <c r="T46" s="15"/>
      <c r="U46" s="15"/>
      <c r="V46" s="15"/>
      <c r="W46" s="15"/>
      <c r="X46" s="15"/>
      <c r="Y46" s="44"/>
      <c r="Z46" s="44"/>
      <c r="AA46" s="44"/>
      <c r="AB46" s="44"/>
      <c r="AC46" s="44"/>
      <c r="AD46" s="44"/>
      <c r="AE46" s="44"/>
    </row>
    <row r="47" spans="1:31" s="41" customFormat="1" x14ac:dyDescent="0.25">
      <c r="A47" s="464"/>
      <c r="B47" s="59" t="str">
        <f>УП!D60</f>
        <v>ОГНП 4: Предпринимательство и инноватика</v>
      </c>
      <c r="C47" s="60"/>
      <c r="D47" s="61"/>
      <c r="E47" s="61"/>
      <c r="F47" s="61"/>
      <c r="G47" s="61"/>
      <c r="H47" s="61"/>
      <c r="I47" s="61"/>
      <c r="J47" s="61"/>
      <c r="K47" s="61"/>
      <c r="L47" s="61"/>
      <c r="M47" s="61"/>
      <c r="N47" s="61"/>
      <c r="O47" s="61"/>
      <c r="P47" s="61"/>
      <c r="Q47" s="61"/>
      <c r="R47" s="61"/>
      <c r="S47" s="61"/>
      <c r="T47" s="61"/>
      <c r="U47" s="61"/>
      <c r="V47" s="61"/>
      <c r="W47" s="61"/>
      <c r="X47" s="61"/>
      <c r="Y47" s="62"/>
      <c r="Z47" s="62"/>
      <c r="AA47" s="62"/>
      <c r="AB47" s="62"/>
      <c r="AC47" s="62"/>
      <c r="AD47" s="62"/>
      <c r="AE47" s="62"/>
    </row>
    <row r="48" spans="1:31" s="41" customFormat="1" ht="31.5" x14ac:dyDescent="0.25">
      <c r="A48" s="473">
        <f>УП!C61</f>
        <v>14</v>
      </c>
      <c r="B48" s="22" t="str">
        <f>УП!D61</f>
        <v>Дисциплина 1: Технологии приоритетного развития</v>
      </c>
      <c r="C48" s="3"/>
      <c r="D48" s="4"/>
      <c r="E48" s="4"/>
      <c r="F48" s="4"/>
      <c r="G48" s="4"/>
      <c r="H48" s="4"/>
      <c r="I48" s="4"/>
      <c r="J48" s="4"/>
      <c r="K48" s="4"/>
      <c r="L48" s="4"/>
      <c r="M48" s="4"/>
      <c r="N48" s="4"/>
      <c r="O48" s="4"/>
      <c r="P48" s="4"/>
      <c r="Q48" s="4"/>
      <c r="R48" s="4"/>
      <c r="S48" s="15"/>
      <c r="T48" s="15"/>
      <c r="U48" s="15"/>
      <c r="V48" s="15"/>
      <c r="W48" s="15"/>
      <c r="X48" s="15"/>
      <c r="Y48" s="44"/>
      <c r="Z48" s="44"/>
      <c r="AA48" s="44"/>
      <c r="AB48" s="44"/>
      <c r="AC48" s="44"/>
      <c r="AD48" s="44"/>
      <c r="AE48" s="44"/>
    </row>
    <row r="49" spans="1:31" s="41" customFormat="1" ht="31.5" x14ac:dyDescent="0.25">
      <c r="A49" s="473">
        <f>УП!C62</f>
        <v>15</v>
      </c>
      <c r="B49" s="22" t="str">
        <f>УП!D62</f>
        <v>Дисциплина 2: Экономика приоритетных отраслей</v>
      </c>
      <c r="C49" s="3"/>
      <c r="D49" s="4"/>
      <c r="E49" s="4"/>
      <c r="F49" s="4"/>
      <c r="G49" s="4"/>
      <c r="H49" s="4"/>
      <c r="I49" s="4"/>
      <c r="J49" s="4"/>
      <c r="K49" s="4"/>
      <c r="L49" s="4"/>
      <c r="M49" s="4"/>
      <c r="N49" s="4"/>
      <c r="O49" s="4"/>
      <c r="P49" s="4"/>
      <c r="Q49" s="4"/>
      <c r="R49" s="4"/>
      <c r="S49" s="15"/>
      <c r="T49" s="15"/>
      <c r="U49" s="15"/>
      <c r="V49" s="15"/>
      <c r="W49" s="15"/>
      <c r="X49" s="15"/>
      <c r="Y49" s="44"/>
      <c r="Z49" s="44"/>
      <c r="AA49" s="44"/>
      <c r="AB49" s="44"/>
      <c r="AC49" s="44"/>
      <c r="AD49" s="44"/>
      <c r="AE49" s="44"/>
    </row>
    <row r="50" spans="1:31" s="41" customFormat="1" ht="31.5" x14ac:dyDescent="0.25">
      <c r="A50" s="464"/>
      <c r="B50" s="59" t="str">
        <f>УП!D63</f>
        <v>ОГНП 6: Трансляционные информационные технологии</v>
      </c>
      <c r="C50" s="60"/>
      <c r="D50" s="61"/>
      <c r="E50" s="61"/>
      <c r="F50" s="61"/>
      <c r="G50" s="61"/>
      <c r="H50" s="61"/>
      <c r="I50" s="61"/>
      <c r="J50" s="61"/>
      <c r="K50" s="61"/>
      <c r="L50" s="61"/>
      <c r="M50" s="61"/>
      <c r="N50" s="61"/>
      <c r="O50" s="61"/>
      <c r="P50" s="61"/>
      <c r="Q50" s="61"/>
      <c r="R50" s="61"/>
      <c r="S50" s="61"/>
      <c r="T50" s="61"/>
      <c r="U50" s="61"/>
      <c r="V50" s="61"/>
      <c r="W50" s="61"/>
      <c r="X50" s="61"/>
      <c r="Y50" s="62"/>
      <c r="Z50" s="62"/>
      <c r="AA50" s="62"/>
      <c r="AB50" s="62"/>
      <c r="AC50" s="62"/>
      <c r="AD50" s="62"/>
      <c r="AE50" s="62"/>
    </row>
    <row r="51" spans="1:31" s="41" customFormat="1" ht="31.5" x14ac:dyDescent="0.25">
      <c r="A51" s="473">
        <f>УП!C64</f>
        <v>14</v>
      </c>
      <c r="B51" s="22" t="str">
        <f>УП!D64</f>
        <v>Дисциплина 1: Современные инструменты анализа данных</v>
      </c>
      <c r="C51" s="3"/>
      <c r="D51" s="4"/>
      <c r="E51" s="4"/>
      <c r="F51" s="4"/>
      <c r="G51" s="4"/>
      <c r="H51" s="4"/>
      <c r="I51" s="4"/>
      <c r="J51" s="4"/>
      <c r="K51" s="4"/>
      <c r="L51" s="4"/>
      <c r="M51" s="4"/>
      <c r="N51" s="4"/>
      <c r="O51" s="4"/>
      <c r="P51" s="4"/>
      <c r="Q51" s="4"/>
      <c r="R51" s="4"/>
      <c r="S51" s="15"/>
      <c r="T51" s="15"/>
      <c r="U51" s="15"/>
      <c r="V51" s="15"/>
      <c r="W51" s="15"/>
      <c r="X51" s="15"/>
      <c r="Y51" s="44"/>
      <c r="Z51" s="44"/>
      <c r="AA51" s="44"/>
      <c r="AB51" s="44"/>
      <c r="AC51" s="44"/>
      <c r="AD51" s="44"/>
      <c r="AE51" s="44"/>
    </row>
    <row r="52" spans="1:31" s="41" customFormat="1" ht="31.5" x14ac:dyDescent="0.25">
      <c r="A52" s="473">
        <f>УП!C65</f>
        <v>15</v>
      </c>
      <c r="B52" s="22" t="str">
        <f>УП!D65</f>
        <v>Дисциплина 2: UNIX/Linux системы в инфокоммуникациях</v>
      </c>
      <c r="C52" s="3"/>
      <c r="D52" s="4"/>
      <c r="E52" s="4"/>
      <c r="F52" s="4"/>
      <c r="G52" s="4"/>
      <c r="H52" s="4"/>
      <c r="I52" s="4"/>
      <c r="J52" s="4"/>
      <c r="K52" s="4"/>
      <c r="L52" s="4"/>
      <c r="M52" s="4"/>
      <c r="N52" s="4"/>
      <c r="O52" s="4"/>
      <c r="P52" s="4"/>
      <c r="Q52" s="4"/>
      <c r="R52" s="4"/>
      <c r="S52" s="15"/>
      <c r="T52" s="15"/>
      <c r="U52" s="15"/>
      <c r="V52" s="15"/>
      <c r="W52" s="15"/>
      <c r="X52" s="15"/>
      <c r="Y52" s="44"/>
      <c r="Z52" s="44"/>
      <c r="AA52" s="44"/>
      <c r="AB52" s="44"/>
      <c r="AC52" s="44"/>
      <c r="AD52" s="44"/>
      <c r="AE52" s="44"/>
    </row>
    <row r="53" spans="1:31" s="41" customFormat="1" x14ac:dyDescent="0.25">
      <c r="A53" s="464"/>
      <c r="B53" s="59" t="str">
        <f>УП!D66</f>
        <v>ОГНП 7: Фотоника</v>
      </c>
      <c r="C53" s="60"/>
      <c r="D53" s="61"/>
      <c r="E53" s="61"/>
      <c r="F53" s="61"/>
      <c r="G53" s="61"/>
      <c r="H53" s="61"/>
      <c r="I53" s="61"/>
      <c r="J53" s="61"/>
      <c r="K53" s="61"/>
      <c r="L53" s="61"/>
      <c r="M53" s="61"/>
      <c r="N53" s="61"/>
      <c r="O53" s="61"/>
      <c r="P53" s="61"/>
      <c r="Q53" s="61"/>
      <c r="R53" s="61"/>
      <c r="S53" s="61"/>
      <c r="T53" s="61"/>
      <c r="U53" s="61"/>
      <c r="V53" s="61"/>
      <c r="W53" s="61"/>
      <c r="X53" s="61"/>
      <c r="Y53" s="62"/>
      <c r="Z53" s="62"/>
      <c r="AA53" s="62"/>
      <c r="AB53" s="62"/>
      <c r="AC53" s="62"/>
      <c r="AD53" s="62"/>
      <c r="AE53" s="62"/>
    </row>
    <row r="54" spans="1:31" s="41" customFormat="1" ht="31.5" x14ac:dyDescent="0.25">
      <c r="A54" s="473">
        <f>УП!C67</f>
        <v>14</v>
      </c>
      <c r="B54" s="22" t="str">
        <f>УП!D67</f>
        <v>Дисциплина 1: Физическая оптика (онлайн-курс)</v>
      </c>
      <c r="C54" s="3"/>
      <c r="D54" s="4"/>
      <c r="E54" s="4"/>
      <c r="F54" s="4"/>
      <c r="G54" s="4"/>
      <c r="H54" s="4"/>
      <c r="I54" s="4"/>
      <c r="J54" s="4"/>
      <c r="K54" s="4"/>
      <c r="L54" s="4"/>
      <c r="M54" s="4"/>
      <c r="N54" s="4"/>
      <c r="O54" s="4"/>
      <c r="P54" s="4"/>
      <c r="Q54" s="4"/>
      <c r="R54" s="4"/>
      <c r="S54" s="15"/>
      <c r="T54" s="15"/>
      <c r="U54" s="15"/>
      <c r="V54" s="15"/>
      <c r="W54" s="15"/>
      <c r="X54" s="15"/>
      <c r="Y54" s="44"/>
      <c r="Z54" s="44"/>
      <c r="AA54" s="44"/>
      <c r="AB54" s="44"/>
      <c r="AC54" s="44"/>
      <c r="AD54" s="44"/>
      <c r="AE54" s="44"/>
    </row>
    <row r="55" spans="1:31" s="41" customFormat="1" ht="31.5" x14ac:dyDescent="0.25">
      <c r="A55" s="473">
        <f>УП!C68</f>
        <v>15</v>
      </c>
      <c r="B55" s="22" t="str">
        <f>УП!D68</f>
        <v>Дисциплина 2: Лазерные технологии (онлайн-курс)</v>
      </c>
      <c r="C55" s="3"/>
      <c r="D55" s="4"/>
      <c r="E55" s="4"/>
      <c r="F55" s="4"/>
      <c r="G55" s="4"/>
      <c r="H55" s="4"/>
      <c r="I55" s="4"/>
      <c r="J55" s="4"/>
      <c r="K55" s="4"/>
      <c r="L55" s="4"/>
      <c r="M55" s="4"/>
      <c r="N55" s="4"/>
      <c r="O55" s="4"/>
      <c r="P55" s="4"/>
      <c r="Q55" s="4"/>
      <c r="R55" s="4"/>
      <c r="S55" s="15"/>
      <c r="T55" s="15"/>
      <c r="U55" s="15"/>
      <c r="V55" s="15"/>
      <c r="W55" s="15"/>
      <c r="X55" s="15"/>
      <c r="Y55" s="44"/>
      <c r="Z55" s="44"/>
      <c r="AA55" s="44"/>
      <c r="AB55" s="44"/>
      <c r="AC55" s="44"/>
      <c r="AD55" s="44"/>
      <c r="AE55" s="44"/>
    </row>
    <row r="56" spans="1:31" s="41" customFormat="1" x14ac:dyDescent="0.25">
      <c r="A56" s="460"/>
      <c r="B56" s="51" t="str">
        <f>УП!D69</f>
        <v>Фундаментальный модуль по ОГНП</v>
      </c>
      <c r="C56" s="10"/>
      <c r="D56" s="11"/>
      <c r="E56" s="11"/>
      <c r="F56" s="11"/>
      <c r="G56" s="11"/>
      <c r="H56" s="11"/>
      <c r="I56" s="11"/>
      <c r="J56" s="11"/>
      <c r="K56" s="11"/>
      <c r="L56" s="11"/>
      <c r="M56" s="11"/>
      <c r="N56" s="11"/>
      <c r="O56" s="11"/>
      <c r="P56" s="11"/>
      <c r="Q56" s="11"/>
      <c r="R56" s="11"/>
      <c r="S56" s="11"/>
      <c r="T56" s="11"/>
      <c r="U56" s="11"/>
      <c r="V56" s="11"/>
      <c r="W56" s="11"/>
      <c r="X56" s="11"/>
      <c r="Y56" s="43"/>
      <c r="Z56" s="43"/>
      <c r="AA56" s="43"/>
      <c r="AB56" s="43"/>
      <c r="AC56" s="43"/>
      <c r="AD56" s="43"/>
      <c r="AE56" s="43"/>
    </row>
    <row r="57" spans="1:31" s="41" customFormat="1" ht="17.25" customHeight="1" x14ac:dyDescent="0.25">
      <c r="A57" s="463"/>
      <c r="B57" s="19" t="str">
        <f>УП!D70</f>
        <v>Математический  модуль</v>
      </c>
      <c r="C57" s="20"/>
      <c r="D57" s="21"/>
      <c r="E57" s="21"/>
      <c r="F57" s="21"/>
      <c r="G57" s="21"/>
      <c r="H57" s="21"/>
      <c r="I57" s="21"/>
      <c r="J57" s="21"/>
      <c r="K57" s="21"/>
      <c r="L57" s="21"/>
      <c r="M57" s="21"/>
      <c r="N57" s="21"/>
      <c r="O57" s="21"/>
      <c r="P57" s="21"/>
      <c r="Q57" s="21"/>
      <c r="R57" s="21"/>
      <c r="S57" s="15"/>
      <c r="T57" s="15"/>
      <c r="U57" s="15"/>
      <c r="V57" s="15"/>
      <c r="W57" s="15"/>
      <c r="X57" s="15"/>
      <c r="Y57" s="44"/>
      <c r="Z57" s="44"/>
      <c r="AA57" s="44"/>
      <c r="AB57" s="44"/>
      <c r="AC57" s="44"/>
      <c r="AD57" s="44"/>
      <c r="AE57" s="44"/>
    </row>
    <row r="58" spans="1:31" s="41" customFormat="1" x14ac:dyDescent="0.25">
      <c r="A58" s="473">
        <f>УП!C71</f>
        <v>16</v>
      </c>
      <c r="B58" s="22" t="str">
        <f>УП!D71</f>
        <v>Линейная алгебра</v>
      </c>
      <c r="C58" s="3"/>
      <c r="D58" s="4"/>
      <c r="E58" s="4"/>
      <c r="F58" s="4"/>
      <c r="G58" s="4"/>
      <c r="H58" s="4"/>
      <c r="I58" s="4"/>
      <c r="J58" s="4"/>
      <c r="K58" s="4"/>
      <c r="L58" s="4"/>
      <c r="M58" s="4"/>
      <c r="N58" s="4"/>
      <c r="O58" s="4"/>
      <c r="P58" s="4"/>
      <c r="Q58" s="4"/>
      <c r="R58" s="4"/>
      <c r="S58" s="15"/>
      <c r="T58" s="15"/>
      <c r="U58" s="15"/>
      <c r="V58" s="15"/>
      <c r="W58" s="15"/>
      <c r="X58" s="15"/>
      <c r="Y58" s="44"/>
      <c r="Z58" s="44"/>
      <c r="AA58" s="44"/>
      <c r="AB58" s="44"/>
      <c r="AC58" s="44"/>
      <c r="AD58" s="44"/>
      <c r="AE58" s="44"/>
    </row>
    <row r="59" spans="1:31" s="41" customFormat="1" x14ac:dyDescent="0.25">
      <c r="A59" s="473">
        <f>УП!C72</f>
        <v>17</v>
      </c>
      <c r="B59" s="454" t="str">
        <f>УП!D72</f>
        <v>Математический анализ</v>
      </c>
      <c r="C59" s="3"/>
      <c r="D59" s="4"/>
      <c r="E59" s="4"/>
      <c r="F59" s="4"/>
      <c r="G59" s="4"/>
      <c r="H59" s="4"/>
      <c r="I59" s="4"/>
      <c r="J59" s="4"/>
      <c r="K59" s="4"/>
      <c r="L59" s="4"/>
      <c r="M59" s="4"/>
      <c r="N59" s="4"/>
      <c r="O59" s="4"/>
      <c r="P59" s="4"/>
      <c r="Q59" s="4"/>
      <c r="R59" s="4"/>
      <c r="S59" s="15"/>
      <c r="T59" s="15"/>
      <c r="U59" s="15"/>
      <c r="V59" s="15"/>
      <c r="W59" s="15"/>
      <c r="X59" s="15"/>
      <c r="Y59" s="44"/>
      <c r="Z59" s="44"/>
      <c r="AA59" s="44"/>
      <c r="AB59" s="44"/>
      <c r="AC59" s="44"/>
      <c r="AD59" s="44"/>
      <c r="AE59" s="44"/>
    </row>
    <row r="60" spans="1:31" s="41" customFormat="1" x14ac:dyDescent="0.25">
      <c r="A60" s="473">
        <f>УП!C73</f>
        <v>18</v>
      </c>
      <c r="B60" s="454" t="str">
        <f>УП!D73</f>
        <v>Дискретная математика</v>
      </c>
      <c r="C60" s="3"/>
      <c r="D60" s="4"/>
      <c r="E60" s="4"/>
      <c r="F60" s="4"/>
      <c r="G60" s="4"/>
      <c r="H60" s="4"/>
      <c r="I60" s="4"/>
      <c r="J60" s="4"/>
      <c r="K60" s="4"/>
      <c r="L60" s="4"/>
      <c r="M60" s="4"/>
      <c r="N60" s="4"/>
      <c r="O60" s="4"/>
      <c r="P60" s="4"/>
      <c r="Q60" s="4"/>
      <c r="R60" s="4"/>
      <c r="S60" s="15"/>
      <c r="T60" s="15"/>
      <c r="U60" s="15"/>
      <c r="V60" s="15"/>
      <c r="W60" s="15"/>
      <c r="X60" s="15"/>
      <c r="Y60" s="44"/>
      <c r="Z60" s="44"/>
      <c r="AA60" s="44"/>
      <c r="AB60" s="44"/>
      <c r="AC60" s="44"/>
      <c r="AD60" s="44"/>
      <c r="AE60" s="44"/>
    </row>
    <row r="61" spans="1:31" s="41" customFormat="1" x14ac:dyDescent="0.25">
      <c r="A61" s="473">
        <f>УП!C74</f>
        <v>19</v>
      </c>
      <c r="B61" s="454" t="str">
        <f>УП!D74</f>
        <v>Дополнительные главы высшей математики</v>
      </c>
      <c r="C61" s="3"/>
      <c r="D61" s="4"/>
      <c r="E61" s="4"/>
      <c r="F61" s="4"/>
      <c r="G61" s="4"/>
      <c r="H61" s="4"/>
      <c r="I61" s="4"/>
      <c r="J61" s="4"/>
      <c r="K61" s="4"/>
      <c r="L61" s="4"/>
      <c r="M61" s="4"/>
      <c r="N61" s="4"/>
      <c r="O61" s="4"/>
      <c r="P61" s="4"/>
      <c r="Q61" s="4"/>
      <c r="R61" s="4"/>
      <c r="S61" s="15"/>
      <c r="T61" s="15"/>
      <c r="U61" s="15"/>
      <c r="V61" s="15"/>
      <c r="W61" s="15"/>
      <c r="X61" s="15"/>
      <c r="Y61" s="44"/>
      <c r="Z61" s="44"/>
      <c r="AA61" s="44"/>
      <c r="AB61" s="44"/>
      <c r="AC61" s="44"/>
      <c r="AD61" s="44"/>
      <c r="AE61" s="44"/>
    </row>
    <row r="62" spans="1:31" s="41" customFormat="1" x14ac:dyDescent="0.25">
      <c r="A62" s="473">
        <f>УП!C75</f>
        <v>23</v>
      </c>
      <c r="B62" s="454" t="str">
        <f>УП!D75</f>
        <v>ХХХХ</v>
      </c>
      <c r="C62" s="3"/>
      <c r="D62" s="4"/>
      <c r="E62" s="4"/>
      <c r="F62" s="4"/>
      <c r="G62" s="4"/>
      <c r="H62" s="4"/>
      <c r="I62" s="4"/>
      <c r="J62" s="4"/>
      <c r="K62" s="4"/>
      <c r="L62" s="4"/>
      <c r="M62" s="4"/>
      <c r="N62" s="4"/>
      <c r="O62" s="4"/>
      <c r="P62" s="4"/>
      <c r="Q62" s="4"/>
      <c r="R62" s="4"/>
      <c r="S62" s="15"/>
      <c r="T62" s="15"/>
      <c r="U62" s="15"/>
      <c r="V62" s="15"/>
      <c r="W62" s="15"/>
      <c r="X62" s="15"/>
      <c r="Y62" s="44"/>
      <c r="Z62" s="44"/>
      <c r="AA62" s="44"/>
      <c r="AB62" s="44"/>
      <c r="AC62" s="44"/>
      <c r="AD62" s="44"/>
      <c r="AE62" s="44"/>
    </row>
    <row r="63" spans="1:31" s="41" customFormat="1" x14ac:dyDescent="0.25">
      <c r="A63" s="473">
        <f>УП!C76</f>
        <v>24</v>
      </c>
      <c r="B63" s="454" t="str">
        <f>УП!D76</f>
        <v>ХХХХ</v>
      </c>
      <c r="C63" s="3"/>
      <c r="D63" s="4"/>
      <c r="E63" s="4"/>
      <c r="F63" s="4"/>
      <c r="G63" s="4"/>
      <c r="H63" s="4"/>
      <c r="I63" s="4"/>
      <c r="J63" s="4"/>
      <c r="K63" s="4"/>
      <c r="L63" s="4"/>
      <c r="M63" s="4"/>
      <c r="N63" s="4"/>
      <c r="O63" s="4"/>
      <c r="P63" s="4"/>
      <c r="Q63" s="4"/>
      <c r="R63" s="4"/>
      <c r="S63" s="15"/>
      <c r="T63" s="15"/>
      <c r="U63" s="15"/>
      <c r="V63" s="15"/>
      <c r="W63" s="15"/>
      <c r="X63" s="15"/>
      <c r="Y63" s="44"/>
      <c r="Z63" s="44"/>
      <c r="AA63" s="44"/>
      <c r="AB63" s="44"/>
      <c r="AC63" s="44"/>
      <c r="AD63" s="44"/>
      <c r="AE63" s="44"/>
    </row>
    <row r="64" spans="1:31" s="41" customFormat="1" x14ac:dyDescent="0.25">
      <c r="A64" s="473">
        <f>УП!C77</f>
        <v>25</v>
      </c>
      <c r="B64" s="454" t="str">
        <f>УП!D77</f>
        <v>ХХХХ</v>
      </c>
      <c r="C64" s="3"/>
      <c r="D64" s="4"/>
      <c r="E64" s="4"/>
      <c r="F64" s="4"/>
      <c r="G64" s="4"/>
      <c r="H64" s="4"/>
      <c r="I64" s="4"/>
      <c r="J64" s="4"/>
      <c r="K64" s="4"/>
      <c r="L64" s="4"/>
      <c r="M64" s="4"/>
      <c r="N64" s="4"/>
      <c r="O64" s="4"/>
      <c r="P64" s="4"/>
      <c r="Q64" s="4"/>
      <c r="R64" s="4"/>
      <c r="S64" s="15"/>
      <c r="T64" s="15"/>
      <c r="U64" s="15"/>
      <c r="V64" s="15"/>
      <c r="W64" s="15"/>
      <c r="X64" s="15"/>
      <c r="Y64" s="44"/>
      <c r="Z64" s="44"/>
      <c r="AA64" s="44"/>
      <c r="AB64" s="44"/>
      <c r="AC64" s="44"/>
      <c r="AD64" s="44"/>
      <c r="AE64" s="44"/>
    </row>
    <row r="65" spans="1:31" s="41" customFormat="1" ht="21" customHeight="1" x14ac:dyDescent="0.25">
      <c r="A65" s="463"/>
      <c r="B65" s="19" t="str">
        <f>УП!D78</f>
        <v>Естественнонаучный модуль</v>
      </c>
      <c r="C65" s="20"/>
      <c r="D65" s="21"/>
      <c r="E65" s="21"/>
      <c r="F65" s="21"/>
      <c r="G65" s="21"/>
      <c r="H65" s="21"/>
      <c r="I65" s="21"/>
      <c r="J65" s="21"/>
      <c r="K65" s="21"/>
      <c r="L65" s="21"/>
      <c r="M65" s="21"/>
      <c r="N65" s="21"/>
      <c r="O65" s="21"/>
      <c r="P65" s="21"/>
      <c r="Q65" s="21"/>
      <c r="R65" s="21"/>
      <c r="S65" s="15"/>
      <c r="T65" s="15"/>
      <c r="U65" s="15"/>
      <c r="V65" s="15"/>
      <c r="W65" s="15"/>
      <c r="X65" s="15"/>
      <c r="Y65" s="44"/>
      <c r="Z65" s="44"/>
      <c r="AA65" s="44"/>
      <c r="AB65" s="44"/>
      <c r="AC65" s="44"/>
      <c r="AD65" s="44"/>
      <c r="AE65" s="44"/>
    </row>
    <row r="66" spans="1:31" s="41" customFormat="1" ht="31.5" x14ac:dyDescent="0.25">
      <c r="A66" s="473">
        <f>УП!C79</f>
        <v>20</v>
      </c>
      <c r="B66" s="454" t="str">
        <f>УП!D79</f>
        <v>Математическое и имитационное моделирование в естественных науках</v>
      </c>
      <c r="C66" s="3"/>
      <c r="D66" s="4"/>
      <c r="E66" s="4"/>
      <c r="F66" s="4"/>
      <c r="G66" s="4"/>
      <c r="H66" s="4"/>
      <c r="I66" s="4"/>
      <c r="J66" s="4"/>
      <c r="K66" s="4"/>
      <c r="L66" s="4"/>
      <c r="M66" s="4"/>
      <c r="N66" s="4"/>
      <c r="O66" s="4"/>
      <c r="P66" s="4"/>
      <c r="Q66" s="4"/>
      <c r="R66" s="4"/>
      <c r="S66" s="15"/>
      <c r="T66" s="15"/>
      <c r="U66" s="15"/>
      <c r="V66" s="15"/>
      <c r="W66" s="15"/>
      <c r="X66" s="15"/>
      <c r="Y66" s="44"/>
      <c r="Z66" s="44"/>
      <c r="AA66" s="44"/>
      <c r="AB66" s="44"/>
      <c r="AC66" s="44"/>
      <c r="AD66" s="44"/>
      <c r="AE66" s="44"/>
    </row>
    <row r="67" spans="1:31" s="41" customFormat="1" x14ac:dyDescent="0.25">
      <c r="A67" s="473">
        <f>УП!C80</f>
        <v>27</v>
      </c>
      <c r="B67" s="454" t="str">
        <f>УП!D80</f>
        <v>ХХХХ</v>
      </c>
      <c r="C67" s="3"/>
      <c r="D67" s="4"/>
      <c r="E67" s="4"/>
      <c r="F67" s="4"/>
      <c r="G67" s="4"/>
      <c r="H67" s="4"/>
      <c r="I67" s="4"/>
      <c r="J67" s="4"/>
      <c r="K67" s="4"/>
      <c r="L67" s="4"/>
      <c r="M67" s="4"/>
      <c r="N67" s="4"/>
      <c r="O67" s="4"/>
      <c r="P67" s="4"/>
      <c r="Q67" s="4"/>
      <c r="R67" s="4"/>
      <c r="S67" s="15"/>
      <c r="T67" s="15"/>
      <c r="U67" s="15"/>
      <c r="V67" s="15"/>
      <c r="W67" s="15"/>
      <c r="X67" s="15"/>
      <c r="Y67" s="44"/>
      <c r="Z67" s="44"/>
      <c r="AA67" s="44"/>
      <c r="AB67" s="44"/>
      <c r="AC67" s="44"/>
      <c r="AD67" s="44"/>
      <c r="AE67" s="44"/>
    </row>
    <row r="68" spans="1:31" s="41" customFormat="1" x14ac:dyDescent="0.25">
      <c r="A68" s="473">
        <f>УП!C81</f>
        <v>28</v>
      </c>
      <c r="B68" s="454" t="str">
        <f>УП!D81</f>
        <v>ХХХХ</v>
      </c>
      <c r="C68" s="3"/>
      <c r="D68" s="4"/>
      <c r="E68" s="4"/>
      <c r="F68" s="4"/>
      <c r="G68" s="4"/>
      <c r="H68" s="4"/>
      <c r="I68" s="4"/>
      <c r="J68" s="4"/>
      <c r="K68" s="4"/>
      <c r="L68" s="4"/>
      <c r="M68" s="4"/>
      <c r="N68" s="4"/>
      <c r="O68" s="4"/>
      <c r="P68" s="4"/>
      <c r="Q68" s="4"/>
      <c r="R68" s="4"/>
      <c r="S68" s="15"/>
      <c r="T68" s="15"/>
      <c r="U68" s="15"/>
      <c r="V68" s="15"/>
      <c r="W68" s="15"/>
      <c r="X68" s="15"/>
      <c r="Y68" s="44"/>
      <c r="Z68" s="44"/>
      <c r="AA68" s="44"/>
      <c r="AB68" s="44"/>
      <c r="AC68" s="44"/>
      <c r="AD68" s="44"/>
      <c r="AE68" s="44"/>
    </row>
    <row r="69" spans="1:31" s="41" customFormat="1" x14ac:dyDescent="0.25">
      <c r="A69" s="473">
        <f>УП!C82</f>
        <v>29</v>
      </c>
      <c r="B69" s="454" t="str">
        <f>УП!D82</f>
        <v>ХХХХ</v>
      </c>
      <c r="C69" s="3"/>
      <c r="D69" s="4"/>
      <c r="E69" s="4"/>
      <c r="F69" s="4"/>
      <c r="G69" s="4"/>
      <c r="H69" s="4"/>
      <c r="I69" s="4"/>
      <c r="J69" s="4"/>
      <c r="K69" s="4"/>
      <c r="L69" s="4"/>
      <c r="M69" s="4"/>
      <c r="N69" s="4"/>
      <c r="O69" s="4"/>
      <c r="P69" s="4"/>
      <c r="Q69" s="4"/>
      <c r="R69" s="4"/>
      <c r="S69" s="15"/>
      <c r="T69" s="15"/>
      <c r="U69" s="15"/>
      <c r="V69" s="15"/>
      <c r="W69" s="15"/>
      <c r="X69" s="15"/>
      <c r="Y69" s="44"/>
      <c r="Z69" s="44"/>
      <c r="AA69" s="44"/>
      <c r="AB69" s="44"/>
      <c r="AC69" s="44"/>
      <c r="AD69" s="44"/>
      <c r="AE69" s="44"/>
    </row>
    <row r="70" spans="1:31" s="41" customFormat="1" x14ac:dyDescent="0.25">
      <c r="A70" s="473">
        <f>УП!C83</f>
        <v>30</v>
      </c>
      <c r="B70" s="454" t="str">
        <f>УП!D83</f>
        <v>ХХХХ</v>
      </c>
      <c r="C70" s="3"/>
      <c r="D70" s="4"/>
      <c r="E70" s="4"/>
      <c r="F70" s="4"/>
      <c r="G70" s="4"/>
      <c r="H70" s="4"/>
      <c r="I70" s="4"/>
      <c r="J70" s="4"/>
      <c r="K70" s="4"/>
      <c r="L70" s="4"/>
      <c r="M70" s="4"/>
      <c r="N70" s="4"/>
      <c r="O70" s="4"/>
      <c r="P70" s="4"/>
      <c r="Q70" s="4"/>
      <c r="R70" s="4"/>
      <c r="S70" s="15"/>
      <c r="T70" s="15"/>
      <c r="U70" s="15"/>
      <c r="V70" s="15"/>
      <c r="W70" s="15"/>
      <c r="X70" s="15"/>
      <c r="Y70" s="44"/>
      <c r="Z70" s="44"/>
      <c r="AA70" s="44"/>
      <c r="AB70" s="44"/>
      <c r="AC70" s="44"/>
      <c r="AD70" s="44"/>
      <c r="AE70" s="44"/>
    </row>
    <row r="71" spans="1:31" s="41" customFormat="1" x14ac:dyDescent="0.25">
      <c r="A71" s="463"/>
      <c r="B71" s="19" t="str">
        <f>УП!D84</f>
        <v>Общепрофессиональный модуль</v>
      </c>
      <c r="C71" s="20"/>
      <c r="D71" s="21"/>
      <c r="E71" s="21"/>
      <c r="F71" s="21"/>
      <c r="G71" s="21"/>
      <c r="H71" s="21"/>
      <c r="I71" s="21"/>
      <c r="J71" s="21"/>
      <c r="K71" s="21"/>
      <c r="L71" s="21"/>
      <c r="M71" s="21"/>
      <c r="N71" s="21"/>
      <c r="O71" s="21"/>
      <c r="P71" s="21"/>
      <c r="Q71" s="21"/>
      <c r="R71" s="21"/>
      <c r="S71" s="15"/>
      <c r="T71" s="15"/>
      <c r="U71" s="15"/>
      <c r="V71" s="15"/>
      <c r="W71" s="15"/>
      <c r="X71" s="15"/>
      <c r="Y71" s="44"/>
      <c r="Z71" s="44"/>
      <c r="AA71" s="44"/>
      <c r="AB71" s="44"/>
      <c r="AC71" s="44"/>
      <c r="AD71" s="44"/>
      <c r="AE71" s="44"/>
    </row>
    <row r="72" spans="1:31" s="41" customFormat="1" x14ac:dyDescent="0.25">
      <c r="A72" s="473">
        <f>УП!C85</f>
        <v>21</v>
      </c>
      <c r="B72" s="454" t="str">
        <f>УП!D85</f>
        <v>Алгоритмы и структуры данных</v>
      </c>
      <c r="C72" s="3"/>
      <c r="D72" s="4"/>
      <c r="E72" s="4"/>
      <c r="F72" s="4"/>
      <c r="G72" s="4"/>
      <c r="H72" s="4"/>
      <c r="I72" s="4"/>
      <c r="J72" s="4"/>
      <c r="K72" s="4"/>
      <c r="L72" s="4"/>
      <c r="M72" s="4"/>
      <c r="N72" s="4"/>
      <c r="O72" s="4"/>
      <c r="P72" s="4"/>
      <c r="Q72" s="4"/>
      <c r="R72" s="4"/>
      <c r="S72" s="15"/>
      <c r="T72" s="15"/>
      <c r="U72" s="15"/>
      <c r="V72" s="15"/>
      <c r="W72" s="15"/>
      <c r="X72" s="15"/>
      <c r="Y72" s="44"/>
      <c r="Z72" s="44"/>
      <c r="AA72" s="44"/>
      <c r="AB72" s="44"/>
      <c r="AC72" s="44"/>
      <c r="AD72" s="44"/>
      <c r="AE72" s="44"/>
    </row>
    <row r="73" spans="1:31" s="41" customFormat="1" x14ac:dyDescent="0.25">
      <c r="A73" s="473">
        <f>УП!C86</f>
        <v>22</v>
      </c>
      <c r="B73" s="454" t="str">
        <f>УП!D86</f>
        <v>Программирование</v>
      </c>
      <c r="C73" s="3"/>
      <c r="D73" s="4"/>
      <c r="E73" s="4"/>
      <c r="F73" s="4"/>
      <c r="G73" s="4"/>
      <c r="H73" s="4"/>
      <c r="I73" s="4"/>
      <c r="J73" s="4"/>
      <c r="K73" s="4"/>
      <c r="L73" s="4"/>
      <c r="M73" s="4"/>
      <c r="N73" s="4"/>
      <c r="O73" s="4"/>
      <c r="P73" s="4"/>
      <c r="Q73" s="4"/>
      <c r="R73" s="4"/>
      <c r="S73" s="15"/>
      <c r="T73" s="15"/>
      <c r="U73" s="15"/>
      <c r="V73" s="15"/>
      <c r="W73" s="15"/>
      <c r="X73" s="15"/>
      <c r="Y73" s="44"/>
      <c r="Z73" s="44"/>
      <c r="AA73" s="44"/>
      <c r="AB73" s="44"/>
      <c r="AC73" s="44"/>
      <c r="AD73" s="44"/>
      <c r="AE73" s="44"/>
    </row>
    <row r="74" spans="1:31" s="41" customFormat="1" x14ac:dyDescent="0.25">
      <c r="A74" s="473">
        <f>УП!C87</f>
        <v>23</v>
      </c>
      <c r="B74" s="454" t="str">
        <f>УП!D87</f>
        <v>Операционные системы</v>
      </c>
      <c r="C74" s="3"/>
      <c r="D74" s="4"/>
      <c r="E74" s="4"/>
      <c r="F74" s="4"/>
      <c r="G74" s="4"/>
      <c r="H74" s="4"/>
      <c r="I74" s="4"/>
      <c r="J74" s="4"/>
      <c r="K74" s="4"/>
      <c r="L74" s="4"/>
      <c r="M74" s="4"/>
      <c r="N74" s="4"/>
      <c r="O74" s="4"/>
      <c r="P74" s="4"/>
      <c r="Q74" s="4"/>
      <c r="R74" s="4"/>
      <c r="S74" s="15"/>
      <c r="T74" s="15"/>
      <c r="U74" s="15"/>
      <c r="V74" s="15"/>
      <c r="W74" s="15"/>
      <c r="X74" s="15"/>
      <c r="Y74" s="44"/>
      <c r="Z74" s="44"/>
      <c r="AA74" s="44"/>
      <c r="AB74" s="44"/>
      <c r="AC74" s="44"/>
      <c r="AD74" s="44"/>
      <c r="AE74" s="44"/>
    </row>
    <row r="75" spans="1:31" s="41" customFormat="1" x14ac:dyDescent="0.25">
      <c r="A75" s="473">
        <f>УП!C88</f>
        <v>34</v>
      </c>
      <c r="B75" s="454" t="str">
        <f>УП!D88</f>
        <v>ХХХХ</v>
      </c>
      <c r="C75" s="3"/>
      <c r="D75" s="4"/>
      <c r="E75" s="4"/>
      <c r="F75" s="4"/>
      <c r="G75" s="4"/>
      <c r="H75" s="4"/>
      <c r="I75" s="4"/>
      <c r="J75" s="4"/>
      <c r="K75" s="4"/>
      <c r="L75" s="4"/>
      <c r="M75" s="4"/>
      <c r="N75" s="4"/>
      <c r="O75" s="4"/>
      <c r="P75" s="4"/>
      <c r="Q75" s="4"/>
      <c r="R75" s="4"/>
      <c r="S75" s="15"/>
      <c r="T75" s="15"/>
      <c r="U75" s="15"/>
      <c r="V75" s="15"/>
      <c r="W75" s="15"/>
      <c r="X75" s="15"/>
      <c r="Y75" s="44"/>
      <c r="Z75" s="44"/>
      <c r="AA75" s="44"/>
      <c r="AB75" s="44"/>
      <c r="AC75" s="44"/>
      <c r="AD75" s="44"/>
      <c r="AE75" s="44"/>
    </row>
    <row r="76" spans="1:31" s="41" customFormat="1" x14ac:dyDescent="0.25">
      <c r="A76" s="473">
        <f>УП!C89</f>
        <v>35</v>
      </c>
      <c r="B76" s="454" t="str">
        <f>УП!D89</f>
        <v>ХХХХ</v>
      </c>
      <c r="C76" s="3"/>
      <c r="D76" s="4"/>
      <c r="E76" s="4"/>
      <c r="F76" s="4"/>
      <c r="G76" s="4"/>
      <c r="H76" s="4"/>
      <c r="I76" s="4"/>
      <c r="J76" s="4"/>
      <c r="K76" s="4"/>
      <c r="L76" s="4"/>
      <c r="M76" s="4"/>
      <c r="N76" s="4"/>
      <c r="O76" s="4"/>
      <c r="P76" s="4"/>
      <c r="Q76" s="4"/>
      <c r="R76" s="4"/>
      <c r="S76" s="15"/>
      <c r="T76" s="15"/>
      <c r="U76" s="15"/>
      <c r="V76" s="15"/>
      <c r="W76" s="15"/>
      <c r="X76" s="15"/>
      <c r="Y76" s="44"/>
      <c r="Z76" s="44"/>
      <c r="AA76" s="44"/>
      <c r="AB76" s="44"/>
      <c r="AC76" s="44"/>
      <c r="AD76" s="44"/>
      <c r="AE76" s="44"/>
    </row>
    <row r="77" spans="1:31" s="41" customFormat="1" x14ac:dyDescent="0.25">
      <c r="A77" s="473">
        <f>УП!C90</f>
        <v>36</v>
      </c>
      <c r="B77" s="454" t="str">
        <f>УП!D90</f>
        <v>ХХХХ</v>
      </c>
      <c r="C77" s="3"/>
      <c r="D77" s="4"/>
      <c r="E77" s="4"/>
      <c r="F77" s="4"/>
      <c r="G77" s="4"/>
      <c r="H77" s="4"/>
      <c r="I77" s="4"/>
      <c r="J77" s="4"/>
      <c r="K77" s="4"/>
      <c r="L77" s="4"/>
      <c r="M77" s="4"/>
      <c r="N77" s="4"/>
      <c r="O77" s="4"/>
      <c r="P77" s="4"/>
      <c r="Q77" s="4"/>
      <c r="R77" s="4"/>
      <c r="S77" s="15"/>
      <c r="T77" s="15"/>
      <c r="U77" s="15"/>
      <c r="V77" s="15"/>
      <c r="W77" s="15"/>
      <c r="X77" s="15"/>
      <c r="Y77" s="44"/>
      <c r="Z77" s="44"/>
      <c r="AA77" s="44"/>
      <c r="AB77" s="44"/>
      <c r="AC77" s="44"/>
      <c r="AD77" s="44"/>
      <c r="AE77" s="44"/>
    </row>
    <row r="78" spans="1:31" s="41" customFormat="1" x14ac:dyDescent="0.25">
      <c r="A78" s="473">
        <f>УП!C91</f>
        <v>37</v>
      </c>
      <c r="B78" s="454" t="str">
        <f>УП!D91</f>
        <v>ХХХХ</v>
      </c>
      <c r="C78" s="3"/>
      <c r="D78" s="4"/>
      <c r="E78" s="4"/>
      <c r="F78" s="4"/>
      <c r="G78" s="4"/>
      <c r="H78" s="4"/>
      <c r="I78" s="4"/>
      <c r="J78" s="4"/>
      <c r="K78" s="4"/>
      <c r="L78" s="4"/>
      <c r="M78" s="4"/>
      <c r="N78" s="4"/>
      <c r="O78" s="4"/>
      <c r="P78" s="4"/>
      <c r="Q78" s="4"/>
      <c r="R78" s="4"/>
      <c r="S78" s="15"/>
      <c r="T78" s="15"/>
      <c r="U78" s="15"/>
      <c r="V78" s="15"/>
      <c r="W78" s="15"/>
      <c r="X78" s="15"/>
      <c r="Y78" s="44"/>
      <c r="Z78" s="44"/>
      <c r="AA78" s="44"/>
      <c r="AB78" s="44"/>
      <c r="AC78" s="44"/>
      <c r="AD78" s="44"/>
      <c r="AE78" s="44"/>
    </row>
    <row r="79" spans="1:31" s="41" customFormat="1" ht="31.5" x14ac:dyDescent="0.25">
      <c r="A79" s="463"/>
      <c r="B79" s="19" t="str">
        <f>УП!D92</f>
        <v>Элективный модуль по группе направлений</v>
      </c>
      <c r="C79" s="20"/>
      <c r="D79" s="21"/>
      <c r="E79" s="21"/>
      <c r="F79" s="21"/>
      <c r="G79" s="21"/>
      <c r="H79" s="21"/>
      <c r="I79" s="21"/>
      <c r="J79" s="21"/>
      <c r="K79" s="21"/>
      <c r="L79" s="21"/>
      <c r="M79" s="21"/>
      <c r="N79" s="21"/>
      <c r="O79" s="21"/>
      <c r="P79" s="21"/>
      <c r="Q79" s="21"/>
      <c r="R79" s="21"/>
      <c r="S79" s="15"/>
      <c r="T79" s="15"/>
      <c r="U79" s="15"/>
      <c r="V79" s="15"/>
      <c r="W79" s="15"/>
      <c r="X79" s="15"/>
      <c r="Y79" s="44"/>
      <c r="Z79" s="44"/>
      <c r="AA79" s="44"/>
      <c r="AB79" s="44"/>
      <c r="AC79" s="44"/>
      <c r="AD79" s="44"/>
      <c r="AE79" s="44"/>
    </row>
    <row r="80" spans="1:31" s="41" customFormat="1" x14ac:dyDescent="0.25">
      <c r="A80" s="473">
        <f>УП!C93</f>
        <v>24</v>
      </c>
      <c r="B80" s="440" t="str">
        <f>УП!D93</f>
        <v>Проектирование программного обеспечения</v>
      </c>
      <c r="C80" s="3"/>
      <c r="D80" s="4"/>
      <c r="E80" s="4"/>
      <c r="F80" s="4"/>
      <c r="G80" s="4"/>
      <c r="H80" s="4"/>
      <c r="I80" s="4"/>
      <c r="J80" s="4"/>
      <c r="K80" s="4"/>
      <c r="L80" s="4"/>
      <c r="M80" s="4"/>
      <c r="N80" s="4"/>
      <c r="O80" s="4"/>
      <c r="P80" s="4"/>
      <c r="Q80" s="4"/>
      <c r="R80" s="4"/>
      <c r="S80" s="15"/>
      <c r="T80" s="15"/>
      <c r="U80" s="15"/>
      <c r="V80" s="15"/>
      <c r="W80" s="15"/>
      <c r="X80" s="15"/>
      <c r="Y80" s="44"/>
      <c r="Z80" s="44"/>
      <c r="AA80" s="44"/>
      <c r="AB80" s="44"/>
      <c r="AC80" s="44"/>
      <c r="AD80" s="44"/>
      <c r="AE80" s="44"/>
    </row>
    <row r="81" spans="1:31" s="41" customFormat="1" x14ac:dyDescent="0.25">
      <c r="A81" s="473"/>
      <c r="B81" s="440" t="str">
        <f>УП!D94</f>
        <v>Проектирование информационных систем</v>
      </c>
      <c r="C81" s="3"/>
      <c r="D81" s="4"/>
      <c r="E81" s="4"/>
      <c r="F81" s="4"/>
      <c r="G81" s="4"/>
      <c r="H81" s="4"/>
      <c r="I81" s="4"/>
      <c r="J81" s="4"/>
      <c r="K81" s="4"/>
      <c r="L81" s="4"/>
      <c r="M81" s="4"/>
      <c r="N81" s="4"/>
      <c r="O81" s="4"/>
      <c r="P81" s="4"/>
      <c r="Q81" s="4"/>
      <c r="R81" s="4"/>
      <c r="S81" s="15"/>
      <c r="T81" s="15"/>
      <c r="U81" s="15"/>
      <c r="V81" s="15"/>
      <c r="W81" s="15"/>
      <c r="X81" s="15"/>
      <c r="Y81" s="44"/>
      <c r="Z81" s="44"/>
      <c r="AA81" s="44"/>
      <c r="AB81" s="44"/>
      <c r="AC81" s="44"/>
      <c r="AD81" s="44"/>
      <c r="AE81" s="44"/>
    </row>
    <row r="82" spans="1:31" s="41" customFormat="1" x14ac:dyDescent="0.25">
      <c r="A82" s="459"/>
      <c r="B82" s="23" t="str">
        <f>УП!D95</f>
        <v>ПРОФЕССИОНАЛЬНАЯ ПОДГОТОВКА</v>
      </c>
      <c r="C82" s="24"/>
      <c r="D82" s="25"/>
      <c r="E82" s="25"/>
      <c r="F82" s="25"/>
      <c r="G82" s="25"/>
      <c r="H82" s="25"/>
      <c r="I82" s="25"/>
      <c r="J82" s="25"/>
      <c r="K82" s="25"/>
      <c r="L82" s="25"/>
      <c r="M82" s="25"/>
      <c r="N82" s="25"/>
      <c r="O82" s="25"/>
      <c r="P82" s="25"/>
      <c r="Q82" s="25"/>
      <c r="R82" s="25"/>
      <c r="S82" s="8"/>
      <c r="T82" s="8"/>
      <c r="U82" s="8"/>
      <c r="V82" s="8"/>
      <c r="W82" s="8"/>
      <c r="X82" s="8"/>
      <c r="Y82" s="42"/>
      <c r="Z82" s="42"/>
      <c r="AA82" s="42"/>
      <c r="AB82" s="42"/>
      <c r="AC82" s="42"/>
      <c r="AD82" s="42"/>
      <c r="AE82" s="42"/>
    </row>
    <row r="83" spans="1:31" s="41" customFormat="1" x14ac:dyDescent="0.25">
      <c r="A83" s="465"/>
      <c r="B83" s="55" t="str">
        <f>УП!D96</f>
        <v>Межпрофильный модуль факультета</v>
      </c>
      <c r="C83" s="56"/>
      <c r="D83" s="57"/>
      <c r="E83" s="57"/>
      <c r="F83" s="57"/>
      <c r="G83" s="57"/>
      <c r="H83" s="57"/>
      <c r="I83" s="57"/>
      <c r="J83" s="57"/>
      <c r="K83" s="57"/>
      <c r="L83" s="57"/>
      <c r="M83" s="57"/>
      <c r="N83" s="57"/>
      <c r="O83" s="57"/>
      <c r="P83" s="57"/>
      <c r="Q83" s="57"/>
      <c r="R83" s="57"/>
      <c r="S83" s="57"/>
      <c r="T83" s="57"/>
      <c r="U83" s="57"/>
      <c r="V83" s="57"/>
      <c r="W83" s="57"/>
      <c r="X83" s="57"/>
      <c r="Y83" s="58"/>
      <c r="Z83" s="58"/>
      <c r="AA83" s="58"/>
      <c r="AB83" s="58"/>
      <c r="AC83" s="58"/>
      <c r="AD83" s="58"/>
      <c r="AE83" s="58"/>
    </row>
    <row r="84" spans="1:31" s="41" customFormat="1" ht="31.5" x14ac:dyDescent="0.25">
      <c r="A84" s="474">
        <f>УП!C97</f>
        <v>25</v>
      </c>
      <c r="B84" s="17" t="str">
        <f>УП!D97</f>
        <v>Иностранный язык в профессиональной деятельности (смешанное обучение)</v>
      </c>
      <c r="C84" s="3"/>
      <c r="D84" s="4"/>
      <c r="E84" s="4"/>
      <c r="F84" s="4"/>
      <c r="G84" s="4"/>
      <c r="H84" s="4"/>
      <c r="I84" s="15"/>
      <c r="J84" s="15"/>
      <c r="K84" s="15"/>
      <c r="L84" s="15"/>
      <c r="M84" s="15"/>
      <c r="N84" s="15"/>
      <c r="O84" s="15"/>
      <c r="P84" s="15"/>
      <c r="Q84" s="15"/>
      <c r="R84" s="15"/>
      <c r="S84" s="4"/>
      <c r="T84" s="4"/>
      <c r="U84" s="4"/>
      <c r="V84" s="4"/>
      <c r="W84" s="4"/>
      <c r="X84" s="4"/>
      <c r="Y84" s="4"/>
      <c r="Z84" s="4"/>
      <c r="AA84" s="4"/>
      <c r="AB84" s="4"/>
      <c r="AC84" s="4"/>
      <c r="AD84" s="4"/>
      <c r="AE84" s="4"/>
    </row>
    <row r="85" spans="1:31" s="41" customFormat="1" ht="31.5" x14ac:dyDescent="0.25">
      <c r="A85" s="474">
        <f>УП!C98</f>
        <v>26</v>
      </c>
      <c r="B85" s="16" t="str">
        <f>УП!D98</f>
        <v>Цифровая культура в профессиональной деятельности</v>
      </c>
      <c r="C85" s="13"/>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row>
    <row r="86" spans="1:31" s="41" customFormat="1" x14ac:dyDescent="0.25">
      <c r="A86" s="474"/>
      <c r="B86" s="17" t="str">
        <f>УП!D99</f>
        <v>Методы трансляции</v>
      </c>
      <c r="C86" s="3"/>
      <c r="D86" s="4"/>
      <c r="E86" s="4"/>
      <c r="F86" s="4" t="s">
        <v>180</v>
      </c>
      <c r="G86" s="4"/>
      <c r="H86" s="4"/>
      <c r="I86" s="15"/>
      <c r="J86" s="15"/>
      <c r="K86" s="15"/>
      <c r="L86" s="15"/>
      <c r="M86" s="15"/>
      <c r="N86" s="15"/>
      <c r="O86" s="15"/>
      <c r="P86" s="15"/>
      <c r="Q86" s="15"/>
      <c r="R86" s="15"/>
      <c r="S86" s="4"/>
      <c r="T86" s="4"/>
      <c r="U86" s="4"/>
      <c r="V86" s="4"/>
      <c r="W86" s="4"/>
      <c r="X86" s="4"/>
      <c r="Y86" s="4"/>
      <c r="Z86" s="4"/>
      <c r="AA86" s="4"/>
      <c r="AB86" s="4"/>
      <c r="AC86" s="4"/>
      <c r="AD86" s="4"/>
      <c r="AE86" s="4"/>
    </row>
    <row r="87" spans="1:31" s="41" customFormat="1" x14ac:dyDescent="0.25">
      <c r="A87" s="474"/>
      <c r="B87" s="17" t="str">
        <f>УП!D109</f>
        <v>Методы искусственного интеллекта</v>
      </c>
      <c r="C87" s="3"/>
      <c r="D87" s="4"/>
      <c r="E87" s="4"/>
      <c r="F87" s="4" t="s">
        <v>180</v>
      </c>
      <c r="G87" s="4"/>
      <c r="H87" s="4"/>
      <c r="I87" s="15"/>
      <c r="J87" s="15"/>
      <c r="K87" s="15"/>
      <c r="L87" s="15"/>
      <c r="M87" s="15"/>
      <c r="N87" s="15"/>
      <c r="O87" s="15"/>
      <c r="P87" s="15"/>
      <c r="Q87" s="15"/>
      <c r="R87" s="15"/>
      <c r="S87" s="4"/>
      <c r="T87" s="4"/>
      <c r="U87" s="4"/>
      <c r="V87" s="4"/>
      <c r="W87" s="4"/>
      <c r="X87" s="4"/>
      <c r="Y87" s="4"/>
      <c r="Z87" s="4"/>
      <c r="AA87" s="4"/>
      <c r="AB87" s="4"/>
      <c r="AC87" s="4"/>
      <c r="AD87" s="4"/>
      <c r="AE87" s="4"/>
    </row>
    <row r="88" spans="1:31" s="41" customFormat="1" ht="18" customHeight="1" x14ac:dyDescent="0.25">
      <c r="A88" s="447"/>
      <c r="B88" s="445" t="str">
        <f>УП!D110</f>
        <v>Факультетский модуль</v>
      </c>
      <c r="C88" s="447"/>
      <c r="D88" s="447"/>
      <c r="E88" s="447"/>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row>
    <row r="89" spans="1:31" s="41" customFormat="1" x14ac:dyDescent="0.25">
      <c r="A89" s="475">
        <f>УП!C111</f>
        <v>28</v>
      </c>
      <c r="B89" s="447" t="str">
        <f>УП!D111</f>
        <v>Архитектура ЭВМ</v>
      </c>
      <c r="C89" s="3"/>
      <c r="D89" s="4"/>
      <c r="E89" s="4"/>
      <c r="F89" s="4"/>
      <c r="G89" s="4"/>
      <c r="H89" s="4"/>
      <c r="I89" s="15"/>
      <c r="J89" s="15"/>
      <c r="K89" s="15"/>
      <c r="L89" s="15"/>
      <c r="M89" s="15"/>
      <c r="N89" s="15"/>
      <c r="O89" s="15"/>
      <c r="P89" s="15"/>
      <c r="Q89" s="15"/>
      <c r="R89" s="15"/>
      <c r="S89" s="4"/>
      <c r="T89" s="4"/>
      <c r="U89" s="4"/>
      <c r="V89" s="4"/>
      <c r="W89" s="4"/>
      <c r="X89" s="4"/>
      <c r="Y89" s="63"/>
      <c r="Z89" s="63"/>
      <c r="AA89" s="63"/>
      <c r="AB89" s="63"/>
      <c r="AC89" s="63"/>
      <c r="AD89" s="63"/>
      <c r="AE89" s="63"/>
    </row>
    <row r="90" spans="1:31" s="41" customFormat="1" x14ac:dyDescent="0.25">
      <c r="A90" s="475">
        <f>УП!C112</f>
        <v>29</v>
      </c>
      <c r="B90" s="447" t="str">
        <f>УП!D112</f>
        <v>Технологии программирования</v>
      </c>
      <c r="C90" s="3"/>
      <c r="D90" s="4"/>
      <c r="E90" s="4"/>
      <c r="F90" s="4"/>
      <c r="G90" s="4"/>
      <c r="H90" s="4"/>
      <c r="I90" s="15"/>
      <c r="J90" s="15"/>
      <c r="K90" s="15"/>
      <c r="L90" s="15"/>
      <c r="M90" s="15"/>
      <c r="N90" s="15"/>
      <c r="O90" s="15"/>
      <c r="P90" s="15"/>
      <c r="Q90" s="15"/>
      <c r="R90" s="15"/>
      <c r="S90" s="4"/>
      <c r="T90" s="4"/>
      <c r="U90" s="4"/>
      <c r="V90" s="4"/>
      <c r="W90" s="4"/>
      <c r="X90" s="4"/>
      <c r="Y90" s="63"/>
      <c r="Z90" s="63"/>
      <c r="AA90" s="63"/>
      <c r="AB90" s="63"/>
      <c r="AC90" s="63"/>
      <c r="AD90" s="63"/>
      <c r="AE90" s="63"/>
    </row>
    <row r="91" spans="1:31" s="41" customFormat="1" ht="31.5" x14ac:dyDescent="0.25">
      <c r="A91" s="475">
        <f>УП!C113</f>
        <v>30</v>
      </c>
      <c r="B91" s="447" t="str">
        <f>УП!D113</f>
        <v>Телекоммуникационные системы и технологии</v>
      </c>
      <c r="C91" s="3"/>
      <c r="D91" s="4"/>
      <c r="E91" s="4"/>
      <c r="F91" s="4"/>
      <c r="G91" s="4"/>
      <c r="H91" s="4"/>
      <c r="I91" s="15"/>
      <c r="J91" s="15"/>
      <c r="K91" s="15"/>
      <c r="L91" s="15"/>
      <c r="M91" s="15"/>
      <c r="N91" s="15"/>
      <c r="O91" s="15"/>
      <c r="P91" s="15"/>
      <c r="Q91" s="15"/>
      <c r="R91" s="15"/>
      <c r="S91" s="4"/>
      <c r="T91" s="4"/>
      <c r="U91" s="4"/>
      <c r="V91" s="4"/>
      <c r="W91" s="4"/>
      <c r="X91" s="4"/>
      <c r="Y91" s="63"/>
      <c r="Z91" s="63"/>
      <c r="AA91" s="63"/>
      <c r="AB91" s="63"/>
      <c r="AC91" s="63"/>
      <c r="AD91" s="63"/>
      <c r="AE91" s="63"/>
    </row>
    <row r="92" spans="1:31" s="41" customFormat="1" x14ac:dyDescent="0.25">
      <c r="A92" s="475">
        <f>УП!C114</f>
        <v>31</v>
      </c>
      <c r="B92" s="447" t="str">
        <f>УП!D114</f>
        <v>Информационная безопасность</v>
      </c>
      <c r="C92" s="3"/>
      <c r="D92" s="4"/>
      <c r="E92" s="4"/>
      <c r="F92" s="4"/>
      <c r="G92" s="4"/>
      <c r="H92" s="4"/>
      <c r="I92" s="15"/>
      <c r="J92" s="15"/>
      <c r="K92" s="15"/>
      <c r="L92" s="15"/>
      <c r="M92" s="15"/>
      <c r="N92" s="15"/>
      <c r="O92" s="15"/>
      <c r="P92" s="15"/>
      <c r="Q92" s="15"/>
      <c r="R92" s="15"/>
      <c r="S92" s="4"/>
      <c r="T92" s="4"/>
      <c r="U92" s="4"/>
      <c r="V92" s="4"/>
      <c r="W92" s="4"/>
      <c r="X92" s="4"/>
      <c r="Y92" s="63"/>
      <c r="Z92" s="63"/>
      <c r="AA92" s="63"/>
      <c r="AB92" s="63"/>
      <c r="AC92" s="63"/>
      <c r="AD92" s="63"/>
      <c r="AE92" s="63"/>
    </row>
    <row r="93" spans="1:31" s="41" customFormat="1" x14ac:dyDescent="0.25">
      <c r="A93" s="475">
        <f>УП!C115</f>
        <v>46</v>
      </c>
      <c r="B93" s="447">
        <f>УП!D115</f>
        <v>0</v>
      </c>
      <c r="C93" s="3"/>
      <c r="D93" s="4"/>
      <c r="E93" s="4"/>
      <c r="F93" s="4"/>
      <c r="G93" s="4"/>
      <c r="H93" s="4"/>
      <c r="I93" s="15"/>
      <c r="J93" s="15"/>
      <c r="K93" s="15"/>
      <c r="L93" s="15"/>
      <c r="M93" s="15"/>
      <c r="N93" s="15"/>
      <c r="O93" s="15"/>
      <c r="P93" s="15"/>
      <c r="Q93" s="15"/>
      <c r="R93" s="15"/>
      <c r="S93" s="4"/>
      <c r="T93" s="4"/>
      <c r="U93" s="4"/>
      <c r="V93" s="4"/>
      <c r="W93" s="4"/>
      <c r="X93" s="4"/>
      <c r="Y93" s="63"/>
      <c r="Z93" s="63"/>
      <c r="AA93" s="63"/>
      <c r="AB93" s="63"/>
      <c r="AC93" s="63"/>
      <c r="AD93" s="63"/>
      <c r="AE93" s="63"/>
    </row>
    <row r="94" spans="1:31" s="41" customFormat="1" x14ac:dyDescent="0.25">
      <c r="A94" s="475">
        <f>УП!C116</f>
        <v>47</v>
      </c>
      <c r="B94" s="447">
        <f>УП!D116</f>
        <v>0</v>
      </c>
      <c r="C94" s="3"/>
      <c r="D94" s="4"/>
      <c r="E94" s="4"/>
      <c r="F94" s="4"/>
      <c r="G94" s="4"/>
      <c r="H94" s="4"/>
      <c r="I94" s="15"/>
      <c r="J94" s="15"/>
      <c r="K94" s="15"/>
      <c r="L94" s="15"/>
      <c r="M94" s="15"/>
      <c r="N94" s="15"/>
      <c r="O94" s="15"/>
      <c r="P94" s="15"/>
      <c r="Q94" s="15"/>
      <c r="R94" s="15"/>
      <c r="S94" s="4"/>
      <c r="T94" s="4"/>
      <c r="U94" s="4"/>
      <c r="V94" s="4"/>
      <c r="W94" s="4"/>
      <c r="X94" s="4"/>
      <c r="Y94" s="63"/>
      <c r="Z94" s="63"/>
      <c r="AA94" s="63"/>
      <c r="AB94" s="63"/>
      <c r="AC94" s="63"/>
      <c r="AD94" s="63"/>
      <c r="AE94" s="63"/>
    </row>
    <row r="95" spans="1:31" s="41" customFormat="1" ht="21.75" customHeight="1" x14ac:dyDescent="0.25">
      <c r="A95" s="460"/>
      <c r="B95" s="50" t="str">
        <f>УП!D117</f>
        <v>Профильный профессиональный модуль</v>
      </c>
      <c r="C95" s="10"/>
      <c r="D95" s="11"/>
      <c r="E95" s="11"/>
      <c r="F95" s="11"/>
      <c r="G95" s="11"/>
      <c r="H95" s="11"/>
      <c r="I95" s="11"/>
      <c r="J95" s="11"/>
      <c r="K95" s="11"/>
      <c r="L95" s="11"/>
      <c r="M95" s="11"/>
      <c r="N95" s="11"/>
      <c r="O95" s="11"/>
      <c r="P95" s="11"/>
      <c r="Q95" s="11"/>
      <c r="R95" s="11"/>
      <c r="S95" s="11"/>
      <c r="T95" s="11"/>
      <c r="U95" s="11"/>
      <c r="V95" s="11"/>
      <c r="W95" s="11"/>
      <c r="X95" s="11"/>
      <c r="Y95" s="43"/>
      <c r="Z95" s="43"/>
      <c r="AA95" s="43"/>
      <c r="AB95" s="43"/>
      <c r="AC95" s="43"/>
      <c r="AD95" s="43"/>
      <c r="AE95" s="43"/>
    </row>
    <row r="96" spans="1:31" s="41" customFormat="1" ht="27" customHeight="1" x14ac:dyDescent="0.25">
      <c r="A96" s="476">
        <f>УП!C118</f>
        <v>32</v>
      </c>
      <c r="B96" s="49" t="str">
        <f>УП!D118</f>
        <v>Базы данных</v>
      </c>
      <c r="C96" s="3"/>
      <c r="D96" s="4"/>
      <c r="E96" s="4"/>
      <c r="F96" s="4"/>
      <c r="G96" s="4"/>
      <c r="H96" s="4"/>
      <c r="I96" s="15"/>
      <c r="J96" s="15"/>
      <c r="K96" s="15"/>
      <c r="L96" s="15"/>
      <c r="M96" s="15"/>
      <c r="N96" s="15"/>
      <c r="O96" s="15"/>
      <c r="P96" s="15"/>
      <c r="Q96" s="15"/>
      <c r="R96" s="15"/>
      <c r="S96" s="4"/>
      <c r="T96" s="4"/>
      <c r="U96" s="4"/>
      <c r="V96" s="4"/>
      <c r="W96" s="4"/>
      <c r="X96" s="4"/>
      <c r="Y96" s="4"/>
      <c r="Z96" s="4"/>
      <c r="AA96" s="4"/>
      <c r="AB96" s="4"/>
      <c r="AC96" s="4"/>
      <c r="AD96" s="4"/>
      <c r="AE96" s="4"/>
    </row>
    <row r="97" spans="1:31" s="41" customFormat="1" ht="31.5" x14ac:dyDescent="0.25">
      <c r="A97" s="476">
        <f>УП!C119</f>
        <v>33</v>
      </c>
      <c r="B97" s="49" t="str">
        <f>УП!D119</f>
        <v>Объектно-ориентированное программирование</v>
      </c>
      <c r="C97" s="3"/>
      <c r="D97" s="4"/>
      <c r="E97" s="4"/>
      <c r="F97" s="4"/>
      <c r="G97" s="4"/>
      <c r="H97" s="4"/>
      <c r="I97" s="15"/>
      <c r="J97" s="15"/>
      <c r="K97" s="15"/>
      <c r="L97" s="15"/>
      <c r="M97" s="15"/>
      <c r="N97" s="15"/>
      <c r="O97" s="15"/>
      <c r="P97" s="15"/>
      <c r="Q97" s="15"/>
      <c r="R97" s="15"/>
      <c r="S97" s="4"/>
      <c r="T97" s="4"/>
      <c r="U97" s="4"/>
      <c r="V97" s="4"/>
      <c r="W97" s="4"/>
      <c r="X97" s="4"/>
      <c r="Y97" s="4"/>
      <c r="Z97" s="4"/>
      <c r="AA97" s="4"/>
      <c r="AB97" s="4"/>
      <c r="AC97" s="4"/>
      <c r="AD97" s="4"/>
      <c r="AE97" s="4"/>
    </row>
    <row r="98" spans="1:31" s="41" customFormat="1" x14ac:dyDescent="0.25">
      <c r="A98" s="476">
        <f>УП!C120</f>
        <v>34</v>
      </c>
      <c r="B98" s="49" t="str">
        <f>УП!D120</f>
        <v>Web-программирование</v>
      </c>
      <c r="C98" s="3"/>
      <c r="D98" s="4"/>
      <c r="E98" s="4"/>
      <c r="F98" s="4"/>
      <c r="G98" s="4"/>
      <c r="H98" s="4"/>
      <c r="I98" s="15"/>
      <c r="J98" s="15"/>
      <c r="K98" s="15"/>
      <c r="L98" s="15"/>
      <c r="M98" s="15"/>
      <c r="N98" s="15"/>
      <c r="O98" s="15"/>
      <c r="P98" s="15"/>
      <c r="Q98" s="15"/>
      <c r="R98" s="15"/>
      <c r="S98" s="4"/>
      <c r="T98" s="4"/>
      <c r="U98" s="4"/>
      <c r="V98" s="4"/>
      <c r="W98" s="4"/>
      <c r="X98" s="4"/>
      <c r="Y98" s="4"/>
      <c r="Z98" s="4"/>
      <c r="AA98" s="4"/>
      <c r="AB98" s="4"/>
      <c r="AC98" s="4"/>
      <c r="AD98" s="4"/>
      <c r="AE98" s="4"/>
    </row>
    <row r="99" spans="1:31" s="41" customFormat="1" x14ac:dyDescent="0.25">
      <c r="A99" s="476">
        <f>УП!C121</f>
        <v>35</v>
      </c>
      <c r="B99" s="49" t="str">
        <f>УП!D121</f>
        <v>Специальные разделы физики</v>
      </c>
      <c r="C99" s="3"/>
      <c r="D99" s="4"/>
      <c r="E99" s="4"/>
      <c r="F99" s="4"/>
      <c r="G99" s="4"/>
      <c r="H99" s="4"/>
      <c r="I99" s="15"/>
      <c r="J99" s="15"/>
      <c r="K99" s="15"/>
      <c r="L99" s="15"/>
      <c r="M99" s="15"/>
      <c r="N99" s="15"/>
      <c r="O99" s="15"/>
      <c r="P99" s="15"/>
      <c r="Q99" s="15"/>
      <c r="R99" s="15"/>
      <c r="S99" s="4"/>
      <c r="T99" s="4"/>
      <c r="U99" s="4"/>
      <c r="V99" s="4"/>
      <c r="W99" s="4"/>
      <c r="X99" s="4"/>
      <c r="Y99" s="4"/>
      <c r="Z99" s="4"/>
      <c r="AA99" s="4"/>
      <c r="AB99" s="4"/>
      <c r="AC99" s="4"/>
      <c r="AD99" s="4"/>
      <c r="AE99" s="4"/>
    </row>
    <row r="100" spans="1:31" s="41" customFormat="1" x14ac:dyDescent="0.25">
      <c r="A100" s="476">
        <f>УП!C122</f>
        <v>36</v>
      </c>
      <c r="B100" s="27" t="str">
        <f>УП!D122</f>
        <v>Компьютерная геометрия и графика</v>
      </c>
      <c r="C100" s="3"/>
      <c r="D100" s="4"/>
      <c r="E100" s="4"/>
      <c r="F100" s="4"/>
      <c r="G100" s="4"/>
      <c r="H100" s="4"/>
      <c r="I100" s="15"/>
      <c r="J100" s="15"/>
      <c r="K100" s="15"/>
      <c r="L100" s="15"/>
      <c r="M100" s="15"/>
      <c r="N100" s="15"/>
      <c r="O100" s="15"/>
      <c r="P100" s="15"/>
      <c r="Q100" s="15"/>
      <c r="R100" s="15"/>
      <c r="S100" s="4"/>
      <c r="T100" s="4"/>
      <c r="U100" s="4"/>
      <c r="V100" s="4"/>
      <c r="W100" s="4"/>
      <c r="X100" s="4"/>
      <c r="Y100" s="4"/>
      <c r="Z100" s="4"/>
      <c r="AA100" s="4"/>
      <c r="AB100" s="4"/>
      <c r="AC100" s="4"/>
      <c r="AD100" s="4"/>
      <c r="AE100" s="4"/>
    </row>
    <row r="101" spans="1:31" s="41" customFormat="1" x14ac:dyDescent="0.25">
      <c r="A101" s="476">
        <f>УП!C123</f>
        <v>53</v>
      </c>
      <c r="B101" s="27">
        <f>УП!D123</f>
        <v>0</v>
      </c>
      <c r="C101" s="3"/>
      <c r="D101" s="4"/>
      <c r="E101" s="4"/>
      <c r="F101" s="4"/>
      <c r="G101" s="4"/>
      <c r="H101" s="4"/>
      <c r="I101" s="15"/>
      <c r="J101" s="15"/>
      <c r="K101" s="15"/>
      <c r="L101" s="15"/>
      <c r="M101" s="15"/>
      <c r="N101" s="15"/>
      <c r="O101" s="15"/>
      <c r="P101" s="15"/>
      <c r="Q101" s="15"/>
      <c r="R101" s="15"/>
      <c r="S101" s="4"/>
      <c r="T101" s="4"/>
      <c r="U101" s="4"/>
      <c r="V101" s="4"/>
      <c r="W101" s="4"/>
      <c r="X101" s="4"/>
      <c r="Y101" s="4"/>
      <c r="Z101" s="4"/>
      <c r="AA101" s="4"/>
      <c r="AB101" s="4"/>
      <c r="AC101" s="4"/>
      <c r="AD101" s="4"/>
      <c r="AE101" s="4"/>
    </row>
    <row r="102" spans="1:31" s="41" customFormat="1" x14ac:dyDescent="0.25">
      <c r="A102" s="476">
        <f>УП!C124</f>
        <v>54</v>
      </c>
      <c r="B102" s="27">
        <f>УП!D124</f>
        <v>0</v>
      </c>
      <c r="C102" s="3"/>
      <c r="D102" s="4"/>
      <c r="E102" s="4"/>
      <c r="F102" s="4"/>
      <c r="G102" s="4"/>
      <c r="H102" s="4"/>
      <c r="I102" s="15"/>
      <c r="J102" s="15"/>
      <c r="K102" s="15"/>
      <c r="L102" s="15"/>
      <c r="M102" s="15"/>
      <c r="N102" s="15"/>
      <c r="O102" s="15"/>
      <c r="P102" s="15"/>
      <c r="Q102" s="15"/>
      <c r="R102" s="15"/>
      <c r="S102" s="4"/>
      <c r="T102" s="4"/>
      <c r="U102" s="4"/>
      <c r="V102" s="4"/>
      <c r="W102" s="4"/>
      <c r="X102" s="4"/>
      <c r="Y102" s="4"/>
      <c r="Z102" s="4"/>
      <c r="AA102" s="4"/>
      <c r="AB102" s="4"/>
      <c r="AC102" s="4"/>
      <c r="AD102" s="4"/>
      <c r="AE102" s="4"/>
    </row>
    <row r="103" spans="1:31" s="41" customFormat="1" x14ac:dyDescent="0.25">
      <c r="A103" s="476">
        <f>УП!C125</f>
        <v>55</v>
      </c>
      <c r="B103" s="27">
        <f>УП!D125</f>
        <v>0</v>
      </c>
      <c r="C103" s="3"/>
      <c r="D103" s="4"/>
      <c r="E103" s="4"/>
      <c r="F103" s="4"/>
      <c r="G103" s="4"/>
      <c r="H103" s="4"/>
      <c r="I103" s="15"/>
      <c r="J103" s="15"/>
      <c r="K103" s="15"/>
      <c r="L103" s="15"/>
      <c r="M103" s="15"/>
      <c r="N103" s="15"/>
      <c r="O103" s="15"/>
      <c r="P103" s="15"/>
      <c r="Q103" s="15"/>
      <c r="R103" s="15"/>
      <c r="S103" s="4"/>
      <c r="T103" s="4"/>
      <c r="U103" s="4"/>
      <c r="V103" s="4"/>
      <c r="W103" s="4"/>
      <c r="X103" s="4"/>
      <c r="Y103" s="4"/>
      <c r="Z103" s="4"/>
      <c r="AA103" s="4"/>
      <c r="AB103" s="4"/>
      <c r="AC103" s="4"/>
      <c r="AD103" s="4"/>
      <c r="AE103" s="4"/>
    </row>
    <row r="104" spans="1:31" s="41" customFormat="1" x14ac:dyDescent="0.25">
      <c r="A104" s="476">
        <f>УП!C126</f>
        <v>56</v>
      </c>
      <c r="B104" s="27">
        <f>УП!D126</f>
        <v>0</v>
      </c>
      <c r="C104" s="3"/>
      <c r="D104" s="4"/>
      <c r="E104" s="4"/>
      <c r="F104" s="4"/>
      <c r="G104" s="4"/>
      <c r="H104" s="4"/>
      <c r="I104" s="15"/>
      <c r="J104" s="15"/>
      <c r="K104" s="15"/>
      <c r="L104" s="15"/>
      <c r="M104" s="15"/>
      <c r="N104" s="15"/>
      <c r="O104" s="15"/>
      <c r="P104" s="15"/>
      <c r="Q104" s="15"/>
      <c r="R104" s="15"/>
      <c r="S104" s="4"/>
      <c r="T104" s="4"/>
      <c r="U104" s="4"/>
      <c r="V104" s="4"/>
      <c r="W104" s="4"/>
      <c r="X104" s="4"/>
      <c r="Y104" s="4"/>
      <c r="Z104" s="4"/>
      <c r="AA104" s="4"/>
      <c r="AB104" s="4"/>
      <c r="AC104" s="4"/>
      <c r="AD104" s="4"/>
      <c r="AE104" s="4"/>
    </row>
    <row r="105" spans="1:31" s="41" customFormat="1" x14ac:dyDescent="0.25">
      <c r="A105" s="476">
        <f>УП!C127</f>
        <v>57</v>
      </c>
      <c r="B105" s="27">
        <f>УП!D127</f>
        <v>0</v>
      </c>
      <c r="C105" s="3"/>
      <c r="D105" s="4"/>
      <c r="E105" s="4"/>
      <c r="F105" s="4"/>
      <c r="G105" s="4"/>
      <c r="H105" s="4"/>
      <c r="I105" s="15"/>
      <c r="J105" s="15"/>
      <c r="K105" s="15"/>
      <c r="L105" s="15"/>
      <c r="M105" s="15"/>
      <c r="N105" s="15"/>
      <c r="O105" s="15"/>
      <c r="P105" s="15"/>
      <c r="Q105" s="15"/>
      <c r="R105" s="15"/>
      <c r="S105" s="4"/>
      <c r="T105" s="4"/>
      <c r="U105" s="4"/>
      <c r="V105" s="4"/>
      <c r="W105" s="4"/>
      <c r="X105" s="4"/>
      <c r="Y105" s="4"/>
      <c r="Z105" s="4"/>
      <c r="AA105" s="4"/>
      <c r="AB105" s="4"/>
      <c r="AC105" s="4"/>
      <c r="AD105" s="4"/>
      <c r="AE105" s="4"/>
    </row>
    <row r="106" spans="1:31" s="41" customFormat="1" x14ac:dyDescent="0.25">
      <c r="A106" s="476">
        <f>УП!C128</f>
        <v>58</v>
      </c>
      <c r="B106" s="27">
        <f>УП!D128</f>
        <v>0</v>
      </c>
      <c r="C106" s="3"/>
      <c r="D106" s="4"/>
      <c r="E106" s="4"/>
      <c r="F106" s="4"/>
      <c r="G106" s="4"/>
      <c r="H106" s="4"/>
      <c r="I106" s="15"/>
      <c r="J106" s="15"/>
      <c r="K106" s="15"/>
      <c r="L106" s="15"/>
      <c r="M106" s="15"/>
      <c r="N106" s="15"/>
      <c r="O106" s="15"/>
      <c r="P106" s="15"/>
      <c r="Q106" s="15"/>
      <c r="R106" s="15"/>
      <c r="S106" s="4"/>
      <c r="T106" s="4"/>
      <c r="U106" s="4"/>
      <c r="V106" s="4"/>
      <c r="W106" s="4"/>
      <c r="X106" s="4"/>
      <c r="Y106" s="4"/>
      <c r="Z106" s="4"/>
      <c r="AA106" s="4"/>
      <c r="AB106" s="4"/>
      <c r="AC106" s="4"/>
      <c r="AD106" s="4"/>
      <c r="AE106" s="4"/>
    </row>
    <row r="107" spans="1:31" s="41" customFormat="1" x14ac:dyDescent="0.25">
      <c r="A107" s="476">
        <f>УП!C129</f>
        <v>59</v>
      </c>
      <c r="B107" s="27">
        <f>УП!D129</f>
        <v>0</v>
      </c>
      <c r="C107" s="3"/>
      <c r="D107" s="4"/>
      <c r="E107" s="4"/>
      <c r="F107" s="4"/>
      <c r="G107" s="4"/>
      <c r="H107" s="4"/>
      <c r="I107" s="15"/>
      <c r="J107" s="15"/>
      <c r="K107" s="15"/>
      <c r="L107" s="15"/>
      <c r="M107" s="15"/>
      <c r="N107" s="15"/>
      <c r="O107" s="15"/>
      <c r="P107" s="15"/>
      <c r="Q107" s="15"/>
      <c r="R107" s="15"/>
      <c r="S107" s="4"/>
      <c r="T107" s="4"/>
      <c r="U107" s="4"/>
      <c r="V107" s="4"/>
      <c r="W107" s="4"/>
      <c r="X107" s="4"/>
      <c r="Y107" s="4"/>
      <c r="Z107" s="4"/>
      <c r="AA107" s="4"/>
      <c r="AB107" s="4"/>
      <c r="AC107" s="4"/>
      <c r="AD107" s="4"/>
      <c r="AE107" s="4"/>
    </row>
    <row r="108" spans="1:31" s="41" customFormat="1" x14ac:dyDescent="0.25">
      <c r="A108" s="476">
        <f>УП!C130</f>
        <v>60</v>
      </c>
      <c r="B108" s="27">
        <f>УП!D130</f>
        <v>0</v>
      </c>
      <c r="C108" s="3"/>
      <c r="D108" s="4"/>
      <c r="E108" s="4"/>
      <c r="F108" s="4"/>
      <c r="G108" s="4"/>
      <c r="H108" s="4"/>
      <c r="I108" s="15"/>
      <c r="J108" s="15"/>
      <c r="K108" s="15"/>
      <c r="L108" s="15"/>
      <c r="M108" s="15"/>
      <c r="N108" s="15"/>
      <c r="O108" s="15"/>
      <c r="P108" s="15"/>
      <c r="Q108" s="15"/>
      <c r="R108" s="15"/>
      <c r="S108" s="4"/>
      <c r="T108" s="4"/>
      <c r="U108" s="4"/>
      <c r="V108" s="4"/>
      <c r="W108" s="4"/>
      <c r="X108" s="4"/>
      <c r="Y108" s="4"/>
      <c r="Z108" s="4"/>
      <c r="AA108" s="4"/>
      <c r="AB108" s="4"/>
      <c r="AC108" s="4"/>
      <c r="AD108" s="4"/>
      <c r="AE108" s="4"/>
    </row>
    <row r="109" spans="1:31" s="41" customFormat="1" ht="33.75" customHeight="1" x14ac:dyDescent="0.25">
      <c r="A109" s="460"/>
      <c r="B109" s="9" t="str">
        <f>УП!D131</f>
        <v xml:space="preserve">Вариативно-профильный профессиональный модуль (модуль «мягкой специализации») </v>
      </c>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41" customFormat="1" x14ac:dyDescent="0.25">
      <c r="A110" s="26"/>
      <c r="B110" s="52" t="str">
        <f>УП!D132</f>
        <v>Специализация 1: Информационные системы и технологии</v>
      </c>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s="41" customFormat="1" x14ac:dyDescent="0.25">
      <c r="A111" s="476">
        <f>УП!C133</f>
        <v>37</v>
      </c>
      <c r="B111" s="49" t="str">
        <f>УП!D133</f>
        <v>Анализ и проектирование на UML</v>
      </c>
      <c r="C111" s="28"/>
      <c r="D111" s="15"/>
      <c r="E111" s="15"/>
      <c r="F111" s="15"/>
      <c r="G111" s="15"/>
      <c r="H111" s="15"/>
      <c r="I111" s="15"/>
      <c r="J111" s="15"/>
      <c r="K111" s="15"/>
      <c r="L111" s="15"/>
      <c r="M111" s="15"/>
      <c r="N111" s="15"/>
      <c r="O111" s="15"/>
      <c r="P111" s="15"/>
      <c r="Q111" s="15"/>
      <c r="R111" s="15"/>
      <c r="S111" s="4"/>
      <c r="T111" s="4"/>
      <c r="U111" s="4"/>
      <c r="V111" s="4"/>
      <c r="W111" s="4"/>
      <c r="X111" s="4"/>
      <c r="Y111" s="4"/>
      <c r="Z111" s="4"/>
      <c r="AA111" s="4"/>
      <c r="AB111" s="4"/>
      <c r="AC111" s="4"/>
      <c r="AD111" s="4"/>
      <c r="AE111" s="4"/>
    </row>
    <row r="112" spans="1:31" s="41" customFormat="1" x14ac:dyDescent="0.25">
      <c r="A112" s="476">
        <f>УП!C134</f>
        <v>38</v>
      </c>
      <c r="B112" s="49" t="str">
        <f>УП!D134</f>
        <v>Инструментальные средства разработки ПО</v>
      </c>
      <c r="C112" s="28"/>
      <c r="D112" s="15"/>
      <c r="E112" s="15"/>
      <c r="F112" s="15"/>
      <c r="G112" s="15"/>
      <c r="H112" s="15"/>
      <c r="I112" s="15"/>
      <c r="J112" s="15"/>
      <c r="K112" s="15"/>
      <c r="L112" s="15"/>
      <c r="M112" s="15"/>
      <c r="N112" s="15"/>
      <c r="O112" s="15"/>
      <c r="P112" s="15"/>
      <c r="Q112" s="15"/>
      <c r="R112" s="15"/>
      <c r="S112" s="4"/>
      <c r="T112" s="4"/>
      <c r="U112" s="4"/>
      <c r="V112" s="4"/>
      <c r="W112" s="4"/>
      <c r="X112" s="4"/>
      <c r="Y112" s="4"/>
      <c r="Z112" s="4"/>
      <c r="AA112" s="4"/>
      <c r="AB112" s="4"/>
      <c r="AC112" s="4"/>
      <c r="AD112" s="4"/>
      <c r="AE112" s="4"/>
    </row>
    <row r="113" spans="1:44" s="41" customFormat="1" x14ac:dyDescent="0.25">
      <c r="A113" s="476">
        <f>УП!C135</f>
        <v>39</v>
      </c>
      <c r="B113" s="49" t="str">
        <f>УП!D135</f>
        <v>Прикладная математика</v>
      </c>
      <c r="C113" s="28"/>
      <c r="D113" s="15"/>
      <c r="E113" s="15"/>
      <c r="F113" s="15"/>
      <c r="G113" s="15"/>
      <c r="H113" s="15"/>
      <c r="I113" s="15"/>
      <c r="J113" s="15"/>
      <c r="K113" s="15"/>
      <c r="L113" s="15"/>
      <c r="M113" s="15"/>
      <c r="N113" s="15"/>
      <c r="O113" s="15"/>
      <c r="P113" s="15"/>
      <c r="Q113" s="15"/>
      <c r="R113" s="15"/>
      <c r="S113" s="4"/>
      <c r="T113" s="4"/>
      <c r="U113" s="4"/>
      <c r="V113" s="4"/>
      <c r="W113" s="4"/>
      <c r="X113" s="4"/>
      <c r="Y113" s="4"/>
      <c r="Z113" s="4"/>
      <c r="AA113" s="4"/>
      <c r="AB113" s="4"/>
      <c r="AC113" s="4"/>
      <c r="AD113" s="4"/>
      <c r="AE113" s="4"/>
    </row>
    <row r="114" spans="1:44" s="41" customFormat="1" ht="31.5" x14ac:dyDescent="0.25">
      <c r="A114" s="476">
        <f>УП!C136</f>
        <v>40</v>
      </c>
      <c r="B114" s="49" t="str">
        <f>УП!D136</f>
        <v>Администрирование в ОС Linux/Linux operating system administration</v>
      </c>
      <c r="C114" s="28"/>
      <c r="D114" s="15"/>
      <c r="E114" s="15"/>
      <c r="F114" s="15"/>
      <c r="G114" s="15"/>
      <c r="H114" s="15"/>
      <c r="I114" s="15"/>
      <c r="J114" s="15"/>
      <c r="K114" s="15"/>
      <c r="L114" s="15"/>
      <c r="M114" s="15"/>
      <c r="N114" s="15"/>
      <c r="O114" s="15"/>
      <c r="P114" s="15"/>
      <c r="Q114" s="15"/>
      <c r="R114" s="15"/>
      <c r="S114" s="4"/>
      <c r="T114" s="4"/>
      <c r="U114" s="4"/>
      <c r="V114" s="4"/>
      <c r="W114" s="4"/>
      <c r="X114" s="4"/>
      <c r="Y114" s="4"/>
      <c r="Z114" s="4"/>
      <c r="AA114" s="4"/>
      <c r="AB114" s="4"/>
      <c r="AC114" s="4"/>
      <c r="AD114" s="4"/>
      <c r="AE114" s="4"/>
    </row>
    <row r="115" spans="1:44" s="41" customFormat="1" ht="47.25" x14ac:dyDescent="0.25">
      <c r="A115" s="476">
        <f>УП!C137</f>
        <v>41</v>
      </c>
      <c r="B115" s="27" t="str">
        <f>УП!D137</f>
        <v xml:space="preserve">Администрирование в ОС Windows Server/Windows Server operating system administration </v>
      </c>
      <c r="C115" s="29"/>
      <c r="D115" s="30"/>
      <c r="E115" s="30"/>
      <c r="F115" s="30"/>
      <c r="G115" s="30"/>
      <c r="H115" s="30"/>
      <c r="I115" s="15"/>
      <c r="J115" s="15"/>
      <c r="K115" s="15"/>
      <c r="L115" s="15"/>
      <c r="M115" s="15"/>
      <c r="N115" s="15"/>
      <c r="O115" s="15"/>
      <c r="P115" s="15"/>
      <c r="Q115" s="15"/>
      <c r="R115" s="15"/>
      <c r="S115" s="64"/>
      <c r="T115" s="64"/>
      <c r="U115" s="64"/>
      <c r="V115" s="64"/>
      <c r="W115" s="64"/>
      <c r="X115" s="64"/>
      <c r="Y115" s="64"/>
      <c r="Z115" s="64"/>
      <c r="AA115" s="64"/>
      <c r="AB115" s="64"/>
      <c r="AC115" s="64"/>
      <c r="AD115" s="64"/>
      <c r="AE115" s="64"/>
      <c r="AF115" s="40"/>
      <c r="AG115" s="40"/>
      <c r="AH115" s="40"/>
      <c r="AI115" s="40"/>
      <c r="AJ115" s="40"/>
      <c r="AK115" s="40"/>
      <c r="AL115" s="40"/>
      <c r="AM115" s="40"/>
      <c r="AN115" s="40"/>
      <c r="AO115" s="40"/>
      <c r="AP115" s="40"/>
      <c r="AQ115" s="40"/>
      <c r="AR115" s="40"/>
    </row>
    <row r="116" spans="1:44" x14ac:dyDescent="0.25">
      <c r="A116" s="476" t="e">
        <f>УП!#REF!</f>
        <v>#REF!</v>
      </c>
      <c r="B116" s="27" t="e">
        <f>УП!#REF!</f>
        <v>#REF!</v>
      </c>
      <c r="C116" s="29"/>
      <c r="D116" s="30"/>
      <c r="E116" s="30"/>
      <c r="F116" s="30"/>
      <c r="G116" s="30"/>
      <c r="H116" s="30"/>
      <c r="I116" s="15"/>
      <c r="J116" s="15"/>
      <c r="K116" s="15"/>
      <c r="L116" s="15"/>
      <c r="M116" s="15"/>
      <c r="N116" s="15"/>
      <c r="O116" s="15"/>
      <c r="P116" s="15"/>
      <c r="Q116" s="15"/>
      <c r="R116" s="15"/>
      <c r="S116" s="64"/>
      <c r="T116" s="64"/>
      <c r="U116" s="64"/>
      <c r="V116" s="64"/>
      <c r="W116" s="64"/>
      <c r="X116" s="64"/>
      <c r="Y116" s="64"/>
      <c r="Z116" s="64"/>
      <c r="AA116" s="64"/>
      <c r="AB116" s="64"/>
      <c r="AC116" s="64"/>
      <c r="AD116" s="64"/>
      <c r="AE116" s="64"/>
      <c r="AF116" s="40"/>
      <c r="AG116" s="40"/>
      <c r="AH116" s="40"/>
      <c r="AI116" s="40"/>
      <c r="AJ116" s="40"/>
      <c r="AK116" s="40"/>
      <c r="AL116" s="40"/>
      <c r="AM116" s="40"/>
      <c r="AN116" s="40"/>
      <c r="AO116" s="40"/>
      <c r="AP116" s="40"/>
      <c r="AQ116" s="40"/>
      <c r="AR116" s="40"/>
    </row>
    <row r="117" spans="1:44" x14ac:dyDescent="0.25">
      <c r="A117" s="476">
        <f>УП!C138</f>
        <v>42</v>
      </c>
      <c r="B117" s="27" t="str">
        <f>УП!D138</f>
        <v>Архитектура информационных систем</v>
      </c>
      <c r="C117" s="29"/>
      <c r="D117" s="30"/>
      <c r="E117" s="30"/>
      <c r="F117" s="30"/>
      <c r="G117" s="30"/>
      <c r="H117" s="30"/>
      <c r="I117" s="15"/>
      <c r="J117" s="15"/>
      <c r="K117" s="15"/>
      <c r="L117" s="15"/>
      <c r="M117" s="15"/>
      <c r="N117" s="15"/>
      <c r="O117" s="15"/>
      <c r="P117" s="15"/>
      <c r="Q117" s="15"/>
      <c r="R117" s="15"/>
      <c r="S117" s="64"/>
      <c r="T117" s="64"/>
      <c r="U117" s="64"/>
      <c r="V117" s="64"/>
      <c r="W117" s="64"/>
      <c r="X117" s="64"/>
      <c r="Y117" s="64"/>
      <c r="Z117" s="64"/>
      <c r="AA117" s="64"/>
      <c r="AB117" s="64"/>
      <c r="AC117" s="64"/>
      <c r="AD117" s="64"/>
      <c r="AE117" s="64"/>
      <c r="AF117" s="40"/>
      <c r="AG117" s="40"/>
      <c r="AH117" s="40"/>
      <c r="AI117" s="40"/>
      <c r="AJ117" s="40"/>
      <c r="AK117" s="40"/>
      <c r="AL117" s="40"/>
      <c r="AM117" s="40"/>
      <c r="AN117" s="40"/>
      <c r="AO117" s="40"/>
      <c r="AP117" s="40"/>
      <c r="AQ117" s="40"/>
      <c r="AR117" s="40"/>
    </row>
    <row r="118" spans="1:44" x14ac:dyDescent="0.25">
      <c r="A118" s="476">
        <f>УП!C139</f>
        <v>43</v>
      </c>
      <c r="B118" s="27" t="str">
        <f>УП!D139</f>
        <v>Электротехника и электроника</v>
      </c>
      <c r="C118" s="29"/>
      <c r="D118" s="30"/>
      <c r="E118" s="30"/>
      <c r="F118" s="30"/>
      <c r="G118" s="30"/>
      <c r="H118" s="30"/>
      <c r="I118" s="15"/>
      <c r="J118" s="15"/>
      <c r="K118" s="15"/>
      <c r="L118" s="15"/>
      <c r="M118" s="15"/>
      <c r="N118" s="15"/>
      <c r="O118" s="15"/>
      <c r="P118" s="15"/>
      <c r="Q118" s="15"/>
      <c r="R118" s="15"/>
      <c r="S118" s="64"/>
      <c r="T118" s="64"/>
      <c r="U118" s="64"/>
      <c r="V118" s="64"/>
      <c r="W118" s="64"/>
      <c r="X118" s="64"/>
      <c r="Y118" s="64"/>
      <c r="Z118" s="64"/>
      <c r="AA118" s="64"/>
      <c r="AB118" s="64"/>
      <c r="AC118" s="64"/>
      <c r="AD118" s="64"/>
      <c r="AE118" s="64"/>
      <c r="AF118" s="40"/>
      <c r="AG118" s="40"/>
      <c r="AH118" s="40"/>
      <c r="AI118" s="40"/>
      <c r="AJ118" s="40"/>
      <c r="AK118" s="40"/>
      <c r="AL118" s="40"/>
      <c r="AM118" s="40"/>
      <c r="AN118" s="40"/>
      <c r="AO118" s="40"/>
      <c r="AP118" s="40"/>
      <c r="AQ118" s="40"/>
      <c r="AR118" s="40"/>
    </row>
    <row r="119" spans="1:44" x14ac:dyDescent="0.25">
      <c r="A119" s="476">
        <f>УП!C140</f>
        <v>44</v>
      </c>
      <c r="B119" s="27" t="str">
        <f>УП!D140</f>
        <v>Языковые процессоры</v>
      </c>
      <c r="C119" s="29"/>
      <c r="D119" s="30"/>
      <c r="E119" s="30"/>
      <c r="F119" s="30"/>
      <c r="G119" s="30"/>
      <c r="H119" s="30"/>
      <c r="I119" s="15"/>
      <c r="J119" s="15"/>
      <c r="K119" s="15"/>
      <c r="L119" s="15"/>
      <c r="M119" s="15"/>
      <c r="N119" s="15"/>
      <c r="O119" s="15"/>
      <c r="P119" s="15"/>
      <c r="Q119" s="15"/>
      <c r="R119" s="15"/>
      <c r="S119" s="64"/>
      <c r="T119" s="64"/>
      <c r="U119" s="64"/>
      <c r="V119" s="64"/>
      <c r="W119" s="64"/>
      <c r="X119" s="64"/>
      <c r="Y119" s="64"/>
      <c r="Z119" s="64"/>
      <c r="AA119" s="64"/>
      <c r="AB119" s="64"/>
      <c r="AC119" s="64"/>
      <c r="AD119" s="64"/>
      <c r="AE119" s="64"/>
      <c r="AF119" s="40"/>
      <c r="AG119" s="40"/>
      <c r="AH119" s="40"/>
      <c r="AI119" s="40"/>
      <c r="AJ119" s="40"/>
      <c r="AK119" s="40"/>
      <c r="AL119" s="40"/>
      <c r="AM119" s="40"/>
      <c r="AN119" s="40"/>
      <c r="AO119" s="40"/>
      <c r="AP119" s="40"/>
      <c r="AQ119" s="40"/>
      <c r="AR119" s="40"/>
    </row>
    <row r="120" spans="1:44" x14ac:dyDescent="0.25">
      <c r="A120" s="476">
        <f>УП!C141</f>
        <v>45</v>
      </c>
      <c r="B120" s="27" t="str">
        <f>УП!D141</f>
        <v>Дополнительные главы физики</v>
      </c>
      <c r="C120" s="29"/>
      <c r="D120" s="30"/>
      <c r="E120" s="30"/>
      <c r="F120" s="30"/>
      <c r="G120" s="30"/>
      <c r="H120" s="30"/>
      <c r="I120" s="15"/>
      <c r="J120" s="15"/>
      <c r="K120" s="15"/>
      <c r="L120" s="15"/>
      <c r="M120" s="15"/>
      <c r="N120" s="15"/>
      <c r="O120" s="15"/>
      <c r="P120" s="15"/>
      <c r="Q120" s="15"/>
      <c r="R120" s="15"/>
      <c r="S120" s="64"/>
      <c r="T120" s="64"/>
      <c r="U120" s="64"/>
      <c r="V120" s="64"/>
      <c r="W120" s="64"/>
      <c r="X120" s="64"/>
      <c r="Y120" s="64"/>
      <c r="Z120" s="64"/>
      <c r="AA120" s="64"/>
      <c r="AB120" s="64"/>
      <c r="AC120" s="64"/>
      <c r="AD120" s="64"/>
      <c r="AE120" s="64"/>
      <c r="AF120" s="40"/>
      <c r="AG120" s="40"/>
      <c r="AH120" s="40"/>
      <c r="AI120" s="40"/>
      <c r="AJ120" s="40"/>
      <c r="AK120" s="40"/>
      <c r="AL120" s="40"/>
      <c r="AM120" s="40"/>
      <c r="AN120" s="40"/>
      <c r="AO120" s="40"/>
      <c r="AP120" s="40"/>
      <c r="AQ120" s="40"/>
      <c r="AR120" s="40"/>
    </row>
    <row r="121" spans="1:44" ht="31.5" x14ac:dyDescent="0.25">
      <c r="A121" s="476">
        <f>УП!C142</f>
        <v>46</v>
      </c>
      <c r="B121" s="27" t="str">
        <f>УП!D142</f>
        <v>Основы тестирования программного обеспечения</v>
      </c>
      <c r="C121" s="29"/>
      <c r="D121" s="30"/>
      <c r="E121" s="30"/>
      <c r="F121" s="30"/>
      <c r="G121" s="30"/>
      <c r="H121" s="30"/>
      <c r="I121" s="15"/>
      <c r="J121" s="15"/>
      <c r="K121" s="15"/>
      <c r="L121" s="15"/>
      <c r="M121" s="15"/>
      <c r="N121" s="15"/>
      <c r="O121" s="15"/>
      <c r="P121" s="15"/>
      <c r="Q121" s="15"/>
      <c r="R121" s="15"/>
      <c r="S121" s="64"/>
      <c r="T121" s="64"/>
      <c r="U121" s="64"/>
      <c r="V121" s="64"/>
      <c r="W121" s="64"/>
      <c r="X121" s="64"/>
      <c r="Y121" s="64"/>
      <c r="Z121" s="64"/>
      <c r="AA121" s="64"/>
      <c r="AB121" s="64"/>
      <c r="AC121" s="64"/>
      <c r="AD121" s="64"/>
      <c r="AE121" s="64"/>
      <c r="AF121" s="40"/>
      <c r="AG121" s="40"/>
      <c r="AH121" s="40"/>
      <c r="AI121" s="40"/>
      <c r="AJ121" s="40"/>
      <c r="AK121" s="40"/>
      <c r="AL121" s="40"/>
      <c r="AM121" s="40"/>
      <c r="AN121" s="40"/>
      <c r="AO121" s="40"/>
      <c r="AP121" s="40"/>
      <c r="AQ121" s="40"/>
      <c r="AR121" s="40"/>
    </row>
    <row r="122" spans="1:44" x14ac:dyDescent="0.25">
      <c r="A122" s="476">
        <f>УП!C143</f>
        <v>72</v>
      </c>
      <c r="B122" s="27">
        <f>УП!D143</f>
        <v>0</v>
      </c>
      <c r="C122" s="29"/>
      <c r="D122" s="30"/>
      <c r="E122" s="30"/>
      <c r="F122" s="30"/>
      <c r="G122" s="30"/>
      <c r="H122" s="30"/>
      <c r="I122" s="15"/>
      <c r="J122" s="15"/>
      <c r="K122" s="15"/>
      <c r="L122" s="15"/>
      <c r="M122" s="15"/>
      <c r="N122" s="15"/>
      <c r="O122" s="15"/>
      <c r="P122" s="15"/>
      <c r="Q122" s="15"/>
      <c r="R122" s="15"/>
      <c r="S122" s="64"/>
      <c r="T122" s="64"/>
      <c r="U122" s="64"/>
      <c r="V122" s="64"/>
      <c r="W122" s="64"/>
      <c r="X122" s="64"/>
      <c r="Y122" s="64"/>
      <c r="Z122" s="64"/>
      <c r="AA122" s="64"/>
      <c r="AB122" s="64"/>
      <c r="AC122" s="64"/>
      <c r="AD122" s="64"/>
      <c r="AE122" s="64"/>
      <c r="AF122" s="40"/>
      <c r="AG122" s="40"/>
      <c r="AH122" s="40"/>
      <c r="AI122" s="40"/>
      <c r="AJ122" s="40"/>
      <c r="AK122" s="40"/>
      <c r="AL122" s="40"/>
      <c r="AM122" s="40"/>
      <c r="AN122" s="40"/>
      <c r="AO122" s="40"/>
      <c r="AP122" s="40"/>
      <c r="AQ122" s="40"/>
      <c r="AR122" s="40"/>
    </row>
    <row r="123" spans="1:44" x14ac:dyDescent="0.25">
      <c r="A123" s="476">
        <f>УП!C144</f>
        <v>73</v>
      </c>
      <c r="B123" s="27">
        <f>УП!D144</f>
        <v>0</v>
      </c>
      <c r="C123" s="29"/>
      <c r="D123" s="30"/>
      <c r="E123" s="30"/>
      <c r="F123" s="30"/>
      <c r="G123" s="30"/>
      <c r="H123" s="30"/>
      <c r="I123" s="15"/>
      <c r="J123" s="15"/>
      <c r="K123" s="15"/>
      <c r="L123" s="15"/>
      <c r="M123" s="15"/>
      <c r="N123" s="15"/>
      <c r="O123" s="15"/>
      <c r="P123" s="15"/>
      <c r="Q123" s="15"/>
      <c r="R123" s="15"/>
      <c r="S123" s="64"/>
      <c r="T123" s="64"/>
      <c r="U123" s="64"/>
      <c r="V123" s="64"/>
      <c r="W123" s="64"/>
      <c r="X123" s="64"/>
      <c r="Y123" s="64"/>
      <c r="Z123" s="64"/>
      <c r="AA123" s="64"/>
      <c r="AB123" s="64"/>
      <c r="AC123" s="64"/>
      <c r="AD123" s="64"/>
      <c r="AE123" s="64"/>
      <c r="AF123" s="40"/>
      <c r="AG123" s="40"/>
      <c r="AH123" s="40"/>
      <c r="AI123" s="40"/>
      <c r="AJ123" s="40"/>
      <c r="AK123" s="40"/>
      <c r="AL123" s="40"/>
      <c r="AM123" s="40"/>
      <c r="AN123" s="40"/>
      <c r="AO123" s="40"/>
      <c r="AP123" s="40"/>
      <c r="AQ123" s="40"/>
      <c r="AR123" s="40"/>
    </row>
    <row r="124" spans="1:44" x14ac:dyDescent="0.25">
      <c r="A124" s="26"/>
      <c r="B124" s="52" t="str">
        <f>УП!D145</f>
        <v>Специализация 2: Корпоративные информационные системы</v>
      </c>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40"/>
      <c r="AG124" s="40"/>
      <c r="AH124" s="40"/>
      <c r="AI124" s="40"/>
      <c r="AJ124" s="40"/>
      <c r="AK124" s="40"/>
      <c r="AL124" s="40"/>
      <c r="AM124" s="40"/>
      <c r="AN124" s="40"/>
      <c r="AO124" s="40"/>
      <c r="AP124" s="40"/>
      <c r="AQ124" s="40"/>
      <c r="AR124" s="40"/>
    </row>
    <row r="125" spans="1:44" x14ac:dyDescent="0.25">
      <c r="A125" s="476">
        <f>УП!C146</f>
        <v>37</v>
      </c>
      <c r="B125" s="49" t="str">
        <f>УП!D146</f>
        <v>Бухгалтерский и управленческий учет</v>
      </c>
      <c r="C125" s="29"/>
      <c r="D125" s="30"/>
      <c r="E125" s="30"/>
      <c r="F125" s="30"/>
      <c r="G125" s="30"/>
      <c r="H125" s="30"/>
      <c r="I125" s="15"/>
      <c r="J125" s="15"/>
      <c r="K125" s="15"/>
      <c r="L125" s="15"/>
      <c r="M125" s="15"/>
      <c r="N125" s="15"/>
      <c r="O125" s="15"/>
      <c r="P125" s="15"/>
      <c r="Q125" s="15"/>
      <c r="R125" s="15"/>
      <c r="S125" s="64"/>
      <c r="T125" s="64"/>
      <c r="U125" s="64"/>
      <c r="V125" s="64"/>
      <c r="W125" s="64"/>
      <c r="X125" s="64"/>
      <c r="Y125" s="64"/>
      <c r="Z125" s="64"/>
      <c r="AA125" s="64"/>
      <c r="AB125" s="64"/>
      <c r="AC125" s="64"/>
      <c r="AD125" s="64"/>
      <c r="AE125" s="64"/>
      <c r="AF125" s="40"/>
      <c r="AG125" s="40"/>
      <c r="AH125" s="40"/>
      <c r="AI125" s="40"/>
      <c r="AJ125" s="40"/>
      <c r="AK125" s="40"/>
      <c r="AL125" s="40"/>
      <c r="AM125" s="40"/>
      <c r="AN125" s="40"/>
      <c r="AO125" s="40"/>
      <c r="AP125" s="40"/>
      <c r="AQ125" s="40"/>
      <c r="AR125" s="40"/>
    </row>
    <row r="126" spans="1:44" x14ac:dyDescent="0.25">
      <c r="A126" s="476">
        <f>УП!C147</f>
        <v>38</v>
      </c>
      <c r="B126" s="49" t="str">
        <f>УП!D147</f>
        <v>Управление требованиями</v>
      </c>
      <c r="C126" s="29"/>
      <c r="D126" s="30"/>
      <c r="E126" s="30"/>
      <c r="F126" s="30"/>
      <c r="G126" s="30"/>
      <c r="H126" s="30"/>
      <c r="I126" s="15"/>
      <c r="J126" s="15"/>
      <c r="K126" s="15"/>
      <c r="L126" s="15"/>
      <c r="M126" s="15"/>
      <c r="N126" s="15"/>
      <c r="O126" s="15"/>
      <c r="P126" s="15"/>
      <c r="Q126" s="15"/>
      <c r="R126" s="15"/>
      <c r="S126" s="64"/>
      <c r="T126" s="64"/>
      <c r="U126" s="64"/>
      <c r="V126" s="64"/>
      <c r="W126" s="64"/>
      <c r="X126" s="64"/>
      <c r="Y126" s="64"/>
      <c r="Z126" s="64"/>
      <c r="AA126" s="64"/>
      <c r="AB126" s="64"/>
      <c r="AC126" s="64"/>
      <c r="AD126" s="64"/>
      <c r="AE126" s="64"/>
      <c r="AF126" s="40"/>
      <c r="AG126" s="40"/>
      <c r="AH126" s="40"/>
      <c r="AI126" s="40"/>
      <c r="AJ126" s="40"/>
      <c r="AK126" s="40"/>
      <c r="AL126" s="40"/>
      <c r="AM126" s="40"/>
      <c r="AN126" s="40"/>
      <c r="AO126" s="40"/>
      <c r="AP126" s="40"/>
      <c r="AQ126" s="40"/>
      <c r="AR126" s="40"/>
    </row>
    <row r="127" spans="1:44" x14ac:dyDescent="0.25">
      <c r="A127" s="476">
        <f>УП!C148</f>
        <v>39</v>
      </c>
      <c r="B127" s="49" t="str">
        <f>УП!D148</f>
        <v>Моделирование бизнес-процессов</v>
      </c>
      <c r="C127" s="29"/>
      <c r="D127" s="30"/>
      <c r="E127" s="30"/>
      <c r="F127" s="30"/>
      <c r="G127" s="30"/>
      <c r="H127" s="30"/>
      <c r="I127" s="15"/>
      <c r="J127" s="15"/>
      <c r="K127" s="15"/>
      <c r="L127" s="15"/>
      <c r="M127" s="15"/>
      <c r="N127" s="15"/>
      <c r="O127" s="15"/>
      <c r="P127" s="15"/>
      <c r="Q127" s="15"/>
      <c r="R127" s="15"/>
      <c r="S127" s="64"/>
      <c r="T127" s="64"/>
      <c r="U127" s="64"/>
      <c r="V127" s="64"/>
      <c r="W127" s="64"/>
      <c r="X127" s="64"/>
      <c r="Y127" s="64"/>
      <c r="Z127" s="64"/>
      <c r="AA127" s="64"/>
      <c r="AB127" s="64"/>
      <c r="AC127" s="64"/>
      <c r="AD127" s="64"/>
      <c r="AE127" s="64"/>
      <c r="AF127" s="40"/>
      <c r="AG127" s="40"/>
      <c r="AH127" s="40"/>
      <c r="AI127" s="40"/>
      <c r="AJ127" s="40"/>
      <c r="AK127" s="40"/>
      <c r="AL127" s="40"/>
      <c r="AM127" s="40"/>
      <c r="AN127" s="40"/>
      <c r="AO127" s="40"/>
      <c r="AP127" s="40"/>
      <c r="AQ127" s="40"/>
      <c r="AR127" s="40"/>
    </row>
    <row r="128" spans="1:44" x14ac:dyDescent="0.25">
      <c r="A128" s="476">
        <f>УП!C149</f>
        <v>40</v>
      </c>
      <c r="B128" s="49" t="str">
        <f>УП!D149</f>
        <v>Корпоративные системы документооборота</v>
      </c>
      <c r="C128" s="29"/>
      <c r="D128" s="30"/>
      <c r="E128" s="30"/>
      <c r="F128" s="30"/>
      <c r="G128" s="30"/>
      <c r="H128" s="30"/>
      <c r="I128" s="15"/>
      <c r="J128" s="15"/>
      <c r="K128" s="15"/>
      <c r="L128" s="15"/>
      <c r="M128" s="15"/>
      <c r="N128" s="15"/>
      <c r="O128" s="15"/>
      <c r="P128" s="15"/>
      <c r="Q128" s="15"/>
      <c r="R128" s="15"/>
      <c r="S128" s="64"/>
      <c r="T128" s="64"/>
      <c r="U128" s="64"/>
      <c r="V128" s="64"/>
      <c r="W128" s="64"/>
      <c r="X128" s="64"/>
      <c r="Y128" s="64"/>
      <c r="Z128" s="64"/>
      <c r="AA128" s="64"/>
      <c r="AB128" s="64"/>
      <c r="AC128" s="64"/>
      <c r="AD128" s="64"/>
      <c r="AE128" s="64"/>
      <c r="AF128" s="40"/>
      <c r="AG128" s="40"/>
      <c r="AH128" s="40"/>
      <c r="AI128" s="40"/>
      <c r="AJ128" s="40"/>
      <c r="AK128" s="40"/>
      <c r="AL128" s="40"/>
      <c r="AM128" s="40"/>
      <c r="AN128" s="40"/>
      <c r="AO128" s="40"/>
      <c r="AP128" s="40"/>
      <c r="AQ128" s="40"/>
      <c r="AR128" s="40"/>
    </row>
    <row r="129" spans="1:44" x14ac:dyDescent="0.25">
      <c r="A129" s="476">
        <f>УП!C150</f>
        <v>41</v>
      </c>
      <c r="B129" s="27" t="str">
        <f>УП!D150</f>
        <v>Управление предприятием</v>
      </c>
      <c r="C129" s="29"/>
      <c r="D129" s="30"/>
      <c r="E129" s="30"/>
      <c r="F129" s="30"/>
      <c r="G129" s="30"/>
      <c r="H129" s="30"/>
      <c r="I129" s="15"/>
      <c r="J129" s="15"/>
      <c r="K129" s="15"/>
      <c r="L129" s="15"/>
      <c r="M129" s="15"/>
      <c r="N129" s="15"/>
      <c r="O129" s="15"/>
      <c r="P129" s="15"/>
      <c r="Q129" s="15"/>
      <c r="R129" s="15"/>
      <c r="S129" s="64"/>
      <c r="T129" s="64"/>
      <c r="U129" s="64"/>
      <c r="V129" s="64"/>
      <c r="W129" s="64"/>
      <c r="X129" s="64"/>
      <c r="Y129" s="64"/>
      <c r="Z129" s="64"/>
      <c r="AA129" s="64"/>
      <c r="AB129" s="64"/>
      <c r="AC129" s="64"/>
      <c r="AD129" s="64"/>
      <c r="AE129" s="64"/>
      <c r="AF129" s="40"/>
      <c r="AG129" s="40"/>
      <c r="AH129" s="40"/>
      <c r="AI129" s="40"/>
      <c r="AJ129" s="40"/>
      <c r="AK129" s="40"/>
      <c r="AL129" s="40"/>
      <c r="AM129" s="40"/>
      <c r="AN129" s="40"/>
      <c r="AO129" s="40"/>
      <c r="AP129" s="40"/>
      <c r="AQ129" s="40"/>
      <c r="AR129" s="40"/>
    </row>
    <row r="130" spans="1:44" ht="31.5" x14ac:dyDescent="0.25">
      <c r="A130" s="476">
        <f>УП!C151</f>
        <v>42</v>
      </c>
      <c r="B130" s="27" t="str">
        <f>УП!D151</f>
        <v>Правовые основы интеллектуальной собственности</v>
      </c>
      <c r="C130" s="29"/>
      <c r="D130" s="30"/>
      <c r="E130" s="30"/>
      <c r="F130" s="30"/>
      <c r="G130" s="30"/>
      <c r="H130" s="30"/>
      <c r="I130" s="15"/>
      <c r="J130" s="15"/>
      <c r="K130" s="15"/>
      <c r="L130" s="15"/>
      <c r="M130" s="15"/>
      <c r="N130" s="15"/>
      <c r="O130" s="15"/>
      <c r="P130" s="15"/>
      <c r="Q130" s="15"/>
      <c r="R130" s="15"/>
      <c r="S130" s="64"/>
      <c r="T130" s="64"/>
      <c r="U130" s="64"/>
      <c r="V130" s="64"/>
      <c r="W130" s="64"/>
      <c r="X130" s="64"/>
      <c r="Y130" s="64"/>
      <c r="Z130" s="64"/>
      <c r="AA130" s="64"/>
      <c r="AB130" s="64"/>
      <c r="AC130" s="64"/>
      <c r="AD130" s="64"/>
      <c r="AE130" s="64"/>
      <c r="AF130" s="40"/>
      <c r="AG130" s="40"/>
      <c r="AH130" s="40"/>
      <c r="AI130" s="40"/>
      <c r="AJ130" s="40"/>
      <c r="AK130" s="40"/>
      <c r="AL130" s="40"/>
      <c r="AM130" s="40"/>
      <c r="AN130" s="40"/>
      <c r="AO130" s="40"/>
      <c r="AP130" s="40"/>
      <c r="AQ130" s="40"/>
      <c r="AR130" s="40"/>
    </row>
    <row r="131" spans="1:44" ht="31.5" x14ac:dyDescent="0.25">
      <c r="A131" s="476">
        <f>УП!C152</f>
        <v>43</v>
      </c>
      <c r="B131" s="27" t="str">
        <f>УП!D152</f>
        <v>Архитектура корпоративных информационных систем</v>
      </c>
      <c r="C131" s="29"/>
      <c r="D131" s="30"/>
      <c r="E131" s="30"/>
      <c r="F131" s="30"/>
      <c r="G131" s="30"/>
      <c r="H131" s="30"/>
      <c r="I131" s="15"/>
      <c r="J131" s="15"/>
      <c r="K131" s="15"/>
      <c r="L131" s="15"/>
      <c r="M131" s="15"/>
      <c r="N131" s="15"/>
      <c r="O131" s="15"/>
      <c r="P131" s="15"/>
      <c r="Q131" s="15"/>
      <c r="R131" s="15"/>
      <c r="S131" s="64"/>
      <c r="T131" s="64"/>
      <c r="U131" s="64"/>
      <c r="V131" s="64"/>
      <c r="W131" s="64"/>
      <c r="X131" s="64"/>
      <c r="Y131" s="64"/>
      <c r="Z131" s="64"/>
      <c r="AA131" s="64"/>
      <c r="AB131" s="64"/>
      <c r="AC131" s="64"/>
      <c r="AD131" s="64"/>
      <c r="AE131" s="64"/>
      <c r="AF131" s="40"/>
      <c r="AG131" s="40"/>
      <c r="AH131" s="40"/>
      <c r="AI131" s="40"/>
      <c r="AJ131" s="40"/>
      <c r="AK131" s="40"/>
      <c r="AL131" s="40"/>
      <c r="AM131" s="40"/>
      <c r="AN131" s="40"/>
      <c r="AO131" s="40"/>
      <c r="AP131" s="40"/>
      <c r="AQ131" s="40"/>
      <c r="AR131" s="40"/>
    </row>
    <row r="132" spans="1:44" x14ac:dyDescent="0.25">
      <c r="A132" s="476">
        <f>УП!C153</f>
        <v>44</v>
      </c>
      <c r="B132" s="27" t="str">
        <f>УП!D153</f>
        <v>Электротехника и электроника</v>
      </c>
      <c r="C132" s="29"/>
      <c r="D132" s="30"/>
      <c r="E132" s="30"/>
      <c r="F132" s="30"/>
      <c r="G132" s="30"/>
      <c r="H132" s="30"/>
      <c r="I132" s="15"/>
      <c r="J132" s="15"/>
      <c r="K132" s="15"/>
      <c r="L132" s="15"/>
      <c r="M132" s="15"/>
      <c r="N132" s="15"/>
      <c r="O132" s="15"/>
      <c r="P132" s="15"/>
      <c r="Q132" s="15"/>
      <c r="R132" s="15"/>
      <c r="S132" s="64"/>
      <c r="T132" s="64"/>
      <c r="U132" s="64"/>
      <c r="V132" s="64"/>
      <c r="W132" s="64"/>
      <c r="X132" s="64"/>
      <c r="Y132" s="64"/>
      <c r="Z132" s="64"/>
      <c r="AA132" s="64"/>
      <c r="AB132" s="64"/>
      <c r="AC132" s="64"/>
      <c r="AD132" s="64"/>
      <c r="AE132" s="64"/>
      <c r="AF132" s="40"/>
      <c r="AG132" s="40"/>
      <c r="AH132" s="40"/>
      <c r="AI132" s="40"/>
      <c r="AJ132" s="40"/>
      <c r="AK132" s="40"/>
      <c r="AL132" s="40"/>
      <c r="AM132" s="40"/>
      <c r="AN132" s="40"/>
      <c r="AO132" s="40"/>
      <c r="AP132" s="40"/>
      <c r="AQ132" s="40"/>
      <c r="AR132" s="40"/>
    </row>
    <row r="133" spans="1:44" x14ac:dyDescent="0.25">
      <c r="A133" s="476">
        <f>УП!C154</f>
        <v>45</v>
      </c>
      <c r="B133" s="27" t="str">
        <f>УП!D154</f>
        <v>Интеллектуальные системы и технологии</v>
      </c>
      <c r="C133" s="29"/>
      <c r="D133" s="30"/>
      <c r="E133" s="30"/>
      <c r="F133" s="30"/>
      <c r="G133" s="30"/>
      <c r="H133" s="30"/>
      <c r="I133" s="15"/>
      <c r="J133" s="15"/>
      <c r="K133" s="15"/>
      <c r="L133" s="15"/>
      <c r="M133" s="15"/>
      <c r="N133" s="15"/>
      <c r="O133" s="15"/>
      <c r="P133" s="15"/>
      <c r="Q133" s="15"/>
      <c r="R133" s="15"/>
      <c r="S133" s="64"/>
      <c r="T133" s="64"/>
      <c r="U133" s="64"/>
      <c r="V133" s="64"/>
      <c r="W133" s="64"/>
      <c r="X133" s="64"/>
      <c r="Y133" s="64"/>
      <c r="Z133" s="64"/>
      <c r="AA133" s="64"/>
      <c r="AB133" s="64"/>
      <c r="AC133" s="64"/>
      <c r="AD133" s="64"/>
      <c r="AE133" s="64"/>
      <c r="AF133" s="40"/>
      <c r="AG133" s="40"/>
      <c r="AH133" s="40"/>
      <c r="AI133" s="40"/>
      <c r="AJ133" s="40"/>
      <c r="AK133" s="40"/>
      <c r="AL133" s="40"/>
      <c r="AM133" s="40"/>
      <c r="AN133" s="40"/>
      <c r="AO133" s="40"/>
      <c r="AP133" s="40"/>
      <c r="AQ133" s="40"/>
      <c r="AR133" s="40"/>
    </row>
    <row r="134" spans="1:44" x14ac:dyDescent="0.25">
      <c r="A134" s="476">
        <f>УП!C155</f>
        <v>46</v>
      </c>
      <c r="B134" s="27" t="str">
        <f>УП!D155</f>
        <v>Дополнительные главы физики</v>
      </c>
      <c r="C134" s="29"/>
      <c r="D134" s="30"/>
      <c r="E134" s="30"/>
      <c r="F134" s="30"/>
      <c r="G134" s="30"/>
      <c r="H134" s="30"/>
      <c r="I134" s="15"/>
      <c r="J134" s="15"/>
      <c r="K134" s="15"/>
      <c r="L134" s="15"/>
      <c r="M134" s="15"/>
      <c r="N134" s="15"/>
      <c r="O134" s="15"/>
      <c r="P134" s="15"/>
      <c r="Q134" s="15"/>
      <c r="R134" s="15"/>
      <c r="S134" s="64"/>
      <c r="T134" s="64"/>
      <c r="U134" s="64"/>
      <c r="V134" s="64"/>
      <c r="W134" s="64"/>
      <c r="X134" s="64"/>
      <c r="Y134" s="64"/>
      <c r="Z134" s="64"/>
      <c r="AA134" s="64"/>
      <c r="AB134" s="64"/>
      <c r="AC134" s="64"/>
      <c r="AD134" s="64"/>
      <c r="AE134" s="64"/>
      <c r="AF134" s="40"/>
      <c r="AG134" s="40"/>
      <c r="AH134" s="40"/>
      <c r="AI134" s="40"/>
      <c r="AJ134" s="40"/>
      <c r="AK134" s="40"/>
      <c r="AL134" s="40"/>
      <c r="AM134" s="40"/>
      <c r="AN134" s="40"/>
      <c r="AO134" s="40"/>
      <c r="AP134" s="40"/>
      <c r="AQ134" s="40"/>
      <c r="AR134" s="40"/>
    </row>
    <row r="135" spans="1:44" ht="31.5" x14ac:dyDescent="0.25">
      <c r="A135" s="476">
        <f>УП!C156</f>
        <v>47</v>
      </c>
      <c r="B135" s="27" t="str">
        <f>УП!D156</f>
        <v>Основы процессов внедрения информационных систем</v>
      </c>
      <c r="C135" s="29"/>
      <c r="D135" s="30"/>
      <c r="E135" s="30"/>
      <c r="F135" s="30"/>
      <c r="G135" s="30"/>
      <c r="H135" s="30"/>
      <c r="I135" s="15"/>
      <c r="J135" s="15"/>
      <c r="K135" s="15"/>
      <c r="L135" s="15"/>
      <c r="M135" s="15"/>
      <c r="N135" s="15"/>
      <c r="O135" s="15"/>
      <c r="P135" s="15"/>
      <c r="Q135" s="15"/>
      <c r="R135" s="15"/>
      <c r="S135" s="64"/>
      <c r="T135" s="64"/>
      <c r="U135" s="64"/>
      <c r="V135" s="64"/>
      <c r="W135" s="64"/>
      <c r="X135" s="64"/>
      <c r="Y135" s="64"/>
      <c r="Z135" s="64"/>
      <c r="AA135" s="64"/>
      <c r="AB135" s="64"/>
      <c r="AC135" s="64"/>
      <c r="AD135" s="64"/>
      <c r="AE135" s="64"/>
      <c r="AF135" s="40"/>
      <c r="AG135" s="40"/>
      <c r="AH135" s="40"/>
      <c r="AI135" s="40"/>
      <c r="AJ135" s="40"/>
      <c r="AK135" s="40"/>
      <c r="AL135" s="40"/>
      <c r="AM135" s="40"/>
      <c r="AN135" s="40"/>
      <c r="AO135" s="40"/>
      <c r="AP135" s="40"/>
      <c r="AQ135" s="40"/>
      <c r="AR135" s="40"/>
    </row>
    <row r="136" spans="1:44" x14ac:dyDescent="0.25">
      <c r="A136" s="476">
        <f>УП!C157</f>
        <v>72</v>
      </c>
      <c r="B136" s="27">
        <f>УП!D157</f>
        <v>0</v>
      </c>
      <c r="C136" s="29"/>
      <c r="D136" s="30"/>
      <c r="E136" s="30"/>
      <c r="F136" s="30"/>
      <c r="G136" s="30"/>
      <c r="H136" s="30"/>
      <c r="I136" s="15"/>
      <c r="J136" s="15"/>
      <c r="K136" s="15"/>
      <c r="L136" s="15"/>
      <c r="M136" s="15"/>
      <c r="N136" s="15"/>
      <c r="O136" s="15"/>
      <c r="P136" s="15"/>
      <c r="Q136" s="15"/>
      <c r="R136" s="15"/>
      <c r="S136" s="64"/>
      <c r="T136" s="64"/>
      <c r="U136" s="64"/>
      <c r="V136" s="64"/>
      <c r="W136" s="64"/>
      <c r="X136" s="64"/>
      <c r="Y136" s="64"/>
      <c r="Z136" s="64"/>
      <c r="AA136" s="64"/>
      <c r="AB136" s="64"/>
      <c r="AC136" s="64"/>
      <c r="AD136" s="64"/>
      <c r="AE136" s="64"/>
      <c r="AF136" s="40"/>
      <c r="AG136" s="40"/>
      <c r="AH136" s="40"/>
      <c r="AI136" s="40"/>
      <c r="AJ136" s="40"/>
      <c r="AK136" s="40"/>
      <c r="AL136" s="40"/>
      <c r="AM136" s="40"/>
      <c r="AN136" s="40"/>
      <c r="AO136" s="40"/>
      <c r="AP136" s="40"/>
      <c r="AQ136" s="40"/>
      <c r="AR136" s="40"/>
    </row>
    <row r="137" spans="1:44" x14ac:dyDescent="0.25">
      <c r="A137" s="476">
        <f>УП!C158</f>
        <v>73</v>
      </c>
      <c r="B137" s="27">
        <f>УП!D158</f>
        <v>0</v>
      </c>
      <c r="C137" s="29"/>
      <c r="D137" s="30"/>
      <c r="E137" s="30"/>
      <c r="F137" s="30"/>
      <c r="G137" s="30"/>
      <c r="H137" s="30"/>
      <c r="I137" s="15"/>
      <c r="J137" s="15"/>
      <c r="K137" s="15"/>
      <c r="L137" s="15"/>
      <c r="M137" s="15"/>
      <c r="N137" s="15"/>
      <c r="O137" s="15"/>
      <c r="P137" s="15"/>
      <c r="Q137" s="15"/>
      <c r="R137" s="15"/>
      <c r="S137" s="64"/>
      <c r="T137" s="64"/>
      <c r="U137" s="64"/>
      <c r="V137" s="64"/>
      <c r="W137" s="64"/>
      <c r="X137" s="64"/>
      <c r="Y137" s="64"/>
      <c r="Z137" s="64"/>
      <c r="AA137" s="64"/>
      <c r="AB137" s="64"/>
      <c r="AC137" s="64"/>
      <c r="AD137" s="64"/>
      <c r="AE137" s="64"/>
      <c r="AF137" s="40"/>
      <c r="AG137" s="40"/>
      <c r="AH137" s="40"/>
      <c r="AI137" s="40"/>
      <c r="AJ137" s="40"/>
      <c r="AK137" s="40"/>
      <c r="AL137" s="40"/>
      <c r="AM137" s="40"/>
      <c r="AN137" s="40"/>
      <c r="AO137" s="40"/>
      <c r="AP137" s="40"/>
      <c r="AQ137" s="40"/>
      <c r="AR137" s="40"/>
    </row>
    <row r="138" spans="1:44" x14ac:dyDescent="0.25">
      <c r="A138" s="26"/>
      <c r="B138" s="52" t="str">
        <f>УП!D159</f>
        <v xml:space="preserve">Специализация 3: Математическое моделирование </v>
      </c>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40"/>
      <c r="AG138" s="40"/>
      <c r="AH138" s="40"/>
      <c r="AI138" s="40"/>
      <c r="AJ138" s="40"/>
      <c r="AK138" s="40"/>
      <c r="AL138" s="40"/>
      <c r="AM138" s="40"/>
      <c r="AN138" s="40"/>
      <c r="AO138" s="40"/>
      <c r="AP138" s="40"/>
      <c r="AQ138" s="40"/>
      <c r="AR138" s="40"/>
    </row>
    <row r="139" spans="1:44" x14ac:dyDescent="0.25">
      <c r="A139" s="476">
        <f>УП!C160</f>
        <v>61</v>
      </c>
      <c r="B139" s="49">
        <f>УП!D160</f>
        <v>0</v>
      </c>
      <c r="C139" s="28"/>
      <c r="D139" s="15"/>
      <c r="E139" s="15"/>
      <c r="F139" s="15"/>
      <c r="G139" s="15"/>
      <c r="H139" s="15"/>
      <c r="I139" s="15"/>
      <c r="J139" s="15"/>
      <c r="K139" s="15"/>
      <c r="L139" s="15"/>
      <c r="M139" s="15"/>
      <c r="N139" s="15"/>
      <c r="O139" s="15"/>
      <c r="P139" s="15"/>
      <c r="Q139" s="15"/>
      <c r="R139" s="15"/>
      <c r="S139" s="64"/>
      <c r="T139" s="64"/>
      <c r="U139" s="64"/>
      <c r="V139" s="64"/>
      <c r="W139" s="64"/>
      <c r="X139" s="64"/>
      <c r="Y139" s="64"/>
      <c r="Z139" s="64"/>
      <c r="AA139" s="64"/>
      <c r="AB139" s="64"/>
      <c r="AC139" s="64"/>
      <c r="AD139" s="64"/>
      <c r="AE139" s="64"/>
      <c r="AF139" s="40"/>
      <c r="AG139" s="40"/>
      <c r="AH139" s="40"/>
      <c r="AI139" s="40"/>
      <c r="AJ139" s="40"/>
      <c r="AK139" s="40"/>
      <c r="AL139" s="40"/>
      <c r="AM139" s="40"/>
      <c r="AN139" s="40"/>
      <c r="AO139" s="40"/>
      <c r="AP139" s="40"/>
      <c r="AQ139" s="40"/>
      <c r="AR139" s="40"/>
    </row>
    <row r="140" spans="1:44" x14ac:dyDescent="0.25">
      <c r="A140" s="476">
        <f>УП!C161</f>
        <v>62</v>
      </c>
      <c r="B140" s="49">
        <f>УП!D161</f>
        <v>0</v>
      </c>
      <c r="C140" s="28"/>
      <c r="D140" s="15"/>
      <c r="E140" s="15"/>
      <c r="F140" s="15"/>
      <c r="G140" s="15"/>
      <c r="H140" s="15"/>
      <c r="I140" s="15"/>
      <c r="J140" s="15"/>
      <c r="K140" s="15"/>
      <c r="L140" s="15"/>
      <c r="M140" s="15"/>
      <c r="N140" s="15"/>
      <c r="O140" s="15"/>
      <c r="P140" s="15"/>
      <c r="Q140" s="15"/>
      <c r="R140" s="15"/>
      <c r="S140" s="64"/>
      <c r="T140" s="64"/>
      <c r="U140" s="64"/>
      <c r="V140" s="64"/>
      <c r="W140" s="64"/>
      <c r="X140" s="64"/>
      <c r="Y140" s="64"/>
      <c r="Z140" s="64"/>
      <c r="AA140" s="64"/>
      <c r="AB140" s="64"/>
      <c r="AC140" s="64"/>
      <c r="AD140" s="64"/>
      <c r="AE140" s="64"/>
      <c r="AF140" s="40"/>
      <c r="AG140" s="40"/>
      <c r="AH140" s="40"/>
      <c r="AI140" s="40"/>
      <c r="AJ140" s="40"/>
      <c r="AK140" s="40"/>
      <c r="AL140" s="40"/>
      <c r="AM140" s="40"/>
      <c r="AN140" s="40"/>
      <c r="AO140" s="40"/>
      <c r="AP140" s="40"/>
      <c r="AQ140" s="40"/>
      <c r="AR140" s="40"/>
    </row>
    <row r="141" spans="1:44" x14ac:dyDescent="0.25">
      <c r="A141" s="476">
        <f>УП!C162</f>
        <v>63</v>
      </c>
      <c r="B141" s="49">
        <f>УП!D162</f>
        <v>0</v>
      </c>
      <c r="C141" s="28"/>
      <c r="D141" s="15"/>
      <c r="E141" s="15"/>
      <c r="F141" s="15"/>
      <c r="G141" s="15"/>
      <c r="H141" s="15"/>
      <c r="I141" s="15"/>
      <c r="J141" s="15"/>
      <c r="K141" s="15"/>
      <c r="L141" s="15"/>
      <c r="M141" s="15"/>
      <c r="N141" s="15"/>
      <c r="O141" s="15"/>
      <c r="P141" s="15"/>
      <c r="Q141" s="15"/>
      <c r="R141" s="15"/>
      <c r="S141" s="64"/>
      <c r="T141" s="64"/>
      <c r="U141" s="64"/>
      <c r="V141" s="64"/>
      <c r="W141" s="64"/>
      <c r="X141" s="64"/>
      <c r="Y141" s="64"/>
      <c r="Z141" s="64"/>
      <c r="AA141" s="64"/>
      <c r="AB141" s="64"/>
      <c r="AC141" s="64"/>
      <c r="AD141" s="64"/>
      <c r="AE141" s="64"/>
      <c r="AF141" s="40"/>
      <c r="AG141" s="40"/>
      <c r="AH141" s="40"/>
      <c r="AI141" s="40"/>
      <c r="AJ141" s="40"/>
      <c r="AK141" s="40"/>
      <c r="AL141" s="40"/>
      <c r="AM141" s="40"/>
      <c r="AN141" s="40"/>
      <c r="AO141" s="40"/>
      <c r="AP141" s="40"/>
      <c r="AQ141" s="40"/>
      <c r="AR141" s="40"/>
    </row>
    <row r="142" spans="1:44" x14ac:dyDescent="0.25">
      <c r="A142" s="476">
        <f>УП!C163</f>
        <v>64</v>
      </c>
      <c r="B142" s="49">
        <f>УП!D163</f>
        <v>0</v>
      </c>
      <c r="C142" s="28"/>
      <c r="D142" s="15"/>
      <c r="E142" s="15"/>
      <c r="F142" s="15"/>
      <c r="G142" s="15"/>
      <c r="H142" s="15"/>
      <c r="I142" s="15"/>
      <c r="J142" s="15"/>
      <c r="K142" s="15"/>
      <c r="L142" s="15"/>
      <c r="M142" s="15"/>
      <c r="N142" s="15"/>
      <c r="O142" s="15"/>
      <c r="P142" s="15"/>
      <c r="Q142" s="15"/>
      <c r="R142" s="15"/>
      <c r="S142" s="64"/>
      <c r="T142" s="64"/>
      <c r="U142" s="64"/>
      <c r="V142" s="64"/>
      <c r="W142" s="64"/>
      <c r="X142" s="64"/>
      <c r="Y142" s="64"/>
      <c r="Z142" s="64"/>
      <c r="AA142" s="64"/>
      <c r="AB142" s="64"/>
      <c r="AC142" s="64"/>
      <c r="AD142" s="64"/>
      <c r="AE142" s="64"/>
      <c r="AF142" s="40"/>
      <c r="AG142" s="40"/>
      <c r="AH142" s="40"/>
      <c r="AI142" s="40"/>
      <c r="AJ142" s="40"/>
      <c r="AK142" s="40"/>
      <c r="AL142" s="40"/>
      <c r="AM142" s="40"/>
      <c r="AN142" s="40"/>
      <c r="AO142" s="40"/>
      <c r="AP142" s="40"/>
      <c r="AQ142" s="40"/>
      <c r="AR142" s="40"/>
    </row>
    <row r="143" spans="1:44" x14ac:dyDescent="0.25">
      <c r="A143" s="476">
        <f>УП!C164</f>
        <v>65</v>
      </c>
      <c r="B143" s="27">
        <f>УП!D164</f>
        <v>0</v>
      </c>
      <c r="C143" s="28"/>
      <c r="D143" s="15"/>
      <c r="E143" s="15"/>
      <c r="F143" s="15"/>
      <c r="G143" s="15"/>
      <c r="H143" s="15"/>
      <c r="I143" s="15"/>
      <c r="J143" s="15"/>
      <c r="K143" s="15"/>
      <c r="L143" s="15"/>
      <c r="M143" s="15"/>
      <c r="N143" s="15"/>
      <c r="O143" s="15"/>
      <c r="P143" s="15"/>
      <c r="Q143" s="15"/>
      <c r="R143" s="15"/>
      <c r="S143" s="64"/>
      <c r="T143" s="64"/>
      <c r="U143" s="64"/>
      <c r="V143" s="64"/>
      <c r="W143" s="64"/>
      <c r="X143" s="64"/>
      <c r="Y143" s="64"/>
      <c r="Z143" s="64"/>
      <c r="AA143" s="64"/>
      <c r="AB143" s="64"/>
      <c r="AC143" s="64"/>
      <c r="AD143" s="64"/>
      <c r="AE143" s="64"/>
      <c r="AF143" s="40"/>
      <c r="AG143" s="40"/>
      <c r="AH143" s="40"/>
      <c r="AI143" s="40"/>
      <c r="AJ143" s="40"/>
      <c r="AK143" s="40"/>
      <c r="AL143" s="40"/>
      <c r="AM143" s="40"/>
      <c r="AN143" s="40"/>
      <c r="AO143" s="40"/>
      <c r="AP143" s="40"/>
      <c r="AQ143" s="40"/>
      <c r="AR143" s="40"/>
    </row>
    <row r="144" spans="1:44" x14ac:dyDescent="0.25">
      <c r="A144" s="476">
        <f>УП!C165</f>
        <v>66</v>
      </c>
      <c r="B144" s="27">
        <f>УП!D165</f>
        <v>0</v>
      </c>
      <c r="C144" s="28"/>
      <c r="D144" s="15"/>
      <c r="E144" s="15"/>
      <c r="F144" s="15"/>
      <c r="G144" s="15"/>
      <c r="H144" s="15"/>
      <c r="I144" s="15"/>
      <c r="J144" s="15"/>
      <c r="K144" s="15"/>
      <c r="L144" s="15"/>
      <c r="M144" s="15"/>
      <c r="N144" s="15"/>
      <c r="O144" s="15"/>
      <c r="P144" s="15"/>
      <c r="Q144" s="15"/>
      <c r="R144" s="15"/>
      <c r="S144" s="64"/>
      <c r="T144" s="64"/>
      <c r="U144" s="64"/>
      <c r="V144" s="64"/>
      <c r="W144" s="64"/>
      <c r="X144" s="64"/>
      <c r="Y144" s="64"/>
      <c r="Z144" s="64"/>
      <c r="AA144" s="64"/>
      <c r="AB144" s="64"/>
      <c r="AC144" s="64"/>
      <c r="AD144" s="64"/>
      <c r="AE144" s="64"/>
      <c r="AF144" s="40"/>
      <c r="AG144" s="40"/>
      <c r="AH144" s="40"/>
      <c r="AI144" s="40"/>
      <c r="AJ144" s="40"/>
      <c r="AK144" s="40"/>
      <c r="AL144" s="40"/>
      <c r="AM144" s="40"/>
      <c r="AN144" s="40"/>
      <c r="AO144" s="40"/>
      <c r="AP144" s="40"/>
      <c r="AQ144" s="40"/>
      <c r="AR144" s="40"/>
    </row>
    <row r="145" spans="1:44" x14ac:dyDescent="0.25">
      <c r="A145" s="476">
        <f>УП!C166</f>
        <v>67</v>
      </c>
      <c r="B145" s="27">
        <f>УП!D166</f>
        <v>0</v>
      </c>
      <c r="C145" s="28"/>
      <c r="D145" s="15"/>
      <c r="E145" s="15"/>
      <c r="F145" s="15"/>
      <c r="G145" s="15"/>
      <c r="H145" s="15"/>
      <c r="I145" s="15"/>
      <c r="J145" s="15"/>
      <c r="K145" s="15"/>
      <c r="L145" s="15"/>
      <c r="M145" s="15"/>
      <c r="N145" s="15"/>
      <c r="O145" s="15"/>
      <c r="P145" s="15"/>
      <c r="Q145" s="15"/>
      <c r="R145" s="15"/>
      <c r="S145" s="64"/>
      <c r="T145" s="64"/>
      <c r="U145" s="64"/>
      <c r="V145" s="64"/>
      <c r="W145" s="64"/>
      <c r="X145" s="64"/>
      <c r="Y145" s="64"/>
      <c r="Z145" s="64"/>
      <c r="AA145" s="64"/>
      <c r="AB145" s="64"/>
      <c r="AC145" s="64"/>
      <c r="AD145" s="64"/>
      <c r="AE145" s="64"/>
      <c r="AF145" s="40"/>
      <c r="AG145" s="40"/>
      <c r="AH145" s="40"/>
      <c r="AI145" s="40"/>
      <c r="AJ145" s="40"/>
      <c r="AK145" s="40"/>
      <c r="AL145" s="40"/>
      <c r="AM145" s="40"/>
      <c r="AN145" s="40"/>
      <c r="AO145" s="40"/>
      <c r="AP145" s="40"/>
      <c r="AQ145" s="40"/>
      <c r="AR145" s="40"/>
    </row>
    <row r="146" spans="1:44" x14ac:dyDescent="0.25">
      <c r="A146" s="476">
        <f>УП!C170</f>
        <v>71</v>
      </c>
      <c r="B146" s="27">
        <f>УП!D170</f>
        <v>0</v>
      </c>
      <c r="C146" s="28"/>
      <c r="D146" s="15"/>
      <c r="E146" s="15"/>
      <c r="F146" s="15"/>
      <c r="G146" s="15"/>
      <c r="H146" s="15"/>
      <c r="I146" s="15"/>
      <c r="J146" s="15"/>
      <c r="K146" s="15"/>
      <c r="L146" s="15"/>
      <c r="M146" s="15"/>
      <c r="N146" s="15"/>
      <c r="O146" s="15"/>
      <c r="P146" s="15"/>
      <c r="Q146" s="15"/>
      <c r="R146" s="15"/>
      <c r="S146" s="64"/>
      <c r="T146" s="64"/>
      <c r="U146" s="64"/>
      <c r="V146" s="64"/>
      <c r="W146" s="64"/>
      <c r="X146" s="64"/>
      <c r="Y146" s="64"/>
      <c r="Z146" s="64"/>
      <c r="AA146" s="64"/>
      <c r="AB146" s="64"/>
      <c r="AC146" s="64"/>
      <c r="AD146" s="64"/>
      <c r="AE146" s="64"/>
      <c r="AF146" s="40"/>
      <c r="AG146" s="40"/>
      <c r="AH146" s="40"/>
      <c r="AI146" s="40"/>
      <c r="AJ146" s="40"/>
      <c r="AK146" s="40"/>
      <c r="AL146" s="40"/>
      <c r="AM146" s="40"/>
      <c r="AN146" s="40"/>
      <c r="AO146" s="40"/>
      <c r="AP146" s="40"/>
      <c r="AQ146" s="40"/>
      <c r="AR146" s="40"/>
    </row>
    <row r="147" spans="1:44" x14ac:dyDescent="0.25">
      <c r="A147" s="476">
        <f>УП!C171</f>
        <v>0</v>
      </c>
      <c r="B147" s="27">
        <f>УП!D171</f>
        <v>0</v>
      </c>
      <c r="C147" s="28"/>
      <c r="D147" s="15"/>
      <c r="E147" s="15"/>
      <c r="F147" s="15"/>
      <c r="G147" s="15"/>
      <c r="H147" s="15"/>
      <c r="I147" s="15"/>
      <c r="J147" s="15"/>
      <c r="K147" s="15"/>
      <c r="L147" s="15"/>
      <c r="M147" s="15"/>
      <c r="N147" s="15"/>
      <c r="O147" s="15"/>
      <c r="P147" s="15"/>
      <c r="Q147" s="15"/>
      <c r="R147" s="15"/>
      <c r="S147" s="64"/>
      <c r="T147" s="64"/>
      <c r="U147" s="64"/>
      <c r="V147" s="64"/>
      <c r="W147" s="64"/>
      <c r="X147" s="64"/>
      <c r="Y147" s="64"/>
      <c r="Z147" s="64"/>
      <c r="AA147" s="64"/>
      <c r="AB147" s="64"/>
      <c r="AC147" s="64"/>
      <c r="AD147" s="64"/>
      <c r="AE147" s="64"/>
      <c r="AF147" s="40"/>
      <c r="AG147" s="40"/>
      <c r="AH147" s="40"/>
      <c r="AI147" s="40"/>
      <c r="AJ147" s="40"/>
      <c r="AK147" s="40"/>
      <c r="AL147" s="40"/>
      <c r="AM147" s="40"/>
      <c r="AN147" s="40"/>
      <c r="AO147" s="40"/>
      <c r="AP147" s="40"/>
      <c r="AQ147" s="40"/>
      <c r="AR147" s="40"/>
    </row>
    <row r="148" spans="1:44" x14ac:dyDescent="0.25">
      <c r="A148" s="476">
        <f>УП!C172</f>
        <v>72</v>
      </c>
      <c r="B148" s="27">
        <f>УП!D172</f>
        <v>0</v>
      </c>
      <c r="C148" s="28"/>
      <c r="D148" s="15"/>
      <c r="E148" s="15"/>
      <c r="F148" s="15"/>
      <c r="G148" s="15"/>
      <c r="H148" s="15"/>
      <c r="I148" s="15"/>
      <c r="J148" s="15"/>
      <c r="K148" s="15"/>
      <c r="L148" s="15"/>
      <c r="M148" s="15"/>
      <c r="N148" s="15"/>
      <c r="O148" s="15"/>
      <c r="P148" s="15"/>
      <c r="Q148" s="15"/>
      <c r="R148" s="15"/>
      <c r="S148" s="64"/>
      <c r="T148" s="64"/>
      <c r="U148" s="64"/>
      <c r="V148" s="64"/>
      <c r="W148" s="64"/>
      <c r="X148" s="64"/>
      <c r="Y148" s="64"/>
      <c r="Z148" s="64"/>
      <c r="AA148" s="64"/>
      <c r="AB148" s="64"/>
      <c r="AC148" s="64"/>
      <c r="AD148" s="64"/>
      <c r="AE148" s="64"/>
      <c r="AF148" s="40"/>
      <c r="AG148" s="40"/>
      <c r="AH148" s="40"/>
      <c r="AI148" s="40"/>
      <c r="AJ148" s="40"/>
      <c r="AK148" s="40"/>
      <c r="AL148" s="40"/>
      <c r="AM148" s="40"/>
      <c r="AN148" s="40"/>
      <c r="AO148" s="40"/>
      <c r="AP148" s="40"/>
      <c r="AQ148" s="40"/>
      <c r="AR148" s="40"/>
    </row>
    <row r="149" spans="1:44" x14ac:dyDescent="0.25">
      <c r="A149" s="476">
        <f>УП!C173</f>
        <v>0</v>
      </c>
      <c r="B149" s="27">
        <f>УП!D173</f>
        <v>0</v>
      </c>
      <c r="C149" s="28"/>
      <c r="D149" s="15"/>
      <c r="E149" s="15"/>
      <c r="F149" s="15"/>
      <c r="G149" s="15"/>
      <c r="H149" s="15"/>
      <c r="I149" s="15"/>
      <c r="J149" s="15"/>
      <c r="K149" s="15"/>
      <c r="L149" s="15"/>
      <c r="M149" s="15"/>
      <c r="N149" s="15"/>
      <c r="O149" s="15"/>
      <c r="P149" s="15"/>
      <c r="Q149" s="15"/>
      <c r="R149" s="15"/>
      <c r="S149" s="64"/>
      <c r="T149" s="64"/>
      <c r="U149" s="64"/>
      <c r="V149" s="64"/>
      <c r="W149" s="64"/>
      <c r="X149" s="64"/>
      <c r="Y149" s="64"/>
      <c r="Z149" s="64"/>
      <c r="AA149" s="64"/>
      <c r="AB149" s="64"/>
      <c r="AC149" s="64"/>
      <c r="AD149" s="64"/>
      <c r="AE149" s="64"/>
      <c r="AF149" s="40"/>
      <c r="AG149" s="40"/>
      <c r="AH149" s="40"/>
      <c r="AI149" s="40"/>
      <c r="AJ149" s="40"/>
      <c r="AK149" s="40"/>
      <c r="AL149" s="40"/>
      <c r="AM149" s="40"/>
      <c r="AN149" s="40"/>
      <c r="AO149" s="40"/>
      <c r="AP149" s="40"/>
      <c r="AQ149" s="40"/>
      <c r="AR149" s="40"/>
    </row>
    <row r="150" spans="1:44" x14ac:dyDescent="0.25">
      <c r="A150" s="476">
        <f>УП!C174</f>
        <v>73</v>
      </c>
      <c r="B150" s="27">
        <f>УП!D174</f>
        <v>0</v>
      </c>
      <c r="C150" s="28"/>
      <c r="D150" s="15"/>
      <c r="E150" s="15"/>
      <c r="F150" s="15"/>
      <c r="G150" s="15"/>
      <c r="H150" s="15"/>
      <c r="I150" s="15"/>
      <c r="J150" s="15"/>
      <c r="K150" s="15"/>
      <c r="L150" s="15"/>
      <c r="M150" s="15"/>
      <c r="N150" s="15"/>
      <c r="O150" s="15"/>
      <c r="P150" s="15"/>
      <c r="Q150" s="15"/>
      <c r="R150" s="15"/>
      <c r="S150" s="64"/>
      <c r="T150" s="64"/>
      <c r="U150" s="64"/>
      <c r="V150" s="64"/>
      <c r="W150" s="64"/>
      <c r="X150" s="64"/>
      <c r="Y150" s="64"/>
      <c r="Z150" s="64"/>
      <c r="AA150" s="64"/>
      <c r="AB150" s="64"/>
      <c r="AC150" s="64"/>
      <c r="AD150" s="64"/>
      <c r="AE150" s="64"/>
      <c r="AF150" s="40"/>
      <c r="AG150" s="40"/>
      <c r="AH150" s="40"/>
      <c r="AI150" s="40"/>
      <c r="AJ150" s="40"/>
      <c r="AK150" s="40"/>
      <c r="AL150" s="40"/>
      <c r="AM150" s="40"/>
      <c r="AN150" s="40"/>
      <c r="AO150" s="40"/>
      <c r="AP150" s="40"/>
      <c r="AQ150" s="40"/>
      <c r="AR150" s="40"/>
    </row>
    <row r="151" spans="1:44" x14ac:dyDescent="0.25">
      <c r="A151" s="476">
        <f>УП!C175</f>
        <v>0</v>
      </c>
      <c r="B151" s="27">
        <f>УП!D175</f>
        <v>0</v>
      </c>
      <c r="C151" s="28"/>
      <c r="D151" s="15"/>
      <c r="E151" s="15"/>
      <c r="F151" s="15"/>
      <c r="G151" s="15"/>
      <c r="H151" s="15"/>
      <c r="I151" s="15"/>
      <c r="J151" s="15"/>
      <c r="K151" s="15"/>
      <c r="L151" s="15"/>
      <c r="M151" s="15"/>
      <c r="N151" s="15"/>
      <c r="O151" s="15"/>
      <c r="P151" s="15"/>
      <c r="Q151" s="15"/>
      <c r="R151" s="15"/>
      <c r="S151" s="64"/>
      <c r="T151" s="64"/>
      <c r="U151" s="64"/>
      <c r="V151" s="64"/>
      <c r="W151" s="64"/>
      <c r="X151" s="64"/>
      <c r="Y151" s="64"/>
      <c r="Z151" s="64"/>
      <c r="AA151" s="64"/>
      <c r="AB151" s="64"/>
      <c r="AC151" s="64"/>
      <c r="AD151" s="64"/>
      <c r="AE151" s="64"/>
      <c r="AF151" s="40"/>
      <c r="AG151" s="40"/>
      <c r="AH151" s="40"/>
      <c r="AI151" s="40"/>
      <c r="AJ151" s="40"/>
      <c r="AK151" s="40"/>
      <c r="AL151" s="40"/>
      <c r="AM151" s="40"/>
      <c r="AN151" s="40"/>
      <c r="AO151" s="40"/>
      <c r="AP151" s="40"/>
      <c r="AQ151" s="40"/>
      <c r="AR151" s="40"/>
    </row>
    <row r="152" spans="1:44" x14ac:dyDescent="0.25">
      <c r="A152" s="26"/>
      <c r="B152" s="54" t="str">
        <f>УП!D176</f>
        <v>Специализация 4: ХХХХ</v>
      </c>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40"/>
      <c r="AG152" s="40"/>
      <c r="AH152" s="40"/>
      <c r="AI152" s="40"/>
      <c r="AJ152" s="40"/>
      <c r="AK152" s="40"/>
      <c r="AL152" s="40"/>
      <c r="AM152" s="40"/>
      <c r="AN152" s="40"/>
      <c r="AO152" s="40"/>
      <c r="AP152" s="40"/>
      <c r="AQ152" s="40"/>
      <c r="AR152" s="40"/>
    </row>
    <row r="153" spans="1:44" x14ac:dyDescent="0.25">
      <c r="A153" s="476">
        <f>УП!C177</f>
        <v>61</v>
      </c>
      <c r="B153" s="53" t="str">
        <f>УП!D177</f>
        <v>ХХХХ</v>
      </c>
      <c r="C153" s="28"/>
      <c r="D153" s="15"/>
      <c r="E153" s="15"/>
      <c r="F153" s="15"/>
      <c r="G153" s="15"/>
      <c r="H153" s="15"/>
      <c r="I153" s="15"/>
      <c r="J153" s="15"/>
      <c r="K153" s="15"/>
      <c r="L153" s="15"/>
      <c r="M153" s="15"/>
      <c r="N153" s="15"/>
      <c r="O153" s="15"/>
      <c r="P153" s="15"/>
      <c r="Q153" s="15"/>
      <c r="R153" s="15"/>
      <c r="S153" s="64"/>
      <c r="T153" s="64"/>
      <c r="U153" s="64"/>
      <c r="V153" s="64"/>
      <c r="W153" s="64"/>
      <c r="X153" s="64"/>
      <c r="Y153" s="64"/>
      <c r="Z153" s="64"/>
      <c r="AA153" s="64"/>
      <c r="AB153" s="64"/>
      <c r="AC153" s="64"/>
      <c r="AD153" s="64"/>
      <c r="AE153" s="64"/>
      <c r="AF153" s="40"/>
      <c r="AG153" s="40"/>
      <c r="AH153" s="40"/>
      <c r="AI153" s="40"/>
      <c r="AJ153" s="40"/>
      <c r="AK153" s="40"/>
      <c r="AL153" s="40"/>
      <c r="AM153" s="40"/>
      <c r="AN153" s="40"/>
      <c r="AO153" s="40"/>
      <c r="AP153" s="40"/>
      <c r="AQ153" s="40"/>
      <c r="AR153" s="40"/>
    </row>
    <row r="154" spans="1:44" x14ac:dyDescent="0.25">
      <c r="A154" s="476">
        <f>УП!C178</f>
        <v>62</v>
      </c>
      <c r="B154" s="53" t="str">
        <f>УП!D178</f>
        <v>ХХХХ</v>
      </c>
      <c r="C154" s="28"/>
      <c r="D154" s="15"/>
      <c r="E154" s="15"/>
      <c r="F154" s="15"/>
      <c r="G154" s="15"/>
      <c r="H154" s="15"/>
      <c r="I154" s="15"/>
      <c r="J154" s="15"/>
      <c r="K154" s="15"/>
      <c r="L154" s="15"/>
      <c r="M154" s="15"/>
      <c r="N154" s="15"/>
      <c r="O154" s="15"/>
      <c r="P154" s="15"/>
      <c r="Q154" s="15"/>
      <c r="R154" s="15"/>
      <c r="S154" s="64"/>
      <c r="T154" s="64"/>
      <c r="U154" s="64"/>
      <c r="V154" s="64"/>
      <c r="W154" s="64"/>
      <c r="X154" s="64"/>
      <c r="Y154" s="64"/>
      <c r="Z154" s="64"/>
      <c r="AA154" s="64"/>
      <c r="AB154" s="64"/>
      <c r="AC154" s="64"/>
      <c r="AD154" s="64"/>
      <c r="AE154" s="64"/>
      <c r="AF154" s="40"/>
      <c r="AG154" s="40"/>
      <c r="AH154" s="40"/>
      <c r="AI154" s="40"/>
      <c r="AJ154" s="40"/>
      <c r="AK154" s="40"/>
      <c r="AL154" s="40"/>
      <c r="AM154" s="40"/>
      <c r="AN154" s="40"/>
      <c r="AO154" s="40"/>
      <c r="AP154" s="40"/>
      <c r="AQ154" s="40"/>
      <c r="AR154" s="40"/>
    </row>
    <row r="155" spans="1:44" x14ac:dyDescent="0.25">
      <c r="A155" s="476">
        <f>УП!C179</f>
        <v>63</v>
      </c>
      <c r="B155" s="53" t="str">
        <f>УП!D179</f>
        <v>ХХХХ</v>
      </c>
      <c r="C155" s="28"/>
      <c r="D155" s="15"/>
      <c r="E155" s="15"/>
      <c r="F155" s="15"/>
      <c r="G155" s="15"/>
      <c r="H155" s="15"/>
      <c r="I155" s="15"/>
      <c r="J155" s="15"/>
      <c r="K155" s="15"/>
      <c r="L155" s="15"/>
      <c r="M155" s="15"/>
      <c r="N155" s="15"/>
      <c r="O155" s="15"/>
      <c r="P155" s="15"/>
      <c r="Q155" s="15"/>
      <c r="R155" s="15"/>
      <c r="S155" s="64"/>
      <c r="T155" s="64"/>
      <c r="U155" s="64"/>
      <c r="V155" s="64"/>
      <c r="W155" s="64"/>
      <c r="X155" s="64"/>
      <c r="Y155" s="64"/>
      <c r="Z155" s="64"/>
      <c r="AA155" s="64"/>
      <c r="AB155" s="64"/>
      <c r="AC155" s="64"/>
      <c r="AD155" s="64"/>
      <c r="AE155" s="64"/>
      <c r="AF155" s="40"/>
      <c r="AG155" s="40"/>
      <c r="AH155" s="40"/>
      <c r="AI155" s="40"/>
      <c r="AJ155" s="40"/>
      <c r="AK155" s="40"/>
      <c r="AL155" s="40"/>
      <c r="AM155" s="40"/>
      <c r="AN155" s="40"/>
      <c r="AO155" s="40"/>
      <c r="AP155" s="40"/>
      <c r="AQ155" s="40"/>
      <c r="AR155" s="40"/>
    </row>
    <row r="156" spans="1:44" x14ac:dyDescent="0.25">
      <c r="A156" s="476">
        <f>УП!C180</f>
        <v>64</v>
      </c>
      <c r="B156" s="53" t="str">
        <f>УП!D180</f>
        <v>ХХХХ</v>
      </c>
      <c r="C156" s="28"/>
      <c r="D156" s="15"/>
      <c r="E156" s="15"/>
      <c r="F156" s="15"/>
      <c r="G156" s="15"/>
      <c r="H156" s="15"/>
      <c r="I156" s="15"/>
      <c r="J156" s="15"/>
      <c r="K156" s="15"/>
      <c r="L156" s="15"/>
      <c r="M156" s="15"/>
      <c r="N156" s="15"/>
      <c r="O156" s="15"/>
      <c r="P156" s="15"/>
      <c r="Q156" s="15"/>
      <c r="R156" s="15"/>
      <c r="S156" s="64"/>
      <c r="T156" s="64"/>
      <c r="U156" s="64"/>
      <c r="V156" s="64"/>
      <c r="W156" s="64"/>
      <c r="X156" s="64"/>
      <c r="Y156" s="64"/>
      <c r="Z156" s="64"/>
      <c r="AA156" s="64"/>
      <c r="AB156" s="64"/>
      <c r="AC156" s="64"/>
      <c r="AD156" s="64"/>
      <c r="AE156" s="64"/>
      <c r="AF156" s="40"/>
      <c r="AG156" s="40"/>
      <c r="AH156" s="40"/>
      <c r="AI156" s="40"/>
      <c r="AJ156" s="40"/>
      <c r="AK156" s="40"/>
      <c r="AL156" s="40"/>
      <c r="AM156" s="40"/>
      <c r="AN156" s="40"/>
      <c r="AO156" s="40"/>
      <c r="AP156" s="40"/>
      <c r="AQ156" s="40"/>
      <c r="AR156" s="40"/>
    </row>
    <row r="157" spans="1:44" x14ac:dyDescent="0.25">
      <c r="A157" s="476">
        <f>УП!C181</f>
        <v>65</v>
      </c>
      <c r="B157" s="27">
        <f>УП!D181</f>
        <v>0</v>
      </c>
      <c r="C157" s="28"/>
      <c r="D157" s="15"/>
      <c r="E157" s="15"/>
      <c r="F157" s="15"/>
      <c r="G157" s="15"/>
      <c r="H157" s="15"/>
      <c r="I157" s="15"/>
      <c r="J157" s="15"/>
      <c r="K157" s="15"/>
      <c r="L157" s="15"/>
      <c r="M157" s="15"/>
      <c r="N157" s="15"/>
      <c r="O157" s="15"/>
      <c r="P157" s="15"/>
      <c r="Q157" s="15"/>
      <c r="R157" s="15"/>
      <c r="S157" s="64"/>
      <c r="T157" s="64"/>
      <c r="U157" s="64"/>
      <c r="V157" s="64"/>
      <c r="W157" s="64"/>
      <c r="X157" s="64"/>
      <c r="Y157" s="64"/>
      <c r="Z157" s="64"/>
      <c r="AA157" s="64"/>
      <c r="AB157" s="64"/>
      <c r="AC157" s="64"/>
      <c r="AD157" s="64"/>
      <c r="AE157" s="64"/>
      <c r="AF157" s="40"/>
      <c r="AG157" s="40"/>
      <c r="AH157" s="40"/>
      <c r="AI157" s="40"/>
      <c r="AJ157" s="40"/>
      <c r="AK157" s="40"/>
      <c r="AL157" s="40"/>
      <c r="AM157" s="40"/>
      <c r="AN157" s="40"/>
      <c r="AO157" s="40"/>
      <c r="AP157" s="40"/>
      <c r="AQ157" s="40"/>
      <c r="AR157" s="40"/>
    </row>
    <row r="158" spans="1:44" x14ac:dyDescent="0.25">
      <c r="A158" s="476">
        <f>УП!C182</f>
        <v>66</v>
      </c>
      <c r="B158" s="27">
        <f>УП!D182</f>
        <v>0</v>
      </c>
      <c r="C158" s="28"/>
      <c r="D158" s="15"/>
      <c r="E158" s="15"/>
      <c r="F158" s="15"/>
      <c r="G158" s="15"/>
      <c r="H158" s="15"/>
      <c r="I158" s="15"/>
      <c r="J158" s="15"/>
      <c r="K158" s="15"/>
      <c r="L158" s="15"/>
      <c r="M158" s="15"/>
      <c r="N158" s="15"/>
      <c r="O158" s="15"/>
      <c r="P158" s="15"/>
      <c r="Q158" s="15"/>
      <c r="R158" s="15"/>
      <c r="S158" s="64"/>
      <c r="T158" s="64"/>
      <c r="U158" s="64"/>
      <c r="V158" s="64"/>
      <c r="W158" s="64"/>
      <c r="X158" s="64"/>
      <c r="Y158" s="64"/>
      <c r="Z158" s="64"/>
      <c r="AA158" s="64"/>
      <c r="AB158" s="64"/>
      <c r="AC158" s="64"/>
      <c r="AD158" s="64"/>
      <c r="AE158" s="64"/>
      <c r="AF158" s="40"/>
      <c r="AG158" s="40"/>
      <c r="AH158" s="40"/>
      <c r="AI158" s="40"/>
      <c r="AJ158" s="40"/>
      <c r="AK158" s="40"/>
      <c r="AL158" s="40"/>
      <c r="AM158" s="40"/>
      <c r="AN158" s="40"/>
      <c r="AO158" s="40"/>
      <c r="AP158" s="40"/>
      <c r="AQ158" s="40"/>
      <c r="AR158" s="40"/>
    </row>
    <row r="159" spans="1:44" x14ac:dyDescent="0.25">
      <c r="A159" s="476">
        <f>УП!C183</f>
        <v>67</v>
      </c>
      <c r="B159" s="27">
        <f>УП!D183</f>
        <v>0</v>
      </c>
      <c r="C159" s="28"/>
      <c r="D159" s="15"/>
      <c r="E159" s="15"/>
      <c r="F159" s="15"/>
      <c r="G159" s="15"/>
      <c r="H159" s="15"/>
      <c r="I159" s="15"/>
      <c r="J159" s="15"/>
      <c r="K159" s="15"/>
      <c r="L159" s="15"/>
      <c r="M159" s="15"/>
      <c r="N159" s="15"/>
      <c r="O159" s="15"/>
      <c r="P159" s="15"/>
      <c r="Q159" s="15"/>
      <c r="R159" s="15"/>
      <c r="S159" s="64"/>
      <c r="T159" s="64"/>
      <c r="U159" s="64"/>
      <c r="V159" s="64"/>
      <c r="W159" s="64"/>
      <c r="X159" s="64"/>
      <c r="Y159" s="64"/>
      <c r="Z159" s="64"/>
      <c r="AA159" s="64"/>
      <c r="AB159" s="64"/>
      <c r="AC159" s="64"/>
      <c r="AD159" s="64"/>
      <c r="AE159" s="64"/>
      <c r="AF159" s="40"/>
      <c r="AG159" s="40"/>
      <c r="AH159" s="40"/>
      <c r="AI159" s="40"/>
      <c r="AJ159" s="40"/>
      <c r="AK159" s="40"/>
      <c r="AL159" s="40"/>
      <c r="AM159" s="40"/>
      <c r="AN159" s="40"/>
      <c r="AO159" s="40"/>
      <c r="AP159" s="40"/>
      <c r="AQ159" s="40"/>
      <c r="AR159" s="40"/>
    </row>
    <row r="160" spans="1:44" x14ac:dyDescent="0.25">
      <c r="A160" s="476">
        <f>УП!C184</f>
        <v>68</v>
      </c>
      <c r="B160" s="27">
        <f>УП!D184</f>
        <v>0</v>
      </c>
      <c r="C160" s="28"/>
      <c r="D160" s="15"/>
      <c r="E160" s="15"/>
      <c r="F160" s="15"/>
      <c r="G160" s="15"/>
      <c r="H160" s="15"/>
      <c r="I160" s="15"/>
      <c r="J160" s="15"/>
      <c r="K160" s="15"/>
      <c r="L160" s="15"/>
      <c r="M160" s="15"/>
      <c r="N160" s="15"/>
      <c r="O160" s="15"/>
      <c r="P160" s="15"/>
      <c r="Q160" s="15"/>
      <c r="R160" s="15"/>
      <c r="S160" s="64"/>
      <c r="T160" s="64"/>
      <c r="U160" s="64"/>
      <c r="V160" s="64"/>
      <c r="W160" s="64"/>
      <c r="X160" s="64"/>
      <c r="Y160" s="64"/>
      <c r="Z160" s="64"/>
      <c r="AA160" s="64"/>
      <c r="AB160" s="64"/>
      <c r="AC160" s="64"/>
      <c r="AD160" s="64"/>
      <c r="AE160" s="64"/>
      <c r="AF160" s="40"/>
      <c r="AG160" s="40"/>
      <c r="AH160" s="40"/>
      <c r="AI160" s="40"/>
      <c r="AJ160" s="40"/>
      <c r="AK160" s="40"/>
      <c r="AL160" s="40"/>
      <c r="AM160" s="40"/>
      <c r="AN160" s="40"/>
      <c r="AO160" s="40"/>
      <c r="AP160" s="40"/>
      <c r="AQ160" s="40"/>
      <c r="AR160" s="40"/>
    </row>
    <row r="161" spans="1:44" x14ac:dyDescent="0.25">
      <c r="A161" s="476">
        <f>УП!C185</f>
        <v>69</v>
      </c>
      <c r="B161" s="27">
        <f>УП!D185</f>
        <v>0</v>
      </c>
      <c r="C161" s="28"/>
      <c r="D161" s="15"/>
      <c r="E161" s="15"/>
      <c r="F161" s="15"/>
      <c r="G161" s="15"/>
      <c r="H161" s="15"/>
      <c r="I161" s="15"/>
      <c r="J161" s="15"/>
      <c r="K161" s="15"/>
      <c r="L161" s="15"/>
      <c r="M161" s="15"/>
      <c r="N161" s="15"/>
      <c r="O161" s="15"/>
      <c r="P161" s="15"/>
      <c r="Q161" s="15"/>
      <c r="R161" s="15"/>
      <c r="S161" s="64"/>
      <c r="T161" s="64"/>
      <c r="U161" s="64"/>
      <c r="V161" s="64"/>
      <c r="W161" s="64"/>
      <c r="X161" s="64"/>
      <c r="Y161" s="64"/>
      <c r="Z161" s="64"/>
      <c r="AA161" s="64"/>
      <c r="AB161" s="64"/>
      <c r="AC161" s="64"/>
      <c r="AD161" s="64"/>
      <c r="AE161" s="64"/>
      <c r="AF161" s="40"/>
      <c r="AG161" s="40"/>
      <c r="AH161" s="40"/>
      <c r="AI161" s="40"/>
      <c r="AJ161" s="40"/>
      <c r="AK161" s="40"/>
      <c r="AL161" s="40"/>
      <c r="AM161" s="40"/>
      <c r="AN161" s="40"/>
      <c r="AO161" s="40"/>
      <c r="AP161" s="40"/>
      <c r="AQ161" s="40"/>
      <c r="AR161" s="40"/>
    </row>
    <row r="162" spans="1:44" x14ac:dyDescent="0.25">
      <c r="A162" s="476">
        <f>УП!C186</f>
        <v>70</v>
      </c>
      <c r="B162" s="27">
        <f>УП!D186</f>
        <v>0</v>
      </c>
      <c r="C162" s="28"/>
      <c r="D162" s="15"/>
      <c r="E162" s="15"/>
      <c r="F162" s="15"/>
      <c r="G162" s="15"/>
      <c r="H162" s="15"/>
      <c r="I162" s="15"/>
      <c r="J162" s="15"/>
      <c r="K162" s="15"/>
      <c r="L162" s="15"/>
      <c r="M162" s="15"/>
      <c r="N162" s="15"/>
      <c r="O162" s="15"/>
      <c r="P162" s="15"/>
      <c r="Q162" s="15"/>
      <c r="R162" s="15"/>
      <c r="S162" s="64"/>
      <c r="T162" s="64"/>
      <c r="U162" s="64"/>
      <c r="V162" s="64"/>
      <c r="W162" s="64"/>
      <c r="X162" s="64"/>
      <c r="Y162" s="64"/>
      <c r="Z162" s="64"/>
      <c r="AA162" s="64"/>
      <c r="AB162" s="64"/>
      <c r="AC162" s="64"/>
      <c r="AD162" s="64"/>
      <c r="AE162" s="64"/>
      <c r="AF162" s="40"/>
      <c r="AG162" s="40"/>
      <c r="AH162" s="40"/>
      <c r="AI162" s="40"/>
      <c r="AJ162" s="40"/>
      <c r="AK162" s="40"/>
      <c r="AL162" s="40"/>
      <c r="AM162" s="40"/>
      <c r="AN162" s="40"/>
      <c r="AO162" s="40"/>
      <c r="AP162" s="40"/>
      <c r="AQ162" s="40"/>
      <c r="AR162" s="40"/>
    </row>
    <row r="163" spans="1:44" x14ac:dyDescent="0.25">
      <c r="A163" s="476">
        <f>УП!C187</f>
        <v>71</v>
      </c>
      <c r="B163" s="27">
        <f>УП!D187</f>
        <v>0</v>
      </c>
      <c r="C163" s="28"/>
      <c r="D163" s="15"/>
      <c r="E163" s="15"/>
      <c r="F163" s="15"/>
      <c r="G163" s="15"/>
      <c r="H163" s="15"/>
      <c r="I163" s="15"/>
      <c r="J163" s="15"/>
      <c r="K163" s="15"/>
      <c r="L163" s="15"/>
      <c r="M163" s="15"/>
      <c r="N163" s="15"/>
      <c r="O163" s="15"/>
      <c r="P163" s="15"/>
      <c r="Q163" s="15"/>
      <c r="R163" s="15"/>
      <c r="S163" s="64"/>
      <c r="T163" s="64"/>
      <c r="U163" s="64"/>
      <c r="V163" s="64"/>
      <c r="W163" s="64"/>
      <c r="X163" s="64"/>
      <c r="Y163" s="64"/>
      <c r="Z163" s="64"/>
      <c r="AA163" s="64"/>
      <c r="AB163" s="64"/>
      <c r="AC163" s="64"/>
      <c r="AD163" s="64"/>
      <c r="AE163" s="64"/>
      <c r="AF163" s="40"/>
      <c r="AG163" s="40"/>
      <c r="AH163" s="40"/>
      <c r="AI163" s="40"/>
      <c r="AJ163" s="40"/>
      <c r="AK163" s="40"/>
      <c r="AL163" s="40"/>
      <c r="AM163" s="40"/>
      <c r="AN163" s="40"/>
      <c r="AO163" s="40"/>
      <c r="AP163" s="40"/>
      <c r="AQ163" s="40"/>
      <c r="AR163" s="40"/>
    </row>
    <row r="164" spans="1:44" x14ac:dyDescent="0.25">
      <c r="A164" s="476">
        <f>УП!C188</f>
        <v>72</v>
      </c>
      <c r="B164" s="27">
        <f>УП!D188</f>
        <v>0</v>
      </c>
      <c r="C164" s="28"/>
      <c r="D164" s="15"/>
      <c r="E164" s="15"/>
      <c r="F164" s="15"/>
      <c r="G164" s="15"/>
      <c r="H164" s="15"/>
      <c r="I164" s="15"/>
      <c r="J164" s="15"/>
      <c r="K164" s="15"/>
      <c r="L164" s="15"/>
      <c r="M164" s="15"/>
      <c r="N164" s="15"/>
      <c r="O164" s="15"/>
      <c r="P164" s="15"/>
      <c r="Q164" s="15"/>
      <c r="R164" s="15"/>
      <c r="S164" s="64"/>
      <c r="T164" s="64"/>
      <c r="U164" s="64"/>
      <c r="V164" s="64"/>
      <c r="W164" s="64"/>
      <c r="X164" s="64"/>
      <c r="Y164" s="64"/>
      <c r="Z164" s="64"/>
      <c r="AA164" s="64"/>
      <c r="AB164" s="64"/>
      <c r="AC164" s="64"/>
      <c r="AD164" s="64"/>
      <c r="AE164" s="64"/>
      <c r="AF164" s="40"/>
      <c r="AG164" s="40"/>
      <c r="AH164" s="40"/>
      <c r="AI164" s="40"/>
      <c r="AJ164" s="40"/>
      <c r="AK164" s="40"/>
      <c r="AL164" s="40"/>
      <c r="AM164" s="40"/>
      <c r="AN164" s="40"/>
      <c r="AO164" s="40"/>
      <c r="AP164" s="40"/>
      <c r="AQ164" s="40"/>
      <c r="AR164" s="40"/>
    </row>
    <row r="165" spans="1:44" x14ac:dyDescent="0.25">
      <c r="A165" s="476">
        <f>УП!C189</f>
        <v>73</v>
      </c>
      <c r="B165" s="27">
        <f>УП!D189</f>
        <v>0</v>
      </c>
      <c r="C165" s="28"/>
      <c r="D165" s="15"/>
      <c r="E165" s="15"/>
      <c r="F165" s="15"/>
      <c r="G165" s="15"/>
      <c r="H165" s="15"/>
      <c r="I165" s="15"/>
      <c r="J165" s="15"/>
      <c r="K165" s="15"/>
      <c r="L165" s="15"/>
      <c r="M165" s="15"/>
      <c r="N165" s="15"/>
      <c r="O165" s="15"/>
      <c r="P165" s="15"/>
      <c r="Q165" s="15"/>
      <c r="R165" s="15"/>
      <c r="S165" s="64"/>
      <c r="T165" s="64"/>
      <c r="U165" s="64"/>
      <c r="V165" s="64"/>
      <c r="W165" s="64"/>
      <c r="X165" s="64"/>
      <c r="Y165" s="64"/>
      <c r="Z165" s="64"/>
      <c r="AA165" s="64"/>
      <c r="AB165" s="64"/>
      <c r="AC165" s="64"/>
      <c r="AD165" s="64"/>
      <c r="AE165" s="64"/>
      <c r="AF165" s="40"/>
      <c r="AG165" s="40"/>
      <c r="AH165" s="40"/>
      <c r="AI165" s="40"/>
      <c r="AJ165" s="40"/>
      <c r="AK165" s="40"/>
      <c r="AL165" s="40"/>
      <c r="AM165" s="40"/>
      <c r="AN165" s="40"/>
      <c r="AO165" s="40"/>
      <c r="AP165" s="40"/>
      <c r="AQ165" s="40"/>
      <c r="AR165" s="40"/>
    </row>
    <row r="166" spans="1:44" x14ac:dyDescent="0.25">
      <c r="A166" s="26"/>
      <c r="B166" s="52" t="str">
        <f>УП!D190</f>
        <v>Специализация 5: ХХХХ</v>
      </c>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40"/>
      <c r="AG166" s="40"/>
      <c r="AH166" s="40"/>
      <c r="AI166" s="40"/>
      <c r="AJ166" s="40"/>
      <c r="AK166" s="40"/>
      <c r="AL166" s="40"/>
      <c r="AM166" s="40"/>
      <c r="AN166" s="40"/>
      <c r="AO166" s="40"/>
      <c r="AP166" s="40"/>
      <c r="AQ166" s="40"/>
      <c r="AR166" s="40"/>
    </row>
    <row r="167" spans="1:44" x14ac:dyDescent="0.25">
      <c r="A167" s="476">
        <f>УП!C191</f>
        <v>61</v>
      </c>
      <c r="B167" s="49" t="str">
        <f>УП!D191</f>
        <v>ХХХХ</v>
      </c>
      <c r="C167" s="28"/>
      <c r="D167" s="15"/>
      <c r="E167" s="15"/>
      <c r="F167" s="15"/>
      <c r="G167" s="15"/>
      <c r="H167" s="15"/>
      <c r="I167" s="15"/>
      <c r="J167" s="15"/>
      <c r="K167" s="15"/>
      <c r="L167" s="15"/>
      <c r="M167" s="15"/>
      <c r="N167" s="15"/>
      <c r="O167" s="15"/>
      <c r="P167" s="15"/>
      <c r="Q167" s="15"/>
      <c r="R167" s="15"/>
      <c r="S167" s="64"/>
      <c r="T167" s="64"/>
      <c r="U167" s="64"/>
      <c r="V167" s="64"/>
      <c r="W167" s="64"/>
      <c r="X167" s="64"/>
      <c r="Y167" s="64"/>
      <c r="Z167" s="64"/>
      <c r="AA167" s="64"/>
      <c r="AB167" s="64"/>
      <c r="AC167" s="64"/>
      <c r="AD167" s="64"/>
      <c r="AE167" s="64"/>
      <c r="AF167" s="40"/>
      <c r="AG167" s="40"/>
      <c r="AH167" s="40"/>
      <c r="AI167" s="40"/>
      <c r="AJ167" s="40"/>
      <c r="AK167" s="40"/>
      <c r="AL167" s="40"/>
      <c r="AM167" s="40"/>
      <c r="AN167" s="40"/>
      <c r="AO167" s="40"/>
      <c r="AP167" s="40"/>
      <c r="AQ167" s="40"/>
      <c r="AR167" s="40"/>
    </row>
    <row r="168" spans="1:44" x14ac:dyDescent="0.25">
      <c r="A168" s="476">
        <f>УП!C192</f>
        <v>62</v>
      </c>
      <c r="B168" s="49" t="str">
        <f>УП!D192</f>
        <v>ХХХХ</v>
      </c>
      <c r="C168" s="28"/>
      <c r="D168" s="15"/>
      <c r="E168" s="15"/>
      <c r="F168" s="15"/>
      <c r="G168" s="15"/>
      <c r="H168" s="15"/>
      <c r="I168" s="15"/>
      <c r="J168" s="15"/>
      <c r="K168" s="15"/>
      <c r="L168" s="15"/>
      <c r="M168" s="15"/>
      <c r="N168" s="15"/>
      <c r="O168" s="15"/>
      <c r="P168" s="15"/>
      <c r="Q168" s="15"/>
      <c r="R168" s="15"/>
      <c r="S168" s="64"/>
      <c r="T168" s="64"/>
      <c r="U168" s="64"/>
      <c r="V168" s="64"/>
      <c r="W168" s="64"/>
      <c r="X168" s="64"/>
      <c r="Y168" s="64"/>
      <c r="Z168" s="64"/>
      <c r="AA168" s="64"/>
      <c r="AB168" s="64"/>
      <c r="AC168" s="64"/>
      <c r="AD168" s="64"/>
      <c r="AE168" s="64"/>
      <c r="AF168" s="40"/>
      <c r="AG168" s="40"/>
      <c r="AH168" s="40"/>
      <c r="AI168" s="40"/>
      <c r="AJ168" s="40"/>
      <c r="AK168" s="40"/>
      <c r="AL168" s="40"/>
      <c r="AM168" s="40"/>
      <c r="AN168" s="40"/>
      <c r="AO168" s="40"/>
      <c r="AP168" s="40"/>
      <c r="AQ168" s="40"/>
      <c r="AR168" s="40"/>
    </row>
    <row r="169" spans="1:44" x14ac:dyDescent="0.25">
      <c r="A169" s="476">
        <f>УП!C193</f>
        <v>63</v>
      </c>
      <c r="B169" s="49" t="str">
        <f>УП!D193</f>
        <v>ХХХХ</v>
      </c>
      <c r="C169" s="28"/>
      <c r="D169" s="15"/>
      <c r="E169" s="15"/>
      <c r="F169" s="15"/>
      <c r="G169" s="15"/>
      <c r="H169" s="15"/>
      <c r="I169" s="15"/>
      <c r="J169" s="15"/>
      <c r="K169" s="15"/>
      <c r="L169" s="15"/>
      <c r="M169" s="15"/>
      <c r="N169" s="15"/>
      <c r="O169" s="15"/>
      <c r="P169" s="15"/>
      <c r="Q169" s="15"/>
      <c r="R169" s="15"/>
      <c r="S169" s="64"/>
      <c r="T169" s="64"/>
      <c r="U169" s="64"/>
      <c r="V169" s="64"/>
      <c r="W169" s="64"/>
      <c r="X169" s="64"/>
      <c r="Y169" s="64"/>
      <c r="Z169" s="64"/>
      <c r="AA169" s="64"/>
      <c r="AB169" s="64"/>
      <c r="AC169" s="64"/>
      <c r="AD169" s="64"/>
      <c r="AE169" s="64"/>
      <c r="AF169" s="40"/>
      <c r="AG169" s="40"/>
      <c r="AH169" s="40"/>
      <c r="AI169" s="40"/>
      <c r="AJ169" s="40"/>
      <c r="AK169" s="40"/>
      <c r="AL169" s="40"/>
      <c r="AM169" s="40"/>
      <c r="AN169" s="40"/>
      <c r="AO169" s="40"/>
      <c r="AP169" s="40"/>
      <c r="AQ169" s="40"/>
      <c r="AR169" s="40"/>
    </row>
    <row r="170" spans="1:44" x14ac:dyDescent="0.25">
      <c r="A170" s="476">
        <f>УП!C194</f>
        <v>64</v>
      </c>
      <c r="B170" s="49" t="str">
        <f>УП!D194</f>
        <v>ХХХХ</v>
      </c>
      <c r="C170" s="28"/>
      <c r="D170" s="15"/>
      <c r="E170" s="15"/>
      <c r="F170" s="15"/>
      <c r="G170" s="15"/>
      <c r="H170" s="15"/>
      <c r="I170" s="15"/>
      <c r="J170" s="15"/>
      <c r="K170" s="15"/>
      <c r="L170" s="15"/>
      <c r="M170" s="15"/>
      <c r="N170" s="15"/>
      <c r="O170" s="15"/>
      <c r="P170" s="15"/>
      <c r="Q170" s="15"/>
      <c r="R170" s="15"/>
      <c r="S170" s="64"/>
      <c r="T170" s="64"/>
      <c r="U170" s="64"/>
      <c r="V170" s="64"/>
      <c r="W170" s="64"/>
      <c r="X170" s="64"/>
      <c r="Y170" s="64"/>
      <c r="Z170" s="64"/>
      <c r="AA170" s="64"/>
      <c r="AB170" s="64"/>
      <c r="AC170" s="64"/>
      <c r="AD170" s="64"/>
      <c r="AE170" s="64"/>
      <c r="AF170" s="40"/>
      <c r="AG170" s="40"/>
      <c r="AH170" s="40"/>
      <c r="AI170" s="40"/>
      <c r="AJ170" s="40"/>
      <c r="AK170" s="40"/>
      <c r="AL170" s="40"/>
      <c r="AM170" s="40"/>
      <c r="AN170" s="40"/>
      <c r="AO170" s="40"/>
      <c r="AP170" s="40"/>
      <c r="AQ170" s="40"/>
      <c r="AR170" s="40"/>
    </row>
    <row r="171" spans="1:44" x14ac:dyDescent="0.25">
      <c r="A171" s="476">
        <f>УП!C195</f>
        <v>65</v>
      </c>
      <c r="B171" s="27">
        <f>УП!D195</f>
        <v>0</v>
      </c>
      <c r="C171" s="28"/>
      <c r="D171" s="15"/>
      <c r="E171" s="15"/>
      <c r="F171" s="15"/>
      <c r="G171" s="15"/>
      <c r="H171" s="15"/>
      <c r="I171" s="15"/>
      <c r="J171" s="15"/>
      <c r="K171" s="15"/>
      <c r="L171" s="15"/>
      <c r="M171" s="15"/>
      <c r="N171" s="15"/>
      <c r="O171" s="15"/>
      <c r="P171" s="15"/>
      <c r="Q171" s="15"/>
      <c r="R171" s="15"/>
      <c r="S171" s="64"/>
      <c r="T171" s="64"/>
      <c r="U171" s="64"/>
      <c r="V171" s="64"/>
      <c r="W171" s="64"/>
      <c r="X171" s="64"/>
      <c r="Y171" s="64"/>
      <c r="Z171" s="64"/>
      <c r="AA171" s="64"/>
      <c r="AB171" s="64"/>
      <c r="AC171" s="64"/>
      <c r="AD171" s="64"/>
      <c r="AE171" s="64"/>
      <c r="AF171" s="40"/>
      <c r="AG171" s="40"/>
      <c r="AH171" s="40"/>
      <c r="AI171" s="40"/>
      <c r="AJ171" s="40"/>
      <c r="AK171" s="40"/>
      <c r="AL171" s="40"/>
      <c r="AM171" s="40"/>
      <c r="AN171" s="40"/>
      <c r="AO171" s="40"/>
      <c r="AP171" s="40"/>
      <c r="AQ171" s="40"/>
      <c r="AR171" s="40"/>
    </row>
    <row r="172" spans="1:44" x14ac:dyDescent="0.25">
      <c r="A172" s="476">
        <f>УП!C196</f>
        <v>66</v>
      </c>
      <c r="B172" s="27">
        <f>УП!D196</f>
        <v>0</v>
      </c>
      <c r="C172" s="28"/>
      <c r="D172" s="15"/>
      <c r="E172" s="15"/>
      <c r="F172" s="15"/>
      <c r="G172" s="15"/>
      <c r="H172" s="15"/>
      <c r="I172" s="15"/>
      <c r="J172" s="15"/>
      <c r="K172" s="15"/>
      <c r="L172" s="15"/>
      <c r="M172" s="15"/>
      <c r="N172" s="15"/>
      <c r="O172" s="15"/>
      <c r="P172" s="15"/>
      <c r="Q172" s="15"/>
      <c r="R172" s="15"/>
      <c r="S172" s="64"/>
      <c r="T172" s="64"/>
      <c r="U172" s="64"/>
      <c r="V172" s="64"/>
      <c r="W172" s="64"/>
      <c r="X172" s="64"/>
      <c r="Y172" s="64"/>
      <c r="Z172" s="64"/>
      <c r="AA172" s="64"/>
      <c r="AB172" s="64"/>
      <c r="AC172" s="64"/>
      <c r="AD172" s="64"/>
      <c r="AE172" s="64"/>
      <c r="AF172" s="40"/>
      <c r="AG172" s="40"/>
      <c r="AH172" s="40"/>
      <c r="AI172" s="40"/>
      <c r="AJ172" s="40"/>
      <c r="AK172" s="40"/>
      <c r="AL172" s="40"/>
      <c r="AM172" s="40"/>
      <c r="AN172" s="40"/>
      <c r="AO172" s="40"/>
      <c r="AP172" s="40"/>
      <c r="AQ172" s="40"/>
      <c r="AR172" s="40"/>
    </row>
    <row r="173" spans="1:44" x14ac:dyDescent="0.25">
      <c r="A173" s="476">
        <f>УП!C197</f>
        <v>67</v>
      </c>
      <c r="B173" s="27">
        <f>УП!D197</f>
        <v>0</v>
      </c>
      <c r="C173" s="28"/>
      <c r="D173" s="15"/>
      <c r="E173" s="15"/>
      <c r="F173" s="15"/>
      <c r="G173" s="15"/>
      <c r="H173" s="15"/>
      <c r="I173" s="15"/>
      <c r="J173" s="15"/>
      <c r="K173" s="15"/>
      <c r="L173" s="15"/>
      <c r="M173" s="15"/>
      <c r="N173" s="15"/>
      <c r="O173" s="15"/>
      <c r="P173" s="15"/>
      <c r="Q173" s="15"/>
      <c r="R173" s="15"/>
      <c r="S173" s="64"/>
      <c r="T173" s="64"/>
      <c r="U173" s="64"/>
      <c r="V173" s="64"/>
      <c r="W173" s="64"/>
      <c r="X173" s="64"/>
      <c r="Y173" s="64"/>
      <c r="Z173" s="64"/>
      <c r="AA173" s="64"/>
      <c r="AB173" s="64"/>
      <c r="AC173" s="64"/>
      <c r="AD173" s="64"/>
      <c r="AE173" s="64"/>
      <c r="AF173" s="40"/>
      <c r="AG173" s="40"/>
      <c r="AH173" s="40"/>
      <c r="AI173" s="40"/>
      <c r="AJ173" s="40"/>
      <c r="AK173" s="40"/>
      <c r="AL173" s="40"/>
      <c r="AM173" s="40"/>
      <c r="AN173" s="40"/>
      <c r="AO173" s="40"/>
      <c r="AP173" s="40"/>
      <c r="AQ173" s="40"/>
      <c r="AR173" s="40"/>
    </row>
    <row r="174" spans="1:44" x14ac:dyDescent="0.25">
      <c r="A174" s="476">
        <f>УП!C198</f>
        <v>68</v>
      </c>
      <c r="B174" s="27">
        <f>УП!D198</f>
        <v>0</v>
      </c>
      <c r="C174" s="28"/>
      <c r="D174" s="15"/>
      <c r="E174" s="15"/>
      <c r="F174" s="15"/>
      <c r="G174" s="15"/>
      <c r="H174" s="15"/>
      <c r="I174" s="15"/>
      <c r="J174" s="15"/>
      <c r="K174" s="15"/>
      <c r="L174" s="15"/>
      <c r="M174" s="15"/>
      <c r="N174" s="15"/>
      <c r="O174" s="15"/>
      <c r="P174" s="15"/>
      <c r="Q174" s="15"/>
      <c r="R174" s="15"/>
      <c r="S174" s="64"/>
      <c r="T174" s="64"/>
      <c r="U174" s="64"/>
      <c r="V174" s="64"/>
      <c r="W174" s="64"/>
      <c r="X174" s="64"/>
      <c r="Y174" s="64"/>
      <c r="Z174" s="64"/>
      <c r="AA174" s="64"/>
      <c r="AB174" s="64"/>
      <c r="AC174" s="64"/>
      <c r="AD174" s="64"/>
      <c r="AE174" s="64"/>
      <c r="AF174" s="40"/>
      <c r="AG174" s="40"/>
      <c r="AH174" s="40"/>
      <c r="AI174" s="40"/>
      <c r="AJ174" s="40"/>
      <c r="AK174" s="40"/>
      <c r="AL174" s="40"/>
      <c r="AM174" s="40"/>
      <c r="AN174" s="40"/>
      <c r="AO174" s="40"/>
      <c r="AP174" s="40"/>
      <c r="AQ174" s="40"/>
      <c r="AR174" s="40"/>
    </row>
    <row r="175" spans="1:44" x14ac:dyDescent="0.25">
      <c r="A175" s="476">
        <f>УП!C199</f>
        <v>69</v>
      </c>
      <c r="B175" s="27">
        <f>УП!D199</f>
        <v>0</v>
      </c>
      <c r="C175" s="28"/>
      <c r="D175" s="15"/>
      <c r="E175" s="15"/>
      <c r="F175" s="15"/>
      <c r="G175" s="15"/>
      <c r="H175" s="15"/>
      <c r="I175" s="15"/>
      <c r="J175" s="15"/>
      <c r="K175" s="15"/>
      <c r="L175" s="15"/>
      <c r="M175" s="15"/>
      <c r="N175" s="15"/>
      <c r="O175" s="15"/>
      <c r="P175" s="15"/>
      <c r="Q175" s="15"/>
      <c r="R175" s="15"/>
      <c r="S175" s="64"/>
      <c r="T175" s="64"/>
      <c r="U175" s="64"/>
      <c r="V175" s="64"/>
      <c r="W175" s="64"/>
      <c r="X175" s="64"/>
      <c r="Y175" s="64"/>
      <c r="Z175" s="64"/>
      <c r="AA175" s="64"/>
      <c r="AB175" s="64"/>
      <c r="AC175" s="64"/>
      <c r="AD175" s="64"/>
      <c r="AE175" s="64"/>
      <c r="AF175" s="40"/>
      <c r="AG175" s="40"/>
      <c r="AH175" s="40"/>
      <c r="AI175" s="40"/>
      <c r="AJ175" s="40"/>
      <c r="AK175" s="40"/>
      <c r="AL175" s="40"/>
      <c r="AM175" s="40"/>
      <c r="AN175" s="40"/>
      <c r="AO175" s="40"/>
      <c r="AP175" s="40"/>
      <c r="AQ175" s="40"/>
      <c r="AR175" s="40"/>
    </row>
    <row r="176" spans="1:44" x14ac:dyDescent="0.25">
      <c r="A176" s="476">
        <f>УП!C200</f>
        <v>70</v>
      </c>
      <c r="B176" s="27">
        <f>УП!D200</f>
        <v>0</v>
      </c>
      <c r="C176" s="28"/>
      <c r="D176" s="15"/>
      <c r="E176" s="15"/>
      <c r="F176" s="15"/>
      <c r="G176" s="15"/>
      <c r="H176" s="15"/>
      <c r="I176" s="15"/>
      <c r="J176" s="15"/>
      <c r="K176" s="15"/>
      <c r="L176" s="15"/>
      <c r="M176" s="15"/>
      <c r="N176" s="15"/>
      <c r="O176" s="15"/>
      <c r="P176" s="15"/>
      <c r="Q176" s="15"/>
      <c r="R176" s="15"/>
      <c r="S176" s="64"/>
      <c r="T176" s="64"/>
      <c r="U176" s="64"/>
      <c r="V176" s="64"/>
      <c r="W176" s="64"/>
      <c r="X176" s="64"/>
      <c r="Y176" s="64"/>
      <c r="Z176" s="64"/>
      <c r="AA176" s="64"/>
      <c r="AB176" s="64"/>
      <c r="AC176" s="64"/>
      <c r="AD176" s="64"/>
      <c r="AE176" s="64"/>
      <c r="AF176" s="40"/>
      <c r="AG176" s="40"/>
      <c r="AH176" s="40"/>
      <c r="AI176" s="40"/>
      <c r="AJ176" s="40"/>
      <c r="AK176" s="40"/>
      <c r="AL176" s="40"/>
      <c r="AM176" s="40"/>
      <c r="AN176" s="40"/>
      <c r="AO176" s="40"/>
      <c r="AP176" s="40"/>
      <c r="AQ176" s="40"/>
      <c r="AR176" s="40"/>
    </row>
    <row r="177" spans="1:44" x14ac:dyDescent="0.25">
      <c r="A177" s="476">
        <f>УП!C201</f>
        <v>71</v>
      </c>
      <c r="B177" s="27">
        <f>УП!D201</f>
        <v>0</v>
      </c>
      <c r="C177" s="28"/>
      <c r="D177" s="15"/>
      <c r="E177" s="15"/>
      <c r="F177" s="15"/>
      <c r="G177" s="15"/>
      <c r="H177" s="15"/>
      <c r="I177" s="15"/>
      <c r="J177" s="15"/>
      <c r="K177" s="15"/>
      <c r="L177" s="15"/>
      <c r="M177" s="15"/>
      <c r="N177" s="15"/>
      <c r="O177" s="15"/>
      <c r="P177" s="15"/>
      <c r="Q177" s="15"/>
      <c r="R177" s="15"/>
      <c r="S177" s="64"/>
      <c r="T177" s="64"/>
      <c r="U177" s="64"/>
      <c r="V177" s="64"/>
      <c r="W177" s="64"/>
      <c r="X177" s="64"/>
      <c r="Y177" s="64"/>
      <c r="Z177" s="64"/>
      <c r="AA177" s="64"/>
      <c r="AB177" s="64"/>
      <c r="AC177" s="64"/>
      <c r="AD177" s="64"/>
      <c r="AE177" s="64"/>
      <c r="AF177" s="40"/>
      <c r="AG177" s="40"/>
      <c r="AH177" s="40"/>
      <c r="AI177" s="40"/>
      <c r="AJ177" s="40"/>
      <c r="AK177" s="40"/>
      <c r="AL177" s="40"/>
      <c r="AM177" s="40"/>
      <c r="AN177" s="40"/>
      <c r="AO177" s="40"/>
      <c r="AP177" s="40"/>
      <c r="AQ177" s="40"/>
      <c r="AR177" s="40"/>
    </row>
    <row r="178" spans="1:44" x14ac:dyDescent="0.25">
      <c r="A178" s="476">
        <f>УП!C202</f>
        <v>72</v>
      </c>
      <c r="B178" s="27">
        <f>УП!D202</f>
        <v>0</v>
      </c>
      <c r="C178" s="28"/>
      <c r="D178" s="15"/>
      <c r="E178" s="15"/>
      <c r="F178" s="15"/>
      <c r="G178" s="15"/>
      <c r="H178" s="15"/>
      <c r="I178" s="15"/>
      <c r="J178" s="15"/>
      <c r="K178" s="15"/>
      <c r="L178" s="15"/>
      <c r="M178" s="15"/>
      <c r="N178" s="15"/>
      <c r="O178" s="15"/>
      <c r="P178" s="15"/>
      <c r="Q178" s="15"/>
      <c r="R178" s="15"/>
      <c r="S178" s="64"/>
      <c r="T178" s="64"/>
      <c r="U178" s="64"/>
      <c r="V178" s="64"/>
      <c r="W178" s="64"/>
      <c r="X178" s="64"/>
      <c r="Y178" s="64"/>
      <c r="Z178" s="64"/>
      <c r="AA178" s="64"/>
      <c r="AB178" s="64"/>
      <c r="AC178" s="64"/>
      <c r="AD178" s="64"/>
      <c r="AE178" s="64"/>
      <c r="AF178" s="40"/>
      <c r="AG178" s="40"/>
      <c r="AH178" s="40"/>
      <c r="AI178" s="40"/>
      <c r="AJ178" s="40"/>
      <c r="AK178" s="40"/>
      <c r="AL178" s="40"/>
      <c r="AM178" s="40"/>
      <c r="AN178" s="40"/>
      <c r="AO178" s="40"/>
      <c r="AP178" s="40"/>
      <c r="AQ178" s="40"/>
      <c r="AR178" s="40"/>
    </row>
    <row r="179" spans="1:44" x14ac:dyDescent="0.25">
      <c r="A179" s="476">
        <f>УП!C203</f>
        <v>73</v>
      </c>
      <c r="B179" s="27">
        <f>УП!D203</f>
        <v>0</v>
      </c>
      <c r="C179" s="28"/>
      <c r="D179" s="15"/>
      <c r="E179" s="15"/>
      <c r="F179" s="15"/>
      <c r="G179" s="15"/>
      <c r="H179" s="15"/>
      <c r="I179" s="15"/>
      <c r="J179" s="15"/>
      <c r="K179" s="15"/>
      <c r="L179" s="15"/>
      <c r="M179" s="15"/>
      <c r="N179" s="15"/>
      <c r="O179" s="15"/>
      <c r="P179" s="15"/>
      <c r="Q179" s="15"/>
      <c r="R179" s="15"/>
      <c r="S179" s="64"/>
      <c r="T179" s="64"/>
      <c r="U179" s="64"/>
      <c r="V179" s="64"/>
      <c r="W179" s="64"/>
      <c r="X179" s="64"/>
      <c r="Y179" s="64"/>
      <c r="Z179" s="64"/>
      <c r="AA179" s="64"/>
      <c r="AB179" s="64"/>
      <c r="AC179" s="64"/>
      <c r="AD179" s="64"/>
      <c r="AE179" s="64"/>
      <c r="AF179" s="40"/>
      <c r="AG179" s="40"/>
      <c r="AH179" s="40"/>
      <c r="AI179" s="40"/>
      <c r="AJ179" s="40"/>
      <c r="AK179" s="40"/>
      <c r="AL179" s="40"/>
      <c r="AM179" s="40"/>
      <c r="AN179" s="40"/>
      <c r="AO179" s="40"/>
      <c r="AP179" s="40"/>
      <c r="AQ179" s="40"/>
      <c r="AR179" s="40"/>
    </row>
    <row r="180" spans="1:44" x14ac:dyDescent="0.25">
      <c r="A180" s="467"/>
      <c r="B180" s="17" t="str">
        <f>УП!D204</f>
        <v>Физическая культура (элективная дисциплина)</v>
      </c>
      <c r="C180" s="65"/>
      <c r="D180" s="64"/>
      <c r="E180" s="64"/>
      <c r="F180" s="64"/>
      <c r="G180" s="64"/>
      <c r="H180" s="64"/>
      <c r="I180" s="64"/>
      <c r="J180" s="64"/>
      <c r="K180" s="64"/>
      <c r="L180" s="64"/>
      <c r="M180" s="64" t="s">
        <v>180</v>
      </c>
      <c r="N180" s="30"/>
      <c r="O180" s="30"/>
      <c r="P180" s="30"/>
      <c r="Q180" s="30"/>
      <c r="R180" s="30"/>
      <c r="S180" s="30"/>
      <c r="T180" s="30"/>
      <c r="U180" s="30"/>
      <c r="V180" s="30"/>
      <c r="W180" s="30"/>
      <c r="X180" s="30"/>
      <c r="Y180" s="439"/>
      <c r="Z180" s="439"/>
      <c r="AA180" s="439"/>
      <c r="AB180" s="439"/>
      <c r="AC180" s="439"/>
      <c r="AD180" s="439"/>
      <c r="AE180" s="439"/>
      <c r="AF180" s="40"/>
      <c r="AG180" s="40"/>
      <c r="AH180" s="40"/>
      <c r="AI180" s="40"/>
      <c r="AJ180" s="40"/>
      <c r="AK180" s="40"/>
      <c r="AL180" s="40"/>
      <c r="AM180" s="40"/>
      <c r="AN180" s="40"/>
      <c r="AO180" s="40"/>
      <c r="AP180" s="40"/>
      <c r="AQ180" s="40"/>
      <c r="AR180" s="40"/>
    </row>
    <row r="181" spans="1:44" x14ac:dyDescent="0.25">
      <c r="A181" s="468"/>
      <c r="B181" s="6" t="str">
        <f>УП!D210</f>
        <v>Блок 2. Практика</v>
      </c>
      <c r="C181" s="31"/>
      <c r="D181" s="32"/>
      <c r="E181" s="32"/>
      <c r="F181" s="32"/>
      <c r="G181" s="32"/>
      <c r="H181" s="32"/>
      <c r="I181" s="32"/>
      <c r="J181" s="32"/>
      <c r="K181" s="32"/>
      <c r="L181" s="32"/>
      <c r="M181" s="32"/>
      <c r="N181" s="32"/>
      <c r="O181" s="32"/>
      <c r="P181" s="32"/>
      <c r="Q181" s="32"/>
      <c r="R181" s="32"/>
      <c r="S181" s="32"/>
      <c r="T181" s="32"/>
      <c r="U181" s="32"/>
      <c r="V181" s="32"/>
      <c r="W181" s="32"/>
      <c r="X181" s="32"/>
      <c r="Y181" s="45"/>
      <c r="Z181" s="45"/>
      <c r="AA181" s="45"/>
      <c r="AB181" s="45"/>
      <c r="AC181" s="45"/>
      <c r="AD181" s="45"/>
      <c r="AE181" s="45"/>
      <c r="AF181" s="40"/>
      <c r="AG181" s="40"/>
      <c r="AH181" s="40"/>
      <c r="AI181" s="40"/>
      <c r="AJ181" s="40"/>
      <c r="AK181" s="40"/>
      <c r="AL181" s="40"/>
      <c r="AM181" s="40"/>
      <c r="AN181" s="40"/>
      <c r="AO181" s="40"/>
      <c r="AP181" s="40"/>
      <c r="AQ181" s="40"/>
      <c r="AR181" s="40"/>
    </row>
    <row r="182" spans="1:44" ht="31.5" x14ac:dyDescent="0.25">
      <c r="A182" s="476" t="str">
        <f>УП!C211</f>
        <v>У</v>
      </c>
      <c r="B182" s="27" t="str">
        <f>УП!D211</f>
        <v>Учебная, технологическая (проектно-технологическая)</v>
      </c>
      <c r="C182" s="29"/>
      <c r="D182" s="30"/>
      <c r="E182" s="30"/>
      <c r="F182" s="30"/>
      <c r="G182" s="30"/>
      <c r="H182" s="30"/>
      <c r="I182" s="30"/>
      <c r="J182" s="30"/>
      <c r="K182" s="30"/>
      <c r="L182" s="30"/>
      <c r="M182" s="30"/>
      <c r="N182" s="64"/>
      <c r="O182" s="64"/>
      <c r="P182" s="64"/>
      <c r="Q182" s="64"/>
      <c r="R182" s="64"/>
      <c r="S182" s="64"/>
      <c r="T182" s="64"/>
      <c r="U182" s="64"/>
      <c r="V182" s="64"/>
      <c r="W182" s="64"/>
      <c r="X182" s="64"/>
      <c r="Y182" s="39"/>
      <c r="Z182" s="39"/>
      <c r="AA182" s="39"/>
      <c r="AB182" s="39"/>
      <c r="AC182" s="39"/>
      <c r="AD182" s="39"/>
      <c r="AE182" s="39"/>
      <c r="AF182" s="40"/>
      <c r="AG182" s="40"/>
      <c r="AH182" s="40"/>
      <c r="AI182" s="40"/>
      <c r="AJ182" s="40"/>
      <c r="AK182" s="40"/>
      <c r="AL182" s="40"/>
      <c r="AM182" s="40"/>
      <c r="AN182" s="40"/>
      <c r="AO182" s="40"/>
      <c r="AP182" s="40"/>
      <c r="AQ182" s="40"/>
      <c r="AR182" s="40"/>
    </row>
    <row r="183" spans="1:44" ht="31.5" x14ac:dyDescent="0.25">
      <c r="A183" s="476" t="str">
        <f>УП!C212</f>
        <v>П</v>
      </c>
      <c r="B183" s="27" t="str">
        <f>УП!D212</f>
        <v>Производственная, технологическая (проектно-технологическая)</v>
      </c>
      <c r="C183" s="29"/>
      <c r="D183" s="30"/>
      <c r="E183" s="30"/>
      <c r="F183" s="30"/>
      <c r="G183" s="30"/>
      <c r="H183" s="30"/>
      <c r="I183" s="30"/>
      <c r="J183" s="30"/>
      <c r="K183" s="30"/>
      <c r="L183" s="30"/>
      <c r="M183" s="30"/>
      <c r="N183" s="64"/>
      <c r="O183" s="64"/>
      <c r="P183" s="64"/>
      <c r="Q183" s="64"/>
      <c r="R183" s="64"/>
      <c r="S183" s="64"/>
      <c r="T183" s="64"/>
      <c r="U183" s="64"/>
      <c r="V183" s="64"/>
      <c r="W183" s="64"/>
      <c r="X183" s="64"/>
      <c r="Y183" s="39"/>
      <c r="Z183" s="39"/>
      <c r="AA183" s="39"/>
      <c r="AB183" s="39"/>
      <c r="AC183" s="39"/>
      <c r="AD183" s="39"/>
      <c r="AE183" s="39"/>
      <c r="AF183" s="40"/>
      <c r="AG183" s="40"/>
      <c r="AH183" s="40"/>
      <c r="AI183" s="40"/>
      <c r="AJ183" s="40"/>
      <c r="AK183" s="40"/>
      <c r="AL183" s="40"/>
      <c r="AM183" s="40"/>
      <c r="AN183" s="40"/>
      <c r="AO183" s="40"/>
      <c r="AP183" s="40"/>
      <c r="AQ183" s="40"/>
      <c r="AR183" s="40"/>
    </row>
    <row r="184" spans="1:44" x14ac:dyDescent="0.25">
      <c r="A184" s="476" t="str">
        <f>УП!C213</f>
        <v>ПП</v>
      </c>
      <c r="B184" s="27" t="str">
        <f>УП!D213</f>
        <v>Производственная, преддипломная</v>
      </c>
      <c r="C184" s="29"/>
      <c r="D184" s="30"/>
      <c r="E184" s="30"/>
      <c r="F184" s="30"/>
      <c r="G184" s="30"/>
      <c r="H184" s="30"/>
      <c r="I184" s="30"/>
      <c r="J184" s="30"/>
      <c r="K184" s="30"/>
      <c r="L184" s="30"/>
      <c r="M184" s="30"/>
      <c r="N184" s="64"/>
      <c r="O184" s="64"/>
      <c r="P184" s="64"/>
      <c r="Q184" s="64"/>
      <c r="R184" s="64"/>
      <c r="S184" s="64"/>
      <c r="T184" s="64"/>
      <c r="U184" s="64"/>
      <c r="V184" s="64"/>
      <c r="W184" s="64"/>
      <c r="X184" s="64"/>
      <c r="Y184" s="39"/>
      <c r="Z184" s="39"/>
      <c r="AA184" s="39"/>
      <c r="AB184" s="39"/>
      <c r="AC184" s="39"/>
      <c r="AD184" s="39"/>
      <c r="AE184" s="39"/>
      <c r="AF184" s="40"/>
      <c r="AG184" s="40"/>
      <c r="AH184" s="40"/>
      <c r="AI184" s="40"/>
      <c r="AJ184" s="40"/>
      <c r="AK184" s="40"/>
      <c r="AL184" s="40"/>
      <c r="AM184" s="40"/>
      <c r="AN184" s="40"/>
      <c r="AO184" s="40"/>
      <c r="AP184" s="40"/>
      <c r="AQ184" s="40"/>
      <c r="AR184" s="40"/>
    </row>
    <row r="185" spans="1:44" x14ac:dyDescent="0.25">
      <c r="A185" s="468"/>
      <c r="B185" s="6" t="str">
        <f>УП!D214</f>
        <v>Блок 3. ГИА</v>
      </c>
      <c r="C185" s="31"/>
      <c r="D185" s="32"/>
      <c r="E185" s="32"/>
      <c r="F185" s="32"/>
      <c r="G185" s="32"/>
      <c r="H185" s="32"/>
      <c r="I185" s="32"/>
      <c r="J185" s="32"/>
      <c r="K185" s="32"/>
      <c r="L185" s="32"/>
      <c r="M185" s="32"/>
      <c r="N185" s="32"/>
      <c r="O185" s="32"/>
      <c r="P185" s="32"/>
      <c r="Q185" s="32"/>
      <c r="R185" s="32"/>
      <c r="S185" s="32"/>
      <c r="T185" s="32"/>
      <c r="U185" s="32"/>
      <c r="V185" s="32"/>
      <c r="W185" s="32"/>
      <c r="X185" s="32"/>
      <c r="Y185" s="45"/>
      <c r="Z185" s="45"/>
      <c r="AA185" s="45"/>
      <c r="AB185" s="45"/>
      <c r="AC185" s="45"/>
      <c r="AD185" s="45"/>
      <c r="AE185" s="45"/>
      <c r="AF185" s="40"/>
      <c r="AG185" s="40"/>
      <c r="AH185" s="40"/>
      <c r="AI185" s="40"/>
      <c r="AJ185" s="40"/>
      <c r="AK185" s="40"/>
      <c r="AL185" s="40"/>
      <c r="AM185" s="40"/>
      <c r="AN185" s="40"/>
      <c r="AO185" s="40"/>
      <c r="AP185" s="40"/>
      <c r="AQ185" s="40"/>
      <c r="AR185" s="40"/>
    </row>
    <row r="186" spans="1:44" x14ac:dyDescent="0.25">
      <c r="A186" s="466"/>
      <c r="B186" s="27" t="str">
        <f>УП!D215</f>
        <v>Подготовка к защите и защита ВКР</v>
      </c>
      <c r="C186" s="65" t="s">
        <v>180</v>
      </c>
      <c r="D186" s="65" t="s">
        <v>180</v>
      </c>
      <c r="E186" s="65" t="s">
        <v>180</v>
      </c>
      <c r="F186" s="65" t="s">
        <v>180</v>
      </c>
      <c r="G186" s="65" t="s">
        <v>180</v>
      </c>
      <c r="H186" s="65" t="s">
        <v>180</v>
      </c>
      <c r="I186" s="65" t="s">
        <v>180</v>
      </c>
      <c r="J186" s="65" t="s">
        <v>180</v>
      </c>
      <c r="K186" s="65" t="s">
        <v>180</v>
      </c>
      <c r="L186" s="65" t="s">
        <v>180</v>
      </c>
      <c r="M186" s="65" t="s">
        <v>180</v>
      </c>
      <c r="N186" s="65" t="s">
        <v>180</v>
      </c>
      <c r="O186" s="65" t="s">
        <v>180</v>
      </c>
      <c r="P186" s="65" t="s">
        <v>180</v>
      </c>
      <c r="Q186" s="65" t="s">
        <v>180</v>
      </c>
      <c r="R186" s="65" t="s">
        <v>180</v>
      </c>
      <c r="S186" s="65" t="s">
        <v>180</v>
      </c>
      <c r="T186" s="65" t="s">
        <v>180</v>
      </c>
      <c r="U186" s="65" t="s">
        <v>180</v>
      </c>
      <c r="V186" s="65" t="s">
        <v>180</v>
      </c>
      <c r="W186" s="65" t="s">
        <v>180</v>
      </c>
      <c r="X186" s="65" t="s">
        <v>180</v>
      </c>
      <c r="Y186" s="65" t="s">
        <v>180</v>
      </c>
      <c r="Z186" s="65" t="s">
        <v>180</v>
      </c>
      <c r="AA186" s="65" t="s">
        <v>180</v>
      </c>
      <c r="AB186" s="65" t="s">
        <v>180</v>
      </c>
      <c r="AC186" s="65" t="s">
        <v>180</v>
      </c>
      <c r="AD186" s="65" t="s">
        <v>180</v>
      </c>
      <c r="AE186" s="65" t="s">
        <v>180</v>
      </c>
      <c r="AF186" s="40"/>
      <c r="AG186" s="40"/>
      <c r="AH186" s="40"/>
      <c r="AI186" s="40"/>
      <c r="AJ186" s="40"/>
      <c r="AK186" s="40"/>
      <c r="AL186" s="40"/>
      <c r="AM186" s="40"/>
      <c r="AN186" s="40"/>
      <c r="AO186" s="40"/>
      <c r="AP186" s="40"/>
      <c r="AQ186" s="40"/>
      <c r="AR186" s="40"/>
    </row>
    <row r="187" spans="1:44" x14ac:dyDescent="0.25">
      <c r="A187" s="469"/>
      <c r="B187" s="33"/>
      <c r="C187" s="34"/>
      <c r="D187" s="34"/>
      <c r="E187" s="34"/>
      <c r="F187" s="34"/>
      <c r="G187" s="34"/>
      <c r="H187" s="34"/>
      <c r="I187" s="34"/>
      <c r="J187" s="34"/>
      <c r="K187" s="34"/>
      <c r="L187" s="34"/>
      <c r="M187" s="34"/>
      <c r="N187" s="34"/>
      <c r="O187" s="34"/>
      <c r="P187" s="34"/>
      <c r="Q187" s="34"/>
      <c r="R187" s="34"/>
      <c r="S187" s="34"/>
      <c r="T187" s="34"/>
      <c r="U187" s="34"/>
      <c r="V187" s="34"/>
      <c r="W187" s="34"/>
      <c r="X187" s="34"/>
      <c r="Y187" s="46"/>
      <c r="Z187" s="46"/>
      <c r="AA187" s="46"/>
      <c r="AB187" s="46"/>
      <c r="AC187" s="46"/>
      <c r="AD187" s="46"/>
      <c r="AE187" s="46"/>
      <c r="AF187" s="40"/>
      <c r="AG187" s="40"/>
      <c r="AH187" s="40"/>
      <c r="AI187" s="40"/>
      <c r="AJ187" s="40"/>
      <c r="AK187" s="40"/>
      <c r="AL187" s="40"/>
      <c r="AM187" s="40"/>
      <c r="AN187" s="40"/>
      <c r="AO187" s="40"/>
      <c r="AP187" s="40"/>
      <c r="AQ187" s="40"/>
      <c r="AR187" s="40"/>
    </row>
    <row r="188" spans="1:44" x14ac:dyDescent="0.25">
      <c r="A188" s="470"/>
      <c r="B188" s="68" t="str">
        <f>УП!D247</f>
        <v>Блок 4. Факультативы</v>
      </c>
      <c r="C188" s="67"/>
      <c r="D188" s="67"/>
      <c r="E188" s="67"/>
      <c r="F188" s="67"/>
      <c r="G188" s="69"/>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row>
    <row r="189" spans="1:44" ht="30.75" customHeight="1" x14ac:dyDescent="0.25">
      <c r="A189" s="471"/>
      <c r="B189" s="17" t="str">
        <f>УП!D248</f>
        <v>Психология социальной адаптации и психосаморегуляция</v>
      </c>
      <c r="C189" s="47"/>
      <c r="D189" s="47"/>
      <c r="E189" s="47"/>
      <c r="F189" s="47"/>
      <c r="G189" s="66"/>
      <c r="H189" s="47"/>
      <c r="I189" s="47"/>
      <c r="J189" s="47"/>
      <c r="K189" s="47"/>
      <c r="L189" s="455" t="s">
        <v>180</v>
      </c>
      <c r="M189" s="47"/>
      <c r="N189" s="442"/>
      <c r="O189" s="442"/>
      <c r="P189" s="442"/>
      <c r="Q189" s="442"/>
      <c r="R189" s="442"/>
      <c r="S189" s="442"/>
      <c r="T189" s="442"/>
      <c r="U189" s="442"/>
      <c r="V189" s="442"/>
      <c r="W189" s="442"/>
      <c r="X189" s="442"/>
      <c r="Y189" s="442"/>
      <c r="Z189" s="442"/>
      <c r="AA189" s="442"/>
      <c r="AB189" s="442"/>
      <c r="AC189" s="442"/>
      <c r="AD189" s="442"/>
      <c r="AE189" s="442"/>
    </row>
    <row r="190" spans="1:44" ht="30.75" customHeight="1" x14ac:dyDescent="0.25">
      <c r="A190" s="455"/>
      <c r="B190" s="48" t="e">
        <f>УП!#REF!</f>
        <v>#REF!</v>
      </c>
      <c r="C190" s="47"/>
      <c r="D190" s="47"/>
      <c r="E190" s="47"/>
      <c r="F190" s="47"/>
      <c r="G190" s="66"/>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row>
    <row r="191" spans="1:44" ht="30.75" customHeight="1" x14ac:dyDescent="0.25">
      <c r="A191" s="455"/>
      <c r="B191" s="48" t="e">
        <f>УП!#REF!</f>
        <v>#REF!</v>
      </c>
      <c r="C191" s="47"/>
      <c r="D191" s="47"/>
      <c r="E191" s="47"/>
      <c r="F191" s="47"/>
      <c r="G191" s="66"/>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row>
    <row r="192" spans="1:44" ht="30.75" customHeight="1" x14ac:dyDescent="0.25">
      <c r="A192" s="455"/>
      <c r="B192" s="48" t="e">
        <f>УП!#REF!</f>
        <v>#REF!</v>
      </c>
      <c r="C192" s="47"/>
      <c r="D192" s="47"/>
      <c r="E192" s="47"/>
      <c r="F192" s="47"/>
      <c r="G192" s="66"/>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row>
  </sheetData>
  <mergeCells count="6">
    <mergeCell ref="S2:AE2"/>
    <mergeCell ref="B2:B3"/>
    <mergeCell ref="A2:A3"/>
    <mergeCell ref="C2:H2"/>
    <mergeCell ref="I2:M2"/>
    <mergeCell ref="N2:R2"/>
  </mergeCells>
  <phoneticPr fontId="0" type="noConversion"/>
  <pageMargins left="0.11811023622047245" right="0.11811023622047245" top="0.74803149606299213" bottom="0.74803149606299213" header="0.31496062992125984" footer="0.31496062992125984"/>
  <pageSetup paperSize="9" scale="46" fitToHeight="0" orientation="landscape" r:id="rId1"/>
  <rowBreaks count="1" manualBreakCount="1">
    <brk id="151" max="16383" man="1"/>
  </rowBreaks>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3</vt:i4>
      </vt:variant>
    </vt:vector>
  </HeadingPairs>
  <TitlesOfParts>
    <vt:vector size="5" baseType="lpstr">
      <vt:lpstr>УП</vt:lpstr>
      <vt:lpstr>МАТРИЦА</vt:lpstr>
      <vt:lpstr>УП!Заголовки_для_печати</vt:lpstr>
      <vt:lpstr>УП!Извлечь</vt:lpstr>
      <vt:lpstr>УП!Область_печати</vt:lpstr>
    </vt:vector>
  </TitlesOfParts>
  <Company>RePack by SPecialiST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Сергей Смирнов</cp:lastModifiedBy>
  <cp:lastPrinted>2019-03-28T12:39:59Z</cp:lastPrinted>
  <dcterms:created xsi:type="dcterms:W3CDTF">2017-03-23T09:17:58Z</dcterms:created>
  <dcterms:modified xsi:type="dcterms:W3CDTF">2020-11-14T10:02:20Z</dcterms:modified>
</cp:coreProperties>
</file>