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6"/>
  </bookViews>
  <sheets>
    <sheet name="LogNormal" sheetId="1" r:id="rId1"/>
    <sheet name="Sheet5" sheetId="5" r:id="rId2"/>
    <sheet name="Pareto" sheetId="2" r:id="rId3"/>
    <sheet name="Cobb Doglus" sheetId="3" r:id="rId4"/>
    <sheet name="CES" sheetId="9" r:id="rId5"/>
    <sheet name="Elasticity" sheetId="10" r:id="rId6"/>
    <sheet name="OLS" sheetId="11" r:id="rId7"/>
  </sheets>
  <definedNames>
    <definedName name="solver_adj" localSheetId="5" hidden="1">Elasticity!$K$22:$L$22</definedName>
    <definedName name="solver_cvg" localSheetId="5" hidden="1">0.0001</definedName>
    <definedName name="solver_drv" localSheetId="5" hidden="1">1</definedName>
    <definedName name="solver_eng" localSheetId="3" hidden="1">1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Elasticity!$M$23</definedName>
    <definedName name="solver_lhs2" localSheetId="5" hidden="1">Elasticity!$M$24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3" hidden="1">1</definedName>
    <definedName name="solver_neg" localSheetId="5" hidden="1">2</definedName>
    <definedName name="solver_nod" localSheetId="5" hidden="1">2147483647</definedName>
    <definedName name="solver_num" localSheetId="3" hidden="1">0</definedName>
    <definedName name="solver_num" localSheetId="5" hidden="1">2</definedName>
    <definedName name="solver_nwt" localSheetId="5" hidden="1">1</definedName>
    <definedName name="solver_opt" localSheetId="3" hidden="1">'Cobb Doglus'!$O$20</definedName>
    <definedName name="solver_opt" localSheetId="5" hidden="1">Elasticity!$M$23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2</definedName>
    <definedName name="solver_rhs1" localSheetId="5" hidden="1">Elasticity!$N$23</definedName>
    <definedName name="solver_rhs2" localSheetId="5" hidden="1">Elasticity!$N$24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3" hidden="1">1</definedName>
    <definedName name="solver_typ" localSheetId="5" hidden="1">1</definedName>
    <definedName name="solver_val" localSheetId="3" hidden="1">0</definedName>
    <definedName name="solver_val" localSheetId="5" hidden="1">0</definedName>
    <definedName name="solver_ver" localSheetId="3" hidden="1">3</definedName>
    <definedName name="solver_ver" localSheetId="5" hidden="1">3</definedName>
  </definedNames>
  <calcPr calcId="145621"/>
</workbook>
</file>

<file path=xl/calcChain.xml><?xml version="1.0" encoding="utf-8"?>
<calcChain xmlns="http://schemas.openxmlformats.org/spreadsheetml/2006/main">
  <c r="O29" i="9" l="1"/>
  <c r="N48" i="1" l="1"/>
  <c r="N47" i="1"/>
  <c r="F25" i="1"/>
  <c r="F24" i="1"/>
  <c r="C24" i="1"/>
  <c r="H31" i="1"/>
  <c r="C28" i="11" l="1"/>
  <c r="C27" i="11"/>
  <c r="C26" i="11"/>
  <c r="C24" i="11"/>
  <c r="C23" i="11"/>
  <c r="C22" i="11"/>
  <c r="C21" i="11"/>
  <c r="C19" i="11"/>
  <c r="D16" i="11" l="1"/>
  <c r="E16" i="11"/>
  <c r="F16" i="11"/>
  <c r="C16" i="11"/>
  <c r="D15" i="11"/>
  <c r="E15" i="11"/>
  <c r="F15" i="11"/>
  <c r="C15" i="11"/>
  <c r="L28" i="10"/>
  <c r="L27" i="10"/>
  <c r="L26" i="10"/>
  <c r="M24" i="10"/>
  <c r="M23" i="10"/>
  <c r="D37" i="10"/>
  <c r="E37" i="10"/>
  <c r="F37" i="10"/>
  <c r="G37" i="10"/>
  <c r="H37" i="10"/>
  <c r="C37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18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18" i="10"/>
  <c r="H6" i="10"/>
  <c r="H7" i="10"/>
  <c r="H8" i="10"/>
  <c r="H9" i="10"/>
  <c r="H10" i="10"/>
  <c r="H11" i="10"/>
  <c r="H5" i="10"/>
  <c r="G6" i="10"/>
  <c r="G7" i="10"/>
  <c r="G8" i="10"/>
  <c r="G9" i="10"/>
  <c r="G10" i="10"/>
  <c r="G11" i="10"/>
  <c r="G5" i="10"/>
  <c r="F6" i="10"/>
  <c r="F7" i="10"/>
  <c r="F8" i="10"/>
  <c r="F9" i="10"/>
  <c r="F10" i="10"/>
  <c r="F11" i="10"/>
  <c r="F5" i="10"/>
  <c r="E6" i="10"/>
  <c r="E7" i="10"/>
  <c r="E8" i="10"/>
  <c r="E9" i="10"/>
  <c r="E10" i="10"/>
  <c r="E11" i="10"/>
  <c r="E5" i="10"/>
  <c r="L33" i="9" l="1"/>
  <c r="O28" i="9"/>
  <c r="L30" i="9"/>
  <c r="L29" i="9"/>
  <c r="L28" i="9"/>
  <c r="S23" i="9" a="1"/>
  <c r="S23" i="9" s="1"/>
  <c r="O25" i="9"/>
  <c r="N25" i="9"/>
  <c r="N24" i="9"/>
  <c r="P24" i="9"/>
  <c r="P23" i="9"/>
  <c r="O23" i="9"/>
  <c r="P25" i="9"/>
  <c r="O24" i="9"/>
  <c r="N23" i="9"/>
  <c r="K25" i="9"/>
  <c r="K24" i="9"/>
  <c r="K23" i="9"/>
  <c r="H27" i="9"/>
  <c r="H26" i="9"/>
  <c r="H25" i="9"/>
  <c r="H24" i="9"/>
  <c r="H23" i="9"/>
  <c r="H22" i="9"/>
  <c r="H20" i="9"/>
  <c r="I20" i="9"/>
  <c r="J20" i="9"/>
  <c r="K20" i="9"/>
  <c r="L20" i="9"/>
  <c r="M20" i="9"/>
  <c r="N20" i="9"/>
  <c r="O20" i="9"/>
  <c r="P20" i="9"/>
  <c r="Q20" i="9"/>
  <c r="R20" i="9"/>
  <c r="S20" i="9"/>
  <c r="G20" i="9"/>
  <c r="H19" i="9"/>
  <c r="I19" i="9"/>
  <c r="J19" i="9"/>
  <c r="K19" i="9"/>
  <c r="L19" i="9"/>
  <c r="M19" i="9"/>
  <c r="N19" i="9"/>
  <c r="O19" i="9"/>
  <c r="P19" i="9"/>
  <c r="Q19" i="9"/>
  <c r="R19" i="9"/>
  <c r="S19" i="9"/>
  <c r="G19" i="9"/>
  <c r="S25" i="9" l="1"/>
  <c r="S24" i="9"/>
  <c r="S5" i="9" l="1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4" i="9"/>
  <c r="R17" i="9"/>
  <c r="R5" i="9"/>
  <c r="R6" i="9"/>
  <c r="R7" i="9"/>
  <c r="R8" i="9"/>
  <c r="R9" i="9"/>
  <c r="R10" i="9"/>
  <c r="R11" i="9"/>
  <c r="R12" i="9"/>
  <c r="R13" i="9"/>
  <c r="R14" i="9"/>
  <c r="R15" i="9"/>
  <c r="R16" i="9"/>
  <c r="R18" i="9"/>
  <c r="R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4" i="9"/>
  <c r="L18" i="9"/>
  <c r="L5" i="9"/>
  <c r="M5" i="9"/>
  <c r="L6" i="9"/>
  <c r="M6" i="9"/>
  <c r="L7" i="9"/>
  <c r="M7" i="9"/>
  <c r="L8" i="9"/>
  <c r="M8" i="9"/>
  <c r="L9" i="9"/>
  <c r="M9" i="9"/>
  <c r="L10" i="9"/>
  <c r="M10" i="9"/>
  <c r="L11" i="9"/>
  <c r="M11" i="9"/>
  <c r="L12" i="9"/>
  <c r="M12" i="9"/>
  <c r="L13" i="9"/>
  <c r="M13" i="9"/>
  <c r="L14" i="9"/>
  <c r="M14" i="9"/>
  <c r="L15" i="9"/>
  <c r="M15" i="9"/>
  <c r="L16" i="9"/>
  <c r="M16" i="9"/>
  <c r="L17" i="9"/>
  <c r="M17" i="9"/>
  <c r="M18" i="9"/>
  <c r="M4" i="9"/>
  <c r="L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4" i="9"/>
  <c r="H4" i="9"/>
  <c r="I4" i="9"/>
  <c r="H5" i="9"/>
  <c r="I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4" i="9"/>
  <c r="K35" i="3"/>
  <c r="O34" i="3" s="1"/>
  <c r="O35" i="3" s="1"/>
  <c r="Q33" i="3" s="1"/>
  <c r="Q34" i="3" s="1"/>
  <c r="K34" i="3"/>
  <c r="K33" i="3"/>
  <c r="Q35" i="3"/>
  <c r="K31" i="3"/>
  <c r="L31" i="3"/>
  <c r="M31" i="3"/>
  <c r="N31" i="3"/>
  <c r="O31" i="3"/>
  <c r="J31" i="3"/>
  <c r="O27" i="3"/>
  <c r="O28" i="3"/>
  <c r="O29" i="3"/>
  <c r="O30" i="3"/>
  <c r="O26" i="3"/>
  <c r="N27" i="3"/>
  <c r="N28" i="3"/>
  <c r="N29" i="3"/>
  <c r="N30" i="3"/>
  <c r="N26" i="3"/>
  <c r="M27" i="3"/>
  <c r="M28" i="3"/>
  <c r="M29" i="3"/>
  <c r="M30" i="3"/>
  <c r="M26" i="3"/>
  <c r="D26" i="3"/>
  <c r="D27" i="3" s="1"/>
  <c r="D28" i="3"/>
  <c r="D25" i="3"/>
  <c r="D24" i="3"/>
  <c r="D22" i="3"/>
  <c r="D21" i="3"/>
  <c r="D20" i="3"/>
  <c r="M18" i="3"/>
  <c r="M13" i="3"/>
  <c r="M12" i="3"/>
  <c r="M7" i="3"/>
  <c r="M6" i="3"/>
  <c r="M4" i="3"/>
  <c r="M3" i="3"/>
  <c r="M5" i="3"/>
  <c r="R14" i="3"/>
  <c r="R15" i="3"/>
  <c r="R16" i="3"/>
  <c r="R17" i="3"/>
  <c r="R18" i="3"/>
  <c r="R19" i="3"/>
  <c r="R20" i="3"/>
  <c r="R21" i="3"/>
  <c r="R22" i="3"/>
  <c r="R13" i="3"/>
  <c r="Q14" i="3"/>
  <c r="Q15" i="3"/>
  <c r="Q16" i="3"/>
  <c r="Q17" i="3"/>
  <c r="Q18" i="3"/>
  <c r="Q19" i="3"/>
  <c r="Q20" i="3"/>
  <c r="Q21" i="3"/>
  <c r="Q22" i="3"/>
  <c r="Q13" i="3"/>
  <c r="E4" i="3" l="1"/>
  <c r="E5" i="3"/>
  <c r="E6" i="3"/>
  <c r="E7" i="3"/>
  <c r="E8" i="3"/>
  <c r="E9" i="3"/>
  <c r="E10" i="3"/>
  <c r="E11" i="3"/>
  <c r="E12" i="3"/>
  <c r="E13" i="3"/>
  <c r="N10" i="3" l="1"/>
  <c r="N9" i="3"/>
  <c r="M10" i="3"/>
  <c r="M9" i="3"/>
  <c r="Q9" i="3" s="1" a="1"/>
  <c r="C15" i="3"/>
  <c r="D15" i="3"/>
  <c r="E15" i="3"/>
  <c r="F15" i="3"/>
  <c r="G15" i="3"/>
  <c r="H15" i="3"/>
  <c r="B15" i="3"/>
  <c r="C14" i="3"/>
  <c r="D14" i="3"/>
  <c r="E14" i="3"/>
  <c r="F14" i="3"/>
  <c r="G14" i="3"/>
  <c r="H14" i="3"/>
  <c r="B14" i="3"/>
  <c r="R10" i="3" l="1"/>
  <c r="Q10" i="3"/>
  <c r="R9" i="3"/>
  <c r="Q9" i="3"/>
  <c r="J5" i="3"/>
  <c r="J6" i="3"/>
  <c r="J7" i="3"/>
  <c r="J8" i="3"/>
  <c r="J9" i="3"/>
  <c r="J10" i="3"/>
  <c r="J11" i="3"/>
  <c r="J12" i="3"/>
  <c r="J13" i="3"/>
  <c r="J4" i="3"/>
  <c r="I5" i="3"/>
  <c r="I6" i="3"/>
  <c r="I7" i="3"/>
  <c r="I8" i="3"/>
  <c r="I9" i="3"/>
  <c r="I10" i="3"/>
  <c r="I11" i="3"/>
  <c r="I12" i="3"/>
  <c r="I13" i="3"/>
  <c r="I4" i="3"/>
  <c r="H5" i="3"/>
  <c r="H6" i="3"/>
  <c r="H7" i="3"/>
  <c r="H8" i="3"/>
  <c r="H9" i="3"/>
  <c r="H10" i="3"/>
  <c r="H11" i="3"/>
  <c r="H12" i="3"/>
  <c r="H13" i="3"/>
  <c r="H4" i="3"/>
  <c r="G5" i="3"/>
  <c r="G6" i="3"/>
  <c r="G7" i="3"/>
  <c r="G8" i="3"/>
  <c r="G9" i="3"/>
  <c r="G10" i="3"/>
  <c r="G11" i="3"/>
  <c r="G12" i="3"/>
  <c r="G13" i="3"/>
  <c r="G4" i="3"/>
  <c r="F5" i="3"/>
  <c r="F6" i="3"/>
  <c r="F7" i="3"/>
  <c r="F8" i="3"/>
  <c r="F9" i="3"/>
  <c r="F10" i="3"/>
  <c r="F11" i="3"/>
  <c r="F12" i="3"/>
  <c r="F13" i="3"/>
  <c r="F4" i="3"/>
  <c r="J14" i="3" l="1"/>
  <c r="J15" i="3"/>
  <c r="I15" i="3"/>
  <c r="I14" i="3"/>
  <c r="M15" i="3" s="1" a="1"/>
  <c r="M15" i="2"/>
  <c r="M15" i="3" l="1"/>
  <c r="M16" i="3"/>
  <c r="L11" i="2"/>
  <c r="L10" i="2"/>
  <c r="L9" i="2"/>
  <c r="M19" i="3" l="1"/>
  <c r="F19" i="2"/>
  <c r="L5" i="2"/>
  <c r="D18" i="2"/>
  <c r="F18" i="2"/>
  <c r="H8" i="2"/>
  <c r="H12" i="2"/>
  <c r="H16" i="2"/>
  <c r="G5" i="2"/>
  <c r="H5" i="2" s="1"/>
  <c r="G6" i="2"/>
  <c r="I6" i="2" s="1"/>
  <c r="G7" i="2"/>
  <c r="I7" i="2" s="1"/>
  <c r="G8" i="2"/>
  <c r="I8" i="2" s="1"/>
  <c r="G9" i="2"/>
  <c r="H9" i="2" s="1"/>
  <c r="G10" i="2"/>
  <c r="I10" i="2" s="1"/>
  <c r="G11" i="2"/>
  <c r="I11" i="2" s="1"/>
  <c r="G12" i="2"/>
  <c r="I12" i="2" s="1"/>
  <c r="G13" i="2"/>
  <c r="H13" i="2" s="1"/>
  <c r="G14" i="2"/>
  <c r="I14" i="2" s="1"/>
  <c r="G15" i="2"/>
  <c r="I15" i="2" s="1"/>
  <c r="G16" i="2"/>
  <c r="I16" i="2" s="1"/>
  <c r="G17" i="2"/>
  <c r="H17" i="2" s="1"/>
  <c r="G4" i="2"/>
  <c r="G19" i="2" s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4" i="2"/>
  <c r="N46" i="1"/>
  <c r="L32" i="1"/>
  <c r="L31" i="1"/>
  <c r="H44" i="1"/>
  <c r="H32" i="1"/>
  <c r="H33" i="1"/>
  <c r="H34" i="1"/>
  <c r="H35" i="1"/>
  <c r="H36" i="1"/>
  <c r="H37" i="1"/>
  <c r="H38" i="1"/>
  <c r="H39" i="1"/>
  <c r="H40" i="1"/>
  <c r="H41" i="1"/>
  <c r="H42" i="1"/>
  <c r="H43" i="1"/>
  <c r="H15" i="2" l="1"/>
  <c r="H11" i="2"/>
  <c r="H7" i="2"/>
  <c r="I17" i="2"/>
  <c r="I13" i="2"/>
  <c r="I9" i="2"/>
  <c r="I5" i="2"/>
  <c r="G18" i="2"/>
  <c r="I4" i="2"/>
  <c r="H4" i="2"/>
  <c r="H14" i="2"/>
  <c r="H10" i="2"/>
  <c r="H6" i="2"/>
  <c r="I39" i="1"/>
  <c r="J39" i="1" s="1"/>
  <c r="K45" i="1"/>
  <c r="G32" i="1"/>
  <c r="G33" i="1"/>
  <c r="I31" i="1"/>
  <c r="K39" i="1"/>
  <c r="K40" i="1"/>
  <c r="H19" i="2" l="1"/>
  <c r="H18" i="2"/>
  <c r="I18" i="2"/>
  <c r="I19" i="2"/>
  <c r="L39" i="1"/>
  <c r="L8" i="2" l="1"/>
  <c r="K32" i="1"/>
  <c r="K33" i="1"/>
  <c r="K34" i="1"/>
  <c r="K35" i="1"/>
  <c r="K36" i="1"/>
  <c r="K37" i="1"/>
  <c r="K38" i="1"/>
  <c r="K31" i="1"/>
  <c r="E32" i="1" l="1"/>
  <c r="E33" i="1"/>
  <c r="E34" i="1"/>
  <c r="E35" i="1"/>
  <c r="E36" i="1"/>
  <c r="E37" i="1"/>
  <c r="E38" i="1"/>
  <c r="E39" i="1"/>
  <c r="E40" i="1"/>
  <c r="E41" i="1"/>
  <c r="E42" i="1"/>
  <c r="E43" i="1"/>
  <c r="E44" i="1"/>
  <c r="D18" i="1"/>
  <c r="F8" i="1"/>
  <c r="F12" i="1"/>
  <c r="F16" i="1"/>
  <c r="E5" i="1"/>
  <c r="E9" i="1"/>
  <c r="E13" i="1"/>
  <c r="E17" i="1"/>
  <c r="E4" i="1"/>
  <c r="C17" i="1"/>
  <c r="F17" i="1" s="1"/>
  <c r="C16" i="1"/>
  <c r="E16" i="1" s="1"/>
  <c r="C15" i="1"/>
  <c r="E15" i="1" s="1"/>
  <c r="C14" i="1"/>
  <c r="E14" i="1" s="1"/>
  <c r="C13" i="1"/>
  <c r="F13" i="1" s="1"/>
  <c r="C12" i="1"/>
  <c r="E12" i="1" s="1"/>
  <c r="C11" i="1"/>
  <c r="E11" i="1" s="1"/>
  <c r="C10" i="1"/>
  <c r="F10" i="1" s="1"/>
  <c r="C9" i="1"/>
  <c r="F9" i="1" s="1"/>
  <c r="C8" i="1"/>
  <c r="E8" i="1" s="1"/>
  <c r="C7" i="1"/>
  <c r="E7" i="1" s="1"/>
  <c r="C6" i="1"/>
  <c r="E6" i="1" s="1"/>
  <c r="C5" i="1"/>
  <c r="F5" i="1" s="1"/>
  <c r="C4" i="1"/>
  <c r="F4" i="1" s="1"/>
  <c r="E10" i="1" l="1"/>
  <c r="E18" i="1" s="1"/>
  <c r="D21" i="1" s="1"/>
  <c r="F15" i="1"/>
  <c r="F7" i="1"/>
  <c r="F14" i="1"/>
  <c r="F6" i="1"/>
  <c r="F18" i="1" s="1"/>
  <c r="D22" i="1" s="1"/>
  <c r="J31" i="1"/>
  <c r="F11" i="1"/>
  <c r="D23" i="1" l="1"/>
  <c r="C25" i="1"/>
  <c r="D25" i="1" s="1"/>
  <c r="F34" i="1" l="1"/>
  <c r="G34" i="1" s="1"/>
  <c r="F42" i="1"/>
  <c r="G42" i="1" s="1"/>
  <c r="I41" i="1" s="1"/>
  <c r="F38" i="1"/>
  <c r="G38" i="1" s="1"/>
  <c r="F44" i="1"/>
  <c r="G44" i="1" s="1"/>
  <c r="F40" i="1"/>
  <c r="G40" i="1" s="1"/>
  <c r="F43" i="1"/>
  <c r="G43" i="1" s="1"/>
  <c r="F41" i="1"/>
  <c r="G41" i="1" s="1"/>
  <c r="I40" i="1" s="1"/>
  <c r="F36" i="1"/>
  <c r="G36" i="1" s="1"/>
  <c r="F39" i="1"/>
  <c r="G39" i="1" s="1"/>
  <c r="I38" i="1" s="1"/>
  <c r="J38" i="1" s="1"/>
  <c r="L38" i="1" s="1"/>
  <c r="F37" i="1"/>
  <c r="G37" i="1" s="1"/>
  <c r="I36" i="1" s="1"/>
  <c r="J36" i="1" s="1"/>
  <c r="L36" i="1" s="1"/>
  <c r="F32" i="1"/>
  <c r="F35" i="1"/>
  <c r="G35" i="1" s="1"/>
  <c r="I34" i="1" s="1"/>
  <c r="J34" i="1" s="1"/>
  <c r="L34" i="1" s="1"/>
  <c r="F33" i="1"/>
  <c r="I32" i="1" s="1"/>
  <c r="I43" i="1" l="1"/>
  <c r="I44" i="1"/>
  <c r="J40" i="1" s="1"/>
  <c r="I35" i="1"/>
  <c r="J35" i="1" s="1"/>
  <c r="L35" i="1" s="1"/>
  <c r="I37" i="1"/>
  <c r="J37" i="1" s="1"/>
  <c r="L37" i="1" s="1"/>
  <c r="I42" i="1"/>
  <c r="J32" i="1"/>
  <c r="I33" i="1"/>
  <c r="J33" i="1" s="1"/>
  <c r="L40" i="1" l="1"/>
  <c r="L33" i="1"/>
  <c r="I45" i="1"/>
  <c r="L41" i="1" l="1"/>
  <c r="J45" i="1"/>
</calcChain>
</file>

<file path=xl/sharedStrings.xml><?xml version="1.0" encoding="utf-8"?>
<sst xmlns="http://schemas.openxmlformats.org/spreadsheetml/2006/main" count="289" uniqueCount="204">
  <si>
    <t>Problem-01 LogNormal Distribution</t>
  </si>
  <si>
    <t>Income (tk)</t>
  </si>
  <si>
    <t>Percentage (fi)</t>
  </si>
  <si>
    <t>below-299</t>
  </si>
  <si>
    <t>300-399</t>
  </si>
  <si>
    <t>400-499</t>
  </si>
  <si>
    <t>500-749</t>
  </si>
  <si>
    <t>750-999</t>
  </si>
  <si>
    <t>1000-1249</t>
  </si>
  <si>
    <t>1250-1499</t>
  </si>
  <si>
    <t>1500-1999</t>
  </si>
  <si>
    <t>2000-2499</t>
  </si>
  <si>
    <t>2500-2999</t>
  </si>
  <si>
    <t>3000-3999</t>
  </si>
  <si>
    <t>4000-4999</t>
  </si>
  <si>
    <t>5000-5999</t>
  </si>
  <si>
    <t>6000+</t>
  </si>
  <si>
    <t>Mid Value Xi</t>
  </si>
  <si>
    <t>fiXi</t>
  </si>
  <si>
    <t>fiXi^2</t>
  </si>
  <si>
    <t>Total</t>
  </si>
  <si>
    <t>Mean</t>
  </si>
  <si>
    <t>Variance</t>
  </si>
  <si>
    <t>Estimated Mean</t>
  </si>
  <si>
    <t>Estimated Variance</t>
  </si>
  <si>
    <t>mu.h</t>
  </si>
  <si>
    <t>sigma2.h</t>
  </si>
  <si>
    <t>Goodness of fit</t>
  </si>
  <si>
    <t>Observed Freq Oi</t>
  </si>
  <si>
    <t>Lower Limit Xi</t>
  </si>
  <si>
    <t>z=(y-mu.h)/sigma.h</t>
  </si>
  <si>
    <t>Sdev</t>
  </si>
  <si>
    <t>S</t>
  </si>
  <si>
    <t>Ø(Zi)</t>
  </si>
  <si>
    <t>ΔØ(Zi)</t>
  </si>
  <si>
    <t>Oi^2/Ei</t>
  </si>
  <si>
    <t>Expected Freq Ei=N*ΔØ(Zi)</t>
  </si>
  <si>
    <t>Pooled Exp Freq</t>
  </si>
  <si>
    <t>Ei(Pooled)</t>
  </si>
  <si>
    <t>Pooled Obs Freq</t>
  </si>
  <si>
    <t>Oi(pooled)</t>
  </si>
  <si>
    <t>Less than 5</t>
  </si>
  <si>
    <t>Chi square (cal)</t>
  </si>
  <si>
    <t>P_value</t>
  </si>
  <si>
    <t>Chi square (tab)</t>
  </si>
  <si>
    <t>Income classs(tk)</t>
  </si>
  <si>
    <t>Household (y)</t>
  </si>
  <si>
    <t>Y*=ln(y)</t>
  </si>
  <si>
    <t>X*Y*</t>
  </si>
  <si>
    <t>X*^2</t>
  </si>
  <si>
    <t>a=</t>
  </si>
  <si>
    <t>Mid value(Xi)</t>
  </si>
  <si>
    <t>minimum income</t>
  </si>
  <si>
    <t>n=</t>
  </si>
  <si>
    <t>no. of observation</t>
  </si>
  <si>
    <t>Average</t>
  </si>
  <si>
    <t>Beta hat</t>
  </si>
  <si>
    <t>Alpha hat</t>
  </si>
  <si>
    <t>A hat</t>
  </si>
  <si>
    <t>Fitted curve</t>
  </si>
  <si>
    <t>Y hat</t>
  </si>
  <si>
    <t>Theta hat</t>
  </si>
  <si>
    <t>Gini 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</si>
  <si>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</si>
  <si>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</si>
  <si>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</si>
  <si>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</si>
  <si>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</si>
  <si>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</si>
  <si>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</si>
  <si>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</si>
  <si>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</si>
  <si>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</si>
  <si>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</si>
  <si>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</si>
  <si>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</si>
  <si>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</si>
  <si>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</si>
  <si>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</si>
  <si>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</si>
  <si>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</si>
  <si>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</si>
  <si>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</si>
  <si>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</si>
  <si>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</si>
  <si>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</si>
  <si>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</si>
  <si>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q</t>
  </si>
  <si>
    <t>SN</t>
  </si>
  <si>
    <t>l</t>
  </si>
  <si>
    <t>k</t>
  </si>
  <si>
    <t>li^2</t>
  </si>
  <si>
    <t>ki^2</t>
  </si>
  <si>
    <t>liki</t>
  </si>
  <si>
    <t>liyi</t>
  </si>
  <si>
    <t>kiyi</t>
  </si>
  <si>
    <r>
      <t>y=log(q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</si>
  <si>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Li^2</t>
    </r>
  </si>
  <si>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Ki^2</t>
    </r>
  </si>
  <si>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LiKi</t>
    </r>
  </si>
  <si>
    <r>
      <t>X</t>
    </r>
    <r>
      <rPr>
        <sz val="11"/>
        <color theme="1"/>
        <rFont val="Calibri"/>
        <family val="2"/>
      </rPr>
      <t>´X</t>
    </r>
  </si>
  <si>
    <r>
      <t>X</t>
    </r>
    <r>
      <rPr>
        <sz val="11"/>
        <color theme="1"/>
        <rFont val="Calibri"/>
        <family val="2"/>
      </rPr>
      <t>´X</t>
    </r>
    <r>
      <rPr>
        <vertAlign val="superscript"/>
        <sz val="11"/>
        <color theme="1"/>
        <rFont val="Calibri"/>
        <family val="2"/>
      </rPr>
      <t>-1</t>
    </r>
  </si>
  <si>
    <t>L.bar</t>
  </si>
  <si>
    <t>K.bar</t>
  </si>
  <si>
    <t>Y.bar</t>
  </si>
  <si>
    <t>Âo</t>
  </si>
  <si>
    <t>Â</t>
  </si>
  <si>
    <t>log(l)</t>
  </si>
  <si>
    <t>log(k)</t>
  </si>
  <si>
    <t>X*=ln(x-a)</t>
  </si>
  <si>
    <t>y=ln(Xi)</t>
  </si>
  <si>
    <t>Solve (i)</t>
  </si>
  <si>
    <t>Solve (ii)</t>
  </si>
  <si>
    <t>Multicolinearity</t>
  </si>
  <si>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LiYi</t>
    </r>
  </si>
  <si>
    <t>∑KiYi</t>
  </si>
  <si>
    <t>SP(LK)</t>
  </si>
  <si>
    <t>SS(L)</t>
  </si>
  <si>
    <t>SS(K)</t>
  </si>
  <si>
    <r>
      <t>r</t>
    </r>
    <r>
      <rPr>
        <vertAlign val="subscript"/>
        <sz val="14"/>
        <color theme="1"/>
        <rFont val="Calibri"/>
        <family val="2"/>
        <scheme val="minor"/>
      </rPr>
      <t>lk</t>
    </r>
  </si>
  <si>
    <t>A=</t>
  </si>
  <si>
    <r>
      <t>1 - r</t>
    </r>
    <r>
      <rPr>
        <vertAlign val="subscript"/>
        <sz val="11"/>
        <color theme="1"/>
        <rFont val="Calibri"/>
        <family val="2"/>
        <scheme val="minor"/>
      </rPr>
      <t>lk</t>
    </r>
    <r>
      <rPr>
        <vertAlign val="superscript"/>
        <sz val="11"/>
        <color theme="1"/>
        <rFont val="Calibri"/>
        <family val="2"/>
        <scheme val="minor"/>
      </rPr>
      <t>2</t>
    </r>
  </si>
  <si>
    <t>χ2(cal)</t>
  </si>
  <si>
    <t>χ2(tab)</t>
  </si>
  <si>
    <t>L</t>
  </si>
  <si>
    <t>K</t>
  </si>
  <si>
    <t>L^2</t>
  </si>
  <si>
    <t>K^2</t>
  </si>
  <si>
    <t>LK</t>
  </si>
  <si>
    <t>n=5</t>
  </si>
  <si>
    <t>n=10</t>
  </si>
  <si>
    <t>Y=log(qi)</t>
  </si>
  <si>
    <t>X1= log(L)</t>
  </si>
  <si>
    <t>X2=log(K)</t>
  </si>
  <si>
    <t>X3=(X1-X2)^2</t>
  </si>
  <si>
    <t>X1^2</t>
  </si>
  <si>
    <t>X2^2</t>
  </si>
  <si>
    <t>X3^2</t>
  </si>
  <si>
    <t>X1X2</t>
  </si>
  <si>
    <t>X1X3</t>
  </si>
  <si>
    <t>X2X3</t>
  </si>
  <si>
    <t>X1Y</t>
  </si>
  <si>
    <t>X2Y</t>
  </si>
  <si>
    <t>X3Y</t>
  </si>
  <si>
    <t>∑X1^2</t>
  </si>
  <si>
    <t>∑X2^2</t>
  </si>
  <si>
    <t>∑X3^2</t>
  </si>
  <si>
    <t>∑X1X2</t>
  </si>
  <si>
    <t>∑X1X3</t>
  </si>
  <si>
    <t>∑X2X3</t>
  </si>
  <si>
    <t>n</t>
  </si>
  <si>
    <t>α hat</t>
  </si>
  <si>
    <t>1-α hat</t>
  </si>
  <si>
    <t>P hat</t>
  </si>
  <si>
    <t>βo hat</t>
  </si>
  <si>
    <t>Sigma hat</t>
  </si>
  <si>
    <t>Point</t>
  </si>
  <si>
    <t>A</t>
  </si>
  <si>
    <t>B</t>
  </si>
  <si>
    <t>C</t>
  </si>
  <si>
    <t>D</t>
  </si>
  <si>
    <t>G</t>
  </si>
  <si>
    <t>H</t>
  </si>
  <si>
    <t>Income (tk/year)</t>
  </si>
  <si>
    <t>Quantity (kg/year)</t>
  </si>
  <si>
    <t>% Change in income</t>
  </si>
  <si>
    <t>% Change in Quantity</t>
  </si>
  <si>
    <t>Elasticity</t>
  </si>
  <si>
    <t>Status</t>
  </si>
  <si>
    <t>t</t>
  </si>
  <si>
    <t>dt</t>
  </si>
  <si>
    <t>pt</t>
  </si>
  <si>
    <t>log(dt)</t>
  </si>
  <si>
    <t>log(pt)</t>
  </si>
  <si>
    <t>log(dt)*log(pt)</t>
  </si>
  <si>
    <t>log(pt)^2</t>
  </si>
  <si>
    <r>
      <t>19 logc - 3.02</t>
    </r>
    <r>
      <rPr>
        <sz val="11"/>
        <color theme="1"/>
        <rFont val="Calibri"/>
        <family val="2"/>
      </rPr>
      <t>α = 23.384</t>
    </r>
  </si>
  <si>
    <r>
      <t>3.02 logc - 0.528</t>
    </r>
    <r>
      <rPr>
        <sz val="11"/>
        <color theme="1"/>
        <rFont val="Calibri"/>
        <family val="2"/>
      </rPr>
      <t>α = 3.664</t>
    </r>
  </si>
  <si>
    <t>log c</t>
  </si>
  <si>
    <t>α</t>
  </si>
  <si>
    <t>c</t>
  </si>
  <si>
    <t>Dt</t>
  </si>
  <si>
    <t>Pt</t>
  </si>
  <si>
    <t>Yt</t>
  </si>
  <si>
    <t>Pts</t>
  </si>
  <si>
    <t xml:space="preserve">Year </t>
  </si>
  <si>
    <r>
      <t>Y</t>
    </r>
    <r>
      <rPr>
        <vertAlign val="subscript"/>
        <sz val="14"/>
        <color theme="1"/>
        <rFont val="Calibri"/>
        <family val="2"/>
        <scheme val="minor"/>
      </rPr>
      <t>t</t>
    </r>
  </si>
  <si>
    <r>
      <t>X</t>
    </r>
    <r>
      <rPr>
        <vertAlign val="subscript"/>
        <sz val="14"/>
        <color theme="1"/>
        <rFont val="Calibri"/>
        <family val="2"/>
        <scheme val="minor"/>
      </rPr>
      <t>1t</t>
    </r>
  </si>
  <si>
    <r>
      <t>X</t>
    </r>
    <r>
      <rPr>
        <vertAlign val="subscript"/>
        <sz val="14"/>
        <color theme="1"/>
        <rFont val="Calibri"/>
        <family val="2"/>
        <scheme val="minor"/>
      </rPr>
      <t>2t</t>
    </r>
  </si>
  <si>
    <r>
      <t>X</t>
    </r>
    <r>
      <rPr>
        <vertAlign val="subscript"/>
        <sz val="14"/>
        <color theme="1"/>
        <rFont val="Calibri"/>
        <family val="2"/>
        <scheme val="minor"/>
      </rPr>
      <t>3t</t>
    </r>
  </si>
  <si>
    <t>X Variable 2</t>
  </si>
  <si>
    <t>X Variable 3</t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</si>
  <si>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</rPr>
      <t>o</t>
    </r>
    <r>
      <rPr>
        <sz val="11"/>
        <color theme="1"/>
        <rFont val="Calibri"/>
        <family val="2"/>
      </rPr>
      <t xml:space="preserve"> hat</t>
    </r>
  </si>
  <si>
    <t>α1 hat</t>
  </si>
  <si>
    <t>α2 hat</t>
  </si>
  <si>
    <t>α3 hat</t>
  </si>
  <si>
    <t>pt2</t>
  </si>
  <si>
    <t>Pt3</t>
  </si>
  <si>
    <t>t*</t>
  </si>
  <si>
    <t>price elasticity of demand</t>
  </si>
  <si>
    <t xml:space="preserve">Income </t>
  </si>
  <si>
    <t>observed frequency</t>
  </si>
  <si>
    <t>Y=ln(xi)</t>
  </si>
  <si>
    <t>Lower limit (xi)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</si>
</sst>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4" xfId="0" applyBorder="1"/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4" xfId="0" applyNumberFormat="1" applyBorder="1"/>
    <xf numFmtId="165" fontId="0" fillId="0" borderId="4" xfId="0" applyNumberFormat="1" applyBorder="1"/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5" fontId="1" fillId="0" borderId="4" xfId="0" applyNumberFormat="1" applyFont="1" applyBorder="1"/>
    <xf numFmtId="2" fontId="0" fillId="0" borderId="4" xfId="0" applyNumberFormat="1" applyBorder="1"/>
    <xf numFmtId="2" fontId="1" fillId="0" borderId="4" xfId="0" applyNumberFormat="1" applyFont="1" applyBorder="1"/>
    <xf numFmtId="165" fontId="2" fillId="0" borderId="0" xfId="0" applyNumberFormat="1" applyFont="1"/>
    <xf numFmtId="2" fontId="0" fillId="0" borderId="0" xfId="0" applyNumberFormat="1" applyBorder="1"/>
    <xf numFmtId="2" fontId="0" fillId="0" borderId="6" xfId="0" applyNumberFormat="1" applyBorder="1"/>
    <xf numFmtId="2" fontId="4" fillId="0" borderId="10" xfId="0" applyNumberFormat="1" applyFont="1" applyBorder="1"/>
    <xf numFmtId="0" fontId="0" fillId="0" borderId="0" xfId="0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3" borderId="13" xfId="0" applyFont="1" applyFill="1" applyBorder="1" applyAlignment="1">
      <alignment horizontal="center"/>
    </xf>
    <xf numFmtId="1" fontId="0" fillId="0" borderId="4" xfId="0" applyNumberFormat="1" applyBorder="1"/>
    <xf numFmtId="0" fontId="0" fillId="0" borderId="16" xfId="0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11" fillId="0" borderId="17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Continuous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0" fillId="0" borderId="2" xfId="0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3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5" xfId="0" applyBorder="1"/>
    <xf numFmtId="0" fontId="15" fillId="0" borderId="0" xfId="0" applyFont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5" fontId="0" fillId="0" borderId="0" xfId="0" applyNumberFormat="1" applyAlignment="1">
      <alignment horizontal="left"/>
    </xf>
    <xf numFmtId="165" fontId="0" fillId="0" borderId="0" xfId="0" applyNumberFormat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2" borderId="18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NumberFormat="1"/>
    <xf numFmtId="0" fontId="15" fillId="0" borderId="14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829396325459317"/>
          <c:y val="0.15313684747739864"/>
          <c:w val="0.8062331583552057"/>
          <c:h val="0.7216240157480313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Elasticity!$C$3</c:f>
              <c:strCache>
                <c:ptCount val="1"/>
                <c:pt idx="0">
                  <c:v>Income (tk/year)</c:v>
                </c:pt>
              </c:strCache>
            </c:strRef>
          </c:tx>
          <c:dLbls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Elasticity!$C$4:$C$11</c:f>
              <c:numCache>
                <c:formatCode>General</c:formatCode>
                <c:ptCount val="8"/>
                <c:pt idx="0">
                  <c:v>4000</c:v>
                </c:pt>
                <c:pt idx="1">
                  <c:v>6000</c:v>
                </c:pt>
                <c:pt idx="2">
                  <c:v>8000</c:v>
                </c:pt>
                <c:pt idx="3">
                  <c:v>10000</c:v>
                </c:pt>
                <c:pt idx="4">
                  <c:v>12000</c:v>
                </c:pt>
                <c:pt idx="5">
                  <c:v>14000</c:v>
                </c:pt>
                <c:pt idx="6">
                  <c:v>16000</c:v>
                </c:pt>
                <c:pt idx="7">
                  <c:v>18000</c:v>
                </c:pt>
              </c:numCache>
            </c:numRef>
          </c:xVal>
          <c:yVal>
            <c:numRef>
              <c:f>Elasticity!$D$4:$D$11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350</c:v>
                </c:pt>
                <c:pt idx="4">
                  <c:v>380</c:v>
                </c:pt>
                <c:pt idx="5">
                  <c:v>390</c:v>
                </c:pt>
                <c:pt idx="6">
                  <c:v>350</c:v>
                </c:pt>
                <c:pt idx="7">
                  <c:v>250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759360"/>
        <c:axId val="314759936"/>
      </c:scatterChart>
      <c:valAx>
        <c:axId val="31475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759936"/>
        <c:crosses val="autoZero"/>
        <c:crossBetween val="midCat"/>
      </c:valAx>
      <c:valAx>
        <c:axId val="31475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759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1114425</xdr:colOff>
      <xdr:row>20</xdr:row>
      <xdr:rowOff>130175</xdr:rowOff>
    </xdr:from>
    <xdr:ext cx="91440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14425" y="4213225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14425" y="4213225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𝑆^2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457200</xdr:colOff>
      <xdr:row>11</xdr:row>
      <xdr:rowOff>180975</xdr:rowOff>
    </xdr:from>
    <xdr:ext cx="1590675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7423150" y="2225675"/>
              <a:ext cx="1590675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US" sz="14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1126650428</m:t>
                  </m:r>
                  <m:r>
                    <m:rPr>
                      <m:nor/>
                    </m:rPr>
                    <a:rPr lang="en-US" sz="1400"/>
                    <m:t> </m:t>
                  </m:r>
                </m:oMath>
              </a14:m>
              <a:r>
                <a:rPr lang="en-US" sz="1400"/>
                <a:t>x </a:t>
              </a:r>
              <a:r>
                <a:rPr lang="en-US" sz="1400" baseline="30000"/>
                <a:t>-1.369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423150" y="2225675"/>
              <a:ext cx="1590675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 u="none" strike="noStrike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"1126650428</a:t>
              </a:r>
              <a:r>
                <a:rPr lang="en-US" sz="1400" i="0">
                  <a:latin typeface="Cambria Math"/>
                </a:rPr>
                <a:t> </a:t>
              </a:r>
              <a:r>
                <a:rPr lang="en-US" sz="1400" i="0"/>
                <a:t>"</a:t>
              </a:r>
              <a:r>
                <a:rPr lang="en-US" sz="1400"/>
                <a:t>x </a:t>
              </a:r>
              <a:r>
                <a:rPr lang="en-US" sz="1400" baseline="30000"/>
                <a:t>-1.369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479425</xdr:colOff>
      <xdr:row>0</xdr:row>
      <xdr:rowOff>0</xdr:rowOff>
    </xdr:from>
    <xdr:to>
      <xdr:col>16</xdr:col>
      <xdr:colOff>174625</xdr:colOff>
      <xdr:row>14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B32" workbookViewId="0">
      <selection activeCell="N47" sqref="N47"/>
    </sheetView>
  </sheetViews>
  <sheetFormatPr defaultRowHeight="14.5" x14ac:dyDescent="0.35"/>
  <cols>
    <col min="1" max="1" width="16.81640625" bestFit="1" customWidth="1"/>
    <col min="2" max="2" width="11.08984375" bestFit="1" customWidth="1"/>
    <col min="3" max="3" width="14.08984375" bestFit="1" customWidth="1"/>
    <col min="4" max="4" width="14.1796875" bestFit="1" customWidth="1"/>
    <col min="5" max="5" width="8.81640625" bestFit="1" customWidth="1"/>
    <col min="6" max="6" width="17.26953125" bestFit="1" customWidth="1"/>
    <col min="7" max="7" width="9.36328125" bestFit="1" customWidth="1"/>
    <col min="9" max="11" width="14.1796875" customWidth="1"/>
    <col min="12" max="12" width="14.453125" customWidth="1"/>
  </cols>
  <sheetData>
    <row r="1" spans="1:6" ht="21" x14ac:dyDescent="0.5">
      <c r="A1" s="124" t="s">
        <v>0</v>
      </c>
      <c r="B1" s="125"/>
      <c r="C1" s="125"/>
      <c r="D1" s="125"/>
      <c r="E1" s="125"/>
      <c r="F1" s="125"/>
    </row>
    <row r="2" spans="1:6" x14ac:dyDescent="0.35">
      <c r="B2" s="119" t="s">
        <v>1</v>
      </c>
      <c r="C2" s="118" t="s">
        <v>17</v>
      </c>
      <c r="D2" s="119" t="s">
        <v>2</v>
      </c>
      <c r="E2" s="118" t="s">
        <v>18</v>
      </c>
      <c r="F2" s="118" t="s">
        <v>19</v>
      </c>
    </row>
    <row r="3" spans="1:6" x14ac:dyDescent="0.35">
      <c r="B3" s="119"/>
      <c r="C3" s="118"/>
      <c r="D3" s="119"/>
      <c r="E3" s="118"/>
      <c r="F3" s="118"/>
    </row>
    <row r="4" spans="1:6" ht="16" thickBot="1" x14ac:dyDescent="0.4">
      <c r="B4" s="1" t="s">
        <v>3</v>
      </c>
      <c r="C4" s="2">
        <f>(200+299)/2</f>
        <v>249.5</v>
      </c>
      <c r="D4" s="3">
        <v>4.9000000000000004</v>
      </c>
      <c r="E4" s="4">
        <f>D4*C4</f>
        <v>1222.5500000000002</v>
      </c>
      <c r="F4" s="4">
        <f>D4*C4^2</f>
        <v>305026.22500000003</v>
      </c>
    </row>
    <row r="5" spans="1:6" ht="16" thickBot="1" x14ac:dyDescent="0.4">
      <c r="B5" s="1" t="s">
        <v>4</v>
      </c>
      <c r="C5" s="2">
        <f>(300+399)/2</f>
        <v>349.5</v>
      </c>
      <c r="D5" s="3">
        <v>6.2</v>
      </c>
      <c r="E5" s="4">
        <f t="shared" ref="E5:E17" si="0">D5*C5</f>
        <v>2166.9</v>
      </c>
      <c r="F5" s="4">
        <f t="shared" ref="F5:F17" si="1">D5*C5^2</f>
        <v>757331.55</v>
      </c>
    </row>
    <row r="6" spans="1:6" ht="16" thickBot="1" x14ac:dyDescent="0.4">
      <c r="B6" s="1" t="s">
        <v>5</v>
      </c>
      <c r="C6" s="2">
        <f>(400+499)/2</f>
        <v>449.5</v>
      </c>
      <c r="D6" s="3">
        <v>8.3000000000000007</v>
      </c>
      <c r="E6" s="4">
        <f t="shared" si="0"/>
        <v>3730.8500000000004</v>
      </c>
      <c r="F6" s="4">
        <f t="shared" si="1"/>
        <v>1677017.0750000002</v>
      </c>
    </row>
    <row r="7" spans="1:6" ht="16" thickBot="1" x14ac:dyDescent="0.4">
      <c r="B7" s="1" t="s">
        <v>6</v>
      </c>
      <c r="C7" s="2">
        <f>(500+749)/2</f>
        <v>624.5</v>
      </c>
      <c r="D7" s="3">
        <v>22.5</v>
      </c>
      <c r="E7" s="4">
        <f t="shared" si="0"/>
        <v>14051.25</v>
      </c>
      <c r="F7" s="4">
        <f t="shared" si="1"/>
        <v>8775005.625</v>
      </c>
    </row>
    <row r="8" spans="1:6" ht="16" thickBot="1" x14ac:dyDescent="0.4">
      <c r="B8" s="1" t="s">
        <v>7</v>
      </c>
      <c r="C8" s="2">
        <f>(750+999)/2</f>
        <v>874.5</v>
      </c>
      <c r="D8" s="3">
        <v>17.5</v>
      </c>
      <c r="E8" s="4">
        <f t="shared" si="0"/>
        <v>15303.75</v>
      </c>
      <c r="F8" s="4">
        <f t="shared" si="1"/>
        <v>13383129.375</v>
      </c>
    </row>
    <row r="9" spans="1:6" ht="16" thickBot="1" x14ac:dyDescent="0.4">
      <c r="B9" s="1" t="s">
        <v>8</v>
      </c>
      <c r="C9" s="2">
        <f>(1000+1249)/2</f>
        <v>1124.5</v>
      </c>
      <c r="D9" s="3">
        <v>12.5</v>
      </c>
      <c r="E9" s="4">
        <f t="shared" si="0"/>
        <v>14056.25</v>
      </c>
      <c r="F9" s="4">
        <f t="shared" si="1"/>
        <v>15806253.125</v>
      </c>
    </row>
    <row r="10" spans="1:6" ht="16" thickBot="1" x14ac:dyDescent="0.4">
      <c r="B10" s="1" t="s">
        <v>9</v>
      </c>
      <c r="C10" s="2">
        <f>(1250+1499)/2</f>
        <v>1374.5</v>
      </c>
      <c r="D10" s="3">
        <v>8.6</v>
      </c>
      <c r="E10" s="4">
        <f t="shared" si="0"/>
        <v>11820.699999999999</v>
      </c>
      <c r="F10" s="4">
        <f t="shared" si="1"/>
        <v>16247552.149999999</v>
      </c>
    </row>
    <row r="11" spans="1:6" ht="16" thickBot="1" x14ac:dyDescent="0.4">
      <c r="B11" s="1" t="s">
        <v>10</v>
      </c>
      <c r="C11" s="2">
        <f>(1500+1999)/2</f>
        <v>1749.5</v>
      </c>
      <c r="D11" s="3">
        <v>9.4</v>
      </c>
      <c r="E11" s="4">
        <f t="shared" si="0"/>
        <v>16445.3</v>
      </c>
      <c r="F11" s="4">
        <f t="shared" si="1"/>
        <v>28771052.350000001</v>
      </c>
    </row>
    <row r="12" spans="1:6" ht="16" thickBot="1" x14ac:dyDescent="0.4">
      <c r="B12" s="1" t="s">
        <v>11</v>
      </c>
      <c r="C12" s="2">
        <f>(2000+2499)/2</f>
        <v>2249.5</v>
      </c>
      <c r="D12" s="3">
        <v>4</v>
      </c>
      <c r="E12" s="4">
        <f t="shared" si="0"/>
        <v>8998</v>
      </c>
      <c r="F12" s="4">
        <f t="shared" si="1"/>
        <v>20241001</v>
      </c>
    </row>
    <row r="13" spans="1:6" ht="16" thickBot="1" x14ac:dyDescent="0.4">
      <c r="B13" s="1" t="s">
        <v>12</v>
      </c>
      <c r="C13" s="2">
        <f>(2500+2999)/2</f>
        <v>2749.5</v>
      </c>
      <c r="D13" s="3">
        <v>2.4</v>
      </c>
      <c r="E13" s="4">
        <f t="shared" si="0"/>
        <v>6598.8</v>
      </c>
      <c r="F13" s="4">
        <f t="shared" si="1"/>
        <v>18143400.599999998</v>
      </c>
    </row>
    <row r="14" spans="1:6" ht="16" thickBot="1" x14ac:dyDescent="0.4">
      <c r="B14" s="1" t="s">
        <v>13</v>
      </c>
      <c r="C14" s="2">
        <f>(3000+3999)/2</f>
        <v>3499.5</v>
      </c>
      <c r="D14" s="3">
        <v>2.1</v>
      </c>
      <c r="E14" s="4">
        <f t="shared" si="0"/>
        <v>7348.9500000000007</v>
      </c>
      <c r="F14" s="4">
        <f t="shared" si="1"/>
        <v>25717650.525000002</v>
      </c>
    </row>
    <row r="15" spans="1:6" ht="16" thickBot="1" x14ac:dyDescent="0.4">
      <c r="B15" s="1" t="s">
        <v>14</v>
      </c>
      <c r="C15" s="2">
        <f>(4000+4999)/2</f>
        <v>4499.5</v>
      </c>
      <c r="D15" s="3">
        <v>0.9</v>
      </c>
      <c r="E15" s="4">
        <f t="shared" si="0"/>
        <v>4049.55</v>
      </c>
      <c r="F15" s="4">
        <f t="shared" si="1"/>
        <v>18220950.225000001</v>
      </c>
    </row>
    <row r="16" spans="1:6" ht="16" thickBot="1" x14ac:dyDescent="0.4">
      <c r="B16" s="1" t="s">
        <v>15</v>
      </c>
      <c r="C16" s="2">
        <f>(5000+5999)/2</f>
        <v>5499.5</v>
      </c>
      <c r="D16" s="3">
        <v>0.4</v>
      </c>
      <c r="E16" s="4">
        <f t="shared" si="0"/>
        <v>2199.8000000000002</v>
      </c>
      <c r="F16" s="4">
        <f t="shared" si="1"/>
        <v>12097800.100000001</v>
      </c>
    </row>
    <row r="17" spans="1:12" ht="16" thickBot="1" x14ac:dyDescent="0.4">
      <c r="B17" s="1" t="s">
        <v>16</v>
      </c>
      <c r="C17" s="5">
        <f>(6000+6999)/2</f>
        <v>6499.5</v>
      </c>
      <c r="D17" s="6">
        <v>0.3</v>
      </c>
      <c r="E17" s="7">
        <f t="shared" si="0"/>
        <v>1949.85</v>
      </c>
      <c r="F17" s="7">
        <f t="shared" si="1"/>
        <v>12673050.074999999</v>
      </c>
    </row>
    <row r="18" spans="1:12" ht="18.5" x14ac:dyDescent="0.45">
      <c r="C18" s="8" t="s">
        <v>20</v>
      </c>
      <c r="D18" s="9">
        <f>SUM(D4:D17)</f>
        <v>100.00000000000001</v>
      </c>
      <c r="E18" s="9">
        <f t="shared" ref="E18:F18" si="2">SUM(E4:E17)</f>
        <v>109942.50000000001</v>
      </c>
      <c r="F18" s="9">
        <f t="shared" si="2"/>
        <v>192816219.99999997</v>
      </c>
    </row>
    <row r="21" spans="1:12" x14ac:dyDescent="0.35">
      <c r="C21" t="s">
        <v>21</v>
      </c>
      <c r="D21">
        <f>E18/D18</f>
        <v>1099.425</v>
      </c>
    </row>
    <row r="22" spans="1:12" x14ac:dyDescent="0.35">
      <c r="C22" t="s">
        <v>22</v>
      </c>
      <c r="D22">
        <f>(F18/D18)-D21^2</f>
        <v>719426.86937499954</v>
      </c>
    </row>
    <row r="23" spans="1:12" x14ac:dyDescent="0.35">
      <c r="B23" s="10" t="s">
        <v>32</v>
      </c>
      <c r="C23" t="s">
        <v>31</v>
      </c>
      <c r="D23">
        <f>SQRT(D22)</f>
        <v>848.19034972994098</v>
      </c>
      <c r="G23" t="s">
        <v>200</v>
      </c>
      <c r="H23" t="s">
        <v>201</v>
      </c>
      <c r="I23" t="s">
        <v>203</v>
      </c>
      <c r="J23" t="s">
        <v>202</v>
      </c>
      <c r="K23" t="s">
        <v>30</v>
      </c>
    </row>
    <row r="24" spans="1:12" x14ac:dyDescent="0.35">
      <c r="A24" t="s">
        <v>23</v>
      </c>
      <c r="B24" t="s">
        <v>25</v>
      </c>
      <c r="C24">
        <f>LN(D21^2/SQRT(D22+D21^2))</f>
        <v>6.76904625006605</v>
      </c>
      <c r="F24">
        <f>LN(D21^2/SQRT(D22+D21^2))</f>
        <v>6.76904625006605</v>
      </c>
    </row>
    <row r="25" spans="1:12" x14ac:dyDescent="0.35">
      <c r="A25" t="s">
        <v>24</v>
      </c>
      <c r="B25" t="s">
        <v>26</v>
      </c>
      <c r="C25">
        <f>LN((D22+D21^2)/D21^2)</f>
        <v>0.46699268955630946</v>
      </c>
      <c r="D25">
        <f>SQRT(C25)</f>
        <v>0.68336863372290468</v>
      </c>
      <c r="F25">
        <f>LN((D21^2+D22)/D21^2)</f>
        <v>0.46699268955630946</v>
      </c>
    </row>
    <row r="27" spans="1:12" x14ac:dyDescent="0.35">
      <c r="B27" s="126" t="s">
        <v>27</v>
      </c>
      <c r="C27" s="126"/>
      <c r="D27" s="126"/>
    </row>
    <row r="28" spans="1:12" x14ac:dyDescent="0.35">
      <c r="B28" s="126"/>
      <c r="C28" s="126"/>
      <c r="D28" s="126"/>
    </row>
    <row r="29" spans="1:12" ht="29" x14ac:dyDescent="0.35">
      <c r="B29" s="119" t="s">
        <v>1</v>
      </c>
      <c r="C29" s="127" t="s">
        <v>28</v>
      </c>
      <c r="D29" s="129" t="s">
        <v>29</v>
      </c>
      <c r="E29" s="118" t="s">
        <v>110</v>
      </c>
      <c r="F29" s="129" t="s">
        <v>30</v>
      </c>
      <c r="G29" s="121" t="s">
        <v>33</v>
      </c>
      <c r="H29" s="121" t="s">
        <v>34</v>
      </c>
      <c r="I29" s="122" t="s">
        <v>36</v>
      </c>
      <c r="J29" s="15" t="s">
        <v>37</v>
      </c>
      <c r="K29" s="15" t="s">
        <v>39</v>
      </c>
      <c r="L29" s="118" t="s">
        <v>35</v>
      </c>
    </row>
    <row r="30" spans="1:12" x14ac:dyDescent="0.35">
      <c r="B30" s="119"/>
      <c r="C30" s="128"/>
      <c r="D30" s="129"/>
      <c r="E30" s="118"/>
      <c r="F30" s="130"/>
      <c r="G30" s="118"/>
      <c r="H30" s="118"/>
      <c r="I30" s="123"/>
      <c r="J30" s="16" t="s">
        <v>38</v>
      </c>
      <c r="K30" s="16" t="s">
        <v>40</v>
      </c>
      <c r="L30" s="118"/>
    </row>
    <row r="31" spans="1:12" ht="16" thickBot="1" x14ac:dyDescent="0.4">
      <c r="B31" s="1" t="s">
        <v>3</v>
      </c>
      <c r="C31" s="3">
        <v>4.9000000000000004</v>
      </c>
      <c r="D31" s="4">
        <v>0</v>
      </c>
      <c r="E31" s="4">
        <v>0</v>
      </c>
      <c r="F31" s="4">
        <v>0</v>
      </c>
      <c r="G31" s="4">
        <v>0</v>
      </c>
      <c r="H31" s="11">
        <f>G32-G31</f>
        <v>5.9516882114186799E-2</v>
      </c>
      <c r="I31" s="12">
        <f>$D$18*H31</f>
        <v>5.9516882114186807</v>
      </c>
      <c r="J31" s="18">
        <f>ROUND(I31,2)</f>
        <v>5.95</v>
      </c>
      <c r="K31" s="18">
        <f>C31</f>
        <v>4.9000000000000004</v>
      </c>
      <c r="L31" s="18">
        <f>K31^2/J31</f>
        <v>4.0352941176470596</v>
      </c>
    </row>
    <row r="32" spans="1:12" ht="16" thickBot="1" x14ac:dyDescent="0.4">
      <c r="B32" s="1" t="s">
        <v>4</v>
      </c>
      <c r="C32" s="3">
        <v>6.2</v>
      </c>
      <c r="D32" s="4">
        <v>300</v>
      </c>
      <c r="E32" s="12">
        <f t="shared" ref="E32:E44" si="3">LN(D32)</f>
        <v>5.7037824746562009</v>
      </c>
      <c r="F32" s="4">
        <f t="shared" ref="F32:F44" si="4">(E32-$C$24)/$D$25</f>
        <v>-1.5588420697719598</v>
      </c>
      <c r="G32" s="11">
        <f>_xlfn.NORM.S.DIST(F32,TRUE)</f>
        <v>5.9516882114186799E-2</v>
      </c>
      <c r="H32" s="11">
        <f t="shared" ref="H32:H43" si="5">G33-G32</f>
        <v>6.8071408620707735E-2</v>
      </c>
      <c r="I32" s="12">
        <f t="shared" ref="I32:I44" si="6">$D$18*H32</f>
        <v>6.8071408620707743</v>
      </c>
      <c r="J32" s="18">
        <f t="shared" ref="J32:J39" si="7">ROUND(I32,2)</f>
        <v>6.81</v>
      </c>
      <c r="K32" s="18">
        <f t="shared" ref="K32:K39" si="8">C32</f>
        <v>6.2</v>
      </c>
      <c r="L32" s="18">
        <f>K32^2/J32</f>
        <v>5.6446402349486062</v>
      </c>
    </row>
    <row r="33" spans="2:14" ht="16" thickBot="1" x14ac:dyDescent="0.4">
      <c r="B33" s="1" t="s">
        <v>5</v>
      </c>
      <c r="C33" s="3">
        <v>8.3000000000000007</v>
      </c>
      <c r="D33" s="4">
        <v>400</v>
      </c>
      <c r="E33" s="12">
        <f t="shared" si="3"/>
        <v>5.9914645471079817</v>
      </c>
      <c r="F33" s="4">
        <f t="shared" si="4"/>
        <v>-1.1378656622296268</v>
      </c>
      <c r="G33" s="11">
        <f>_xlfn.NORM.S.DIST(F33,TRUE)</f>
        <v>0.12758829073489453</v>
      </c>
      <c r="H33" s="11">
        <f t="shared" si="5"/>
        <v>8.0999517591723802E-2</v>
      </c>
      <c r="I33" s="12">
        <f t="shared" si="6"/>
        <v>8.0999517591723809</v>
      </c>
      <c r="J33" s="18">
        <f t="shared" si="7"/>
        <v>8.1</v>
      </c>
      <c r="K33" s="18">
        <f t="shared" si="8"/>
        <v>8.3000000000000007</v>
      </c>
      <c r="L33" s="18">
        <f t="shared" ref="L33:L39" si="9">K33^2/J33</f>
        <v>8.5049382716049404</v>
      </c>
    </row>
    <row r="34" spans="2:14" ht="16" thickBot="1" x14ac:dyDescent="0.4">
      <c r="B34" s="1" t="s">
        <v>6</v>
      </c>
      <c r="C34" s="3">
        <v>22.5</v>
      </c>
      <c r="D34" s="4">
        <v>500</v>
      </c>
      <c r="E34" s="12">
        <f t="shared" si="3"/>
        <v>6.2146080984221914</v>
      </c>
      <c r="F34" s="4">
        <f t="shared" si="4"/>
        <v>-0.81133099221038374</v>
      </c>
      <c r="G34" s="11">
        <f t="shared" ref="G34:G44" si="10">_xlfn.NORM.S.DIST(F34,TRUE)</f>
        <v>0.20858780832661833</v>
      </c>
      <c r="H34" s="11">
        <f t="shared" si="5"/>
        <v>0.20512749910211403</v>
      </c>
      <c r="I34" s="12">
        <f t="shared" si="6"/>
        <v>20.512749910211404</v>
      </c>
      <c r="J34" s="18">
        <f t="shared" si="7"/>
        <v>20.51</v>
      </c>
      <c r="K34" s="18">
        <f t="shared" si="8"/>
        <v>22.5</v>
      </c>
      <c r="L34" s="18">
        <f t="shared" si="9"/>
        <v>24.683081423695757</v>
      </c>
    </row>
    <row r="35" spans="2:14" ht="16" thickBot="1" x14ac:dyDescent="0.4">
      <c r="B35" s="1" t="s">
        <v>7</v>
      </c>
      <c r="C35" s="3">
        <v>17.5</v>
      </c>
      <c r="D35" s="4">
        <v>750</v>
      </c>
      <c r="E35" s="12">
        <f t="shared" si="3"/>
        <v>6.620073206530356</v>
      </c>
      <c r="F35" s="4">
        <f t="shared" si="4"/>
        <v>-0.21799807041787669</v>
      </c>
      <c r="G35" s="11">
        <f t="shared" si="10"/>
        <v>0.41371530742873236</v>
      </c>
      <c r="H35" s="11">
        <f t="shared" si="5"/>
        <v>0.16670871045676344</v>
      </c>
      <c r="I35" s="12">
        <f t="shared" si="6"/>
        <v>16.670871045676346</v>
      </c>
      <c r="J35" s="18">
        <f t="shared" si="7"/>
        <v>16.670000000000002</v>
      </c>
      <c r="K35" s="18">
        <f t="shared" si="8"/>
        <v>17.5</v>
      </c>
      <c r="L35" s="18">
        <f t="shared" si="9"/>
        <v>18.371325734853027</v>
      </c>
    </row>
    <row r="36" spans="2:14" ht="16" thickBot="1" x14ac:dyDescent="0.4">
      <c r="B36" s="1" t="s">
        <v>8</v>
      </c>
      <c r="C36" s="3">
        <v>12.5</v>
      </c>
      <c r="D36" s="4">
        <v>1000</v>
      </c>
      <c r="E36" s="12">
        <f t="shared" si="3"/>
        <v>6.9077552789821368</v>
      </c>
      <c r="F36" s="4">
        <f t="shared" si="4"/>
        <v>0.20297833712445629</v>
      </c>
      <c r="G36" s="11">
        <f t="shared" si="10"/>
        <v>0.5804240178854958</v>
      </c>
      <c r="H36" s="11">
        <f t="shared" si="5"/>
        <v>0.12135117023327457</v>
      </c>
      <c r="I36" s="12">
        <f t="shared" si="6"/>
        <v>12.135117023327458</v>
      </c>
      <c r="J36" s="18">
        <f t="shared" si="7"/>
        <v>12.14</v>
      </c>
      <c r="K36" s="18">
        <f t="shared" si="8"/>
        <v>12.5</v>
      </c>
      <c r="L36" s="18">
        <f t="shared" si="9"/>
        <v>12.870675453047776</v>
      </c>
    </row>
    <row r="37" spans="2:14" ht="16" thickBot="1" x14ac:dyDescent="0.4">
      <c r="B37" s="1" t="s">
        <v>9</v>
      </c>
      <c r="C37" s="3">
        <v>8.6</v>
      </c>
      <c r="D37" s="4">
        <v>1250</v>
      </c>
      <c r="E37" s="12">
        <f t="shared" si="3"/>
        <v>7.1308988302963465</v>
      </c>
      <c r="F37" s="4">
        <f t="shared" si="4"/>
        <v>0.52951300714369942</v>
      </c>
      <c r="G37" s="11">
        <f t="shared" si="10"/>
        <v>0.70177518811877038</v>
      </c>
      <c r="H37" s="11">
        <f t="shared" si="5"/>
        <v>8.5299240331128012E-2</v>
      </c>
      <c r="I37" s="12">
        <f t="shared" si="6"/>
        <v>8.5299240331128026</v>
      </c>
      <c r="J37" s="18">
        <f t="shared" si="7"/>
        <v>8.5299999999999994</v>
      </c>
      <c r="K37" s="18">
        <f t="shared" si="8"/>
        <v>8.6</v>
      </c>
      <c r="L37" s="18">
        <f t="shared" si="9"/>
        <v>8.6705744431418523</v>
      </c>
    </row>
    <row r="38" spans="2:14" ht="16" thickBot="1" x14ac:dyDescent="0.4">
      <c r="B38" s="1" t="s">
        <v>10</v>
      </c>
      <c r="C38" s="3">
        <v>9.4</v>
      </c>
      <c r="D38" s="4">
        <v>1500</v>
      </c>
      <c r="E38" s="12">
        <f t="shared" si="3"/>
        <v>7.3132203870903014</v>
      </c>
      <c r="F38" s="4">
        <f t="shared" si="4"/>
        <v>0.7963112589169633</v>
      </c>
      <c r="G38" s="11">
        <f t="shared" si="10"/>
        <v>0.78707442844989839</v>
      </c>
      <c r="H38" s="11">
        <f t="shared" si="5"/>
        <v>0.10117817893251979</v>
      </c>
      <c r="I38" s="12">
        <f t="shared" si="6"/>
        <v>10.117817893251981</v>
      </c>
      <c r="J38" s="18">
        <f t="shared" si="7"/>
        <v>10.119999999999999</v>
      </c>
      <c r="K38" s="18">
        <f t="shared" si="8"/>
        <v>9.4</v>
      </c>
      <c r="L38" s="18">
        <f t="shared" si="9"/>
        <v>8.7312252964426893</v>
      </c>
    </row>
    <row r="39" spans="2:14" ht="16" thickBot="1" x14ac:dyDescent="0.4">
      <c r="B39" s="1" t="s">
        <v>11</v>
      </c>
      <c r="C39" s="3">
        <v>4</v>
      </c>
      <c r="D39" s="4">
        <v>2000</v>
      </c>
      <c r="E39" s="12">
        <f t="shared" si="3"/>
        <v>7.6009024595420822</v>
      </c>
      <c r="F39" s="4">
        <f t="shared" si="4"/>
        <v>1.2172876664592962</v>
      </c>
      <c r="G39" s="11">
        <f t="shared" si="10"/>
        <v>0.88825260738241818</v>
      </c>
      <c r="H39" s="11">
        <f t="shared" si="5"/>
        <v>5.0431703308678189E-2</v>
      </c>
      <c r="I39" s="12">
        <f>$D$18*H39</f>
        <v>5.0431703308678193</v>
      </c>
      <c r="J39" s="18">
        <f t="shared" si="7"/>
        <v>5.04</v>
      </c>
      <c r="K39" s="18">
        <f t="shared" si="8"/>
        <v>4</v>
      </c>
      <c r="L39" s="18">
        <f t="shared" si="9"/>
        <v>3.1746031746031744</v>
      </c>
    </row>
    <row r="40" spans="2:14" ht="16" thickBot="1" x14ac:dyDescent="0.4">
      <c r="B40" s="1" t="s">
        <v>12</v>
      </c>
      <c r="C40" s="13">
        <v>2.4</v>
      </c>
      <c r="D40" s="4">
        <v>2500</v>
      </c>
      <c r="E40" s="12">
        <f t="shared" si="3"/>
        <v>7.8240460108562919</v>
      </c>
      <c r="F40" s="4">
        <f t="shared" si="4"/>
        <v>1.5438223364785395</v>
      </c>
      <c r="G40" s="11">
        <f t="shared" si="10"/>
        <v>0.93868431069109637</v>
      </c>
      <c r="H40" s="11">
        <f t="shared" si="5"/>
        <v>2.6215887811486538E-2</v>
      </c>
      <c r="I40" s="17">
        <f t="shared" si="6"/>
        <v>2.6215887811486542</v>
      </c>
      <c r="J40" s="19">
        <f>SUM(I40:I44)</f>
        <v>6.1315689308903645</v>
      </c>
      <c r="K40" s="19">
        <f>SUM(C40:C44)</f>
        <v>6.1000000000000005</v>
      </c>
      <c r="L40" s="22">
        <f>K40^2/J40</f>
        <v>6.0685936045730386</v>
      </c>
    </row>
    <row r="41" spans="2:14" ht="19" thickBot="1" x14ac:dyDescent="0.5">
      <c r="B41" s="1" t="s">
        <v>13</v>
      </c>
      <c r="C41" s="13">
        <v>2.1</v>
      </c>
      <c r="D41" s="4">
        <v>3000</v>
      </c>
      <c r="E41" s="12">
        <f t="shared" si="3"/>
        <v>8.0063675676502459</v>
      </c>
      <c r="F41" s="4">
        <f t="shared" si="4"/>
        <v>1.8106205882518021</v>
      </c>
      <c r="G41" s="11">
        <f t="shared" si="10"/>
        <v>0.96490019850258291</v>
      </c>
      <c r="H41" s="11">
        <f t="shared" si="5"/>
        <v>2.2278996306687837E-2</v>
      </c>
      <c r="I41" s="17">
        <f t="shared" si="6"/>
        <v>2.2278996306687842</v>
      </c>
      <c r="J41" s="120" t="s">
        <v>41</v>
      </c>
      <c r="K41" s="120"/>
      <c r="L41" s="23">
        <f>SUM(L31:L40)</f>
        <v>100.75495175455792</v>
      </c>
    </row>
    <row r="42" spans="2:14" ht="16" thickBot="1" x14ac:dyDescent="0.4">
      <c r="B42" s="1" t="s">
        <v>14</v>
      </c>
      <c r="C42" s="13">
        <v>0.9</v>
      </c>
      <c r="D42" s="4">
        <v>4000</v>
      </c>
      <c r="E42" s="12">
        <f t="shared" si="3"/>
        <v>8.2940496401020276</v>
      </c>
      <c r="F42" s="4">
        <f t="shared" si="4"/>
        <v>2.2315969957941362</v>
      </c>
      <c r="G42" s="11">
        <f t="shared" si="10"/>
        <v>0.98717919480927074</v>
      </c>
      <c r="H42" s="11">
        <f t="shared" si="5"/>
        <v>7.5589932528904447E-3</v>
      </c>
      <c r="I42" s="17">
        <f t="shared" si="6"/>
        <v>0.75589932528904458</v>
      </c>
      <c r="J42" s="120"/>
      <c r="K42" s="120"/>
      <c r="L42" s="21"/>
    </row>
    <row r="43" spans="2:14" ht="16" thickBot="1" x14ac:dyDescent="0.4">
      <c r="B43" s="1" t="s">
        <v>15</v>
      </c>
      <c r="C43" s="13">
        <v>0.4</v>
      </c>
      <c r="D43" s="4">
        <v>5000</v>
      </c>
      <c r="E43" s="12">
        <f t="shared" si="3"/>
        <v>8.5171931914162382</v>
      </c>
      <c r="F43" s="4">
        <f t="shared" si="4"/>
        <v>2.5581316658133808</v>
      </c>
      <c r="G43" s="11">
        <f t="shared" si="10"/>
        <v>0.99473818806216119</v>
      </c>
      <c r="H43" s="11">
        <f t="shared" si="5"/>
        <v>2.8972640160502827E-3</v>
      </c>
      <c r="I43" s="17">
        <f t="shared" si="6"/>
        <v>0.28972640160502833</v>
      </c>
      <c r="J43" s="120"/>
      <c r="K43" s="120"/>
      <c r="L43" s="21"/>
    </row>
    <row r="44" spans="2:14" ht="16" thickBot="1" x14ac:dyDescent="0.4">
      <c r="B44" s="1" t="s">
        <v>16</v>
      </c>
      <c r="C44" s="14">
        <v>0.3</v>
      </c>
      <c r="D44" s="4">
        <v>6000</v>
      </c>
      <c r="E44" s="12">
        <f t="shared" si="3"/>
        <v>8.6995147482101913</v>
      </c>
      <c r="F44" s="4">
        <f t="shared" si="4"/>
        <v>2.8249299175866422</v>
      </c>
      <c r="G44" s="11">
        <f t="shared" si="10"/>
        <v>0.99763545207821147</v>
      </c>
      <c r="H44" s="11">
        <f>1-G44</f>
        <v>2.364547921788529E-3</v>
      </c>
      <c r="I44" s="17">
        <f t="shared" si="6"/>
        <v>0.23645479217885293</v>
      </c>
      <c r="J44" s="120"/>
      <c r="K44" s="120"/>
      <c r="L44" s="21"/>
    </row>
    <row r="45" spans="2:14" x14ac:dyDescent="0.35">
      <c r="I45" s="20">
        <f>SUM(I31:I44)</f>
        <v>100.00000000000001</v>
      </c>
      <c r="J45" s="25">
        <f>SUM(J31:J40)</f>
        <v>100.00156893089039</v>
      </c>
      <c r="K45" s="25">
        <f>SUM(K31:K40)</f>
        <v>100</v>
      </c>
    </row>
    <row r="46" spans="2:14" x14ac:dyDescent="0.35">
      <c r="L46" s="117" t="s">
        <v>42</v>
      </c>
      <c r="M46" s="117"/>
      <c r="N46" s="25">
        <f>L41-K45</f>
        <v>0.75495175455792207</v>
      </c>
    </row>
    <row r="47" spans="2:14" x14ac:dyDescent="0.35">
      <c r="L47" s="117" t="s">
        <v>43</v>
      </c>
      <c r="M47" s="117"/>
      <c r="N47">
        <f>_xlfn.CHISQ.DIST(N46:N46,7,FALSE)</f>
        <v>9.0298619992733604E-3</v>
      </c>
    </row>
    <row r="48" spans="2:14" x14ac:dyDescent="0.35">
      <c r="L48" s="117" t="s">
        <v>44</v>
      </c>
      <c r="M48" s="117"/>
      <c r="N48">
        <f>_xlfn.CHISQ.TEST(K31:K40,J31:J40)</f>
        <v>0.99982318447179597</v>
      </c>
    </row>
    <row r="49" spans="12:13" x14ac:dyDescent="0.35">
      <c r="L49" s="117"/>
      <c r="M49" s="117"/>
    </row>
    <row r="50" spans="12:13" x14ac:dyDescent="0.35">
      <c r="L50" s="26"/>
    </row>
  </sheetData>
  <mergeCells count="21">
    <mergeCell ref="B27:D28"/>
    <mergeCell ref="C29:C30"/>
    <mergeCell ref="D29:D30"/>
    <mergeCell ref="E29:E30"/>
    <mergeCell ref="F29:F30"/>
    <mergeCell ref="A1:F1"/>
    <mergeCell ref="B2:B3"/>
    <mergeCell ref="C2:C3"/>
    <mergeCell ref="D2:D3"/>
    <mergeCell ref="E2:E3"/>
    <mergeCell ref="F2:F3"/>
    <mergeCell ref="L49:M49"/>
    <mergeCell ref="L29:L30"/>
    <mergeCell ref="B29:B30"/>
    <mergeCell ref="L46:M46"/>
    <mergeCell ref="L47:M47"/>
    <mergeCell ref="L48:M48"/>
    <mergeCell ref="J41:K44"/>
    <mergeCell ref="G29:G30"/>
    <mergeCell ref="H29:H30"/>
    <mergeCell ref="I29:I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7" sqref="E7"/>
    </sheetView>
  </sheetViews>
  <sheetFormatPr defaultRowHeight="14.5" x14ac:dyDescent="0.35"/>
  <cols>
    <col min="2" max="2" width="11" customWidth="1"/>
  </cols>
  <sheetData>
    <row r="1" spans="1:9" x14ac:dyDescent="0.35">
      <c r="A1" t="s">
        <v>63</v>
      </c>
    </row>
    <row r="2" spans="1:9" ht="15" thickBot="1" x14ac:dyDescent="0.4"/>
    <row r="3" spans="1:9" x14ac:dyDescent="0.35">
      <c r="A3" s="38" t="s">
        <v>64</v>
      </c>
      <c r="B3" s="38"/>
    </row>
    <row r="4" spans="1:9" x14ac:dyDescent="0.35">
      <c r="A4" s="35" t="s">
        <v>65</v>
      </c>
      <c r="B4" s="35">
        <v>0.89245581391988793</v>
      </c>
    </row>
    <row r="5" spans="1:9" x14ac:dyDescent="0.35">
      <c r="A5" s="35" t="s">
        <v>66</v>
      </c>
      <c r="B5" s="35">
        <v>0.79647737979940958</v>
      </c>
    </row>
    <row r="6" spans="1:9" x14ac:dyDescent="0.35">
      <c r="A6" s="35" t="s">
        <v>67</v>
      </c>
      <c r="B6" s="35">
        <v>0.77951716144936034</v>
      </c>
    </row>
    <row r="7" spans="1:9" x14ac:dyDescent="0.35">
      <c r="A7" s="35" t="s">
        <v>68</v>
      </c>
      <c r="B7" s="35">
        <v>1.4119437247355866</v>
      </c>
    </row>
    <row r="8" spans="1:9" ht="15" thickBot="1" x14ac:dyDescent="0.4">
      <c r="A8" s="36" t="s">
        <v>69</v>
      </c>
      <c r="B8" s="36">
        <v>14</v>
      </c>
    </row>
    <row r="10" spans="1:9" ht="15" thickBot="1" x14ac:dyDescent="0.4">
      <c r="A10" t="s">
        <v>70</v>
      </c>
    </row>
    <row r="11" spans="1:9" x14ac:dyDescent="0.35">
      <c r="A11" s="37"/>
      <c r="B11" s="37" t="s">
        <v>74</v>
      </c>
      <c r="C11" s="37" t="s">
        <v>75</v>
      </c>
      <c r="D11" s="37" t="s">
        <v>76</v>
      </c>
      <c r="E11" s="37" t="s">
        <v>77</v>
      </c>
      <c r="F11" s="37" t="s">
        <v>78</v>
      </c>
    </row>
    <row r="12" spans="1:9" x14ac:dyDescent="0.35">
      <c r="A12" s="35" t="s">
        <v>71</v>
      </c>
      <c r="B12" s="35">
        <v>1</v>
      </c>
      <c r="C12" s="35">
        <v>93.621755899784176</v>
      </c>
      <c r="D12" s="35">
        <v>93.621755899784176</v>
      </c>
      <c r="E12" s="35">
        <v>46.961505056159808</v>
      </c>
      <c r="F12" s="35">
        <v>1.7650738628420399E-5</v>
      </c>
    </row>
    <row r="13" spans="1:9" x14ac:dyDescent="0.35">
      <c r="A13" s="35" t="s">
        <v>72</v>
      </c>
      <c r="B13" s="35">
        <v>12</v>
      </c>
      <c r="C13" s="35">
        <v>23.923020981842424</v>
      </c>
      <c r="D13" s="35">
        <v>1.9935850818202019</v>
      </c>
      <c r="E13" s="35"/>
      <c r="F13" s="35"/>
    </row>
    <row r="14" spans="1:9" ht="15" thickBot="1" x14ac:dyDescent="0.4">
      <c r="A14" s="36" t="s">
        <v>20</v>
      </c>
      <c r="B14" s="36">
        <v>13</v>
      </c>
      <c r="C14" s="36">
        <v>117.5447768816266</v>
      </c>
      <c r="D14" s="36"/>
      <c r="E14" s="36"/>
      <c r="F14" s="36"/>
    </row>
    <row r="15" spans="1:9" ht="15" thickBot="1" x14ac:dyDescent="0.4"/>
    <row r="16" spans="1:9" x14ac:dyDescent="0.35">
      <c r="A16" s="37"/>
      <c r="B16" s="37" t="s">
        <v>79</v>
      </c>
      <c r="C16" s="37" t="s">
        <v>68</v>
      </c>
      <c r="D16" s="37" t="s">
        <v>80</v>
      </c>
      <c r="E16" s="37" t="s">
        <v>81</v>
      </c>
      <c r="F16" s="37" t="s">
        <v>82</v>
      </c>
      <c r="G16" s="37" t="s">
        <v>83</v>
      </c>
      <c r="H16" s="37" t="s">
        <v>84</v>
      </c>
      <c r="I16" s="37" t="s">
        <v>85</v>
      </c>
    </row>
    <row r="17" spans="1:9" x14ac:dyDescent="0.35">
      <c r="A17" s="35" t="s">
        <v>73</v>
      </c>
      <c r="B17" s="35">
        <v>20.842514844988823</v>
      </c>
      <c r="C17" s="35">
        <v>2.0204374283112041</v>
      </c>
      <c r="D17" s="35">
        <v>10.315842773913655</v>
      </c>
      <c r="E17" s="35">
        <v>2.5567330596096087E-7</v>
      </c>
      <c r="F17" s="35">
        <v>16.440359854644512</v>
      </c>
      <c r="G17" s="35">
        <v>25.244669835333134</v>
      </c>
      <c r="H17" s="35">
        <v>16.440359854644512</v>
      </c>
      <c r="I17" s="35">
        <v>25.244669835333134</v>
      </c>
    </row>
    <row r="18" spans="1:9" ht="15" thickBot="1" x14ac:dyDescent="0.4">
      <c r="A18" s="36" t="s">
        <v>86</v>
      </c>
      <c r="B18" s="36">
        <v>-1.3697431530102488</v>
      </c>
      <c r="C18" s="36">
        <v>0.19987944490164067</v>
      </c>
      <c r="D18" s="36">
        <v>-6.8528464929662487</v>
      </c>
      <c r="E18" s="36">
        <v>1.7650738628420399E-5</v>
      </c>
      <c r="F18" s="36">
        <v>-1.8052430519487075</v>
      </c>
      <c r="G18" s="36">
        <v>-0.93424325407179021</v>
      </c>
      <c r="H18" s="36">
        <v>-1.8052430519487075</v>
      </c>
      <c r="I18" s="36">
        <v>-0.93424325407179021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workbookViewId="0">
      <selection activeCell="N10" sqref="N10"/>
    </sheetView>
  </sheetViews>
  <sheetFormatPr defaultRowHeight="14.5" x14ac:dyDescent="0.35"/>
  <cols>
    <col min="2" max="2" width="9.453125" customWidth="1"/>
    <col min="3" max="3" width="8.26953125" customWidth="1"/>
    <col min="4" max="4" width="13.453125" bestFit="1" customWidth="1"/>
    <col min="5" max="5" width="12.7265625" bestFit="1" customWidth="1"/>
    <col min="6" max="6" width="10.08984375" customWidth="1"/>
    <col min="7" max="7" width="10.81640625" customWidth="1"/>
    <col min="12" max="12" width="10.81640625" bestFit="1" customWidth="1"/>
    <col min="14" max="14" width="11.81640625" bestFit="1" customWidth="1"/>
  </cols>
  <sheetData>
    <row r="2" spans="2:14" ht="15" thickBot="1" x14ac:dyDescent="0.4"/>
    <row r="3" spans="2:14" ht="15.5" x14ac:dyDescent="0.35">
      <c r="B3" s="131" t="s">
        <v>45</v>
      </c>
      <c r="C3" s="132"/>
      <c r="D3" s="32" t="s">
        <v>46</v>
      </c>
      <c r="E3" s="4" t="s">
        <v>51</v>
      </c>
      <c r="F3" s="4" t="s">
        <v>47</v>
      </c>
      <c r="G3" s="4" t="s">
        <v>109</v>
      </c>
      <c r="H3" s="4" t="s">
        <v>48</v>
      </c>
      <c r="I3" s="4" t="s">
        <v>49</v>
      </c>
    </row>
    <row r="4" spans="2:14" x14ac:dyDescent="0.35">
      <c r="B4" s="28">
        <v>3500</v>
      </c>
      <c r="C4" s="29">
        <v>4200</v>
      </c>
      <c r="D4" s="29">
        <v>16361</v>
      </c>
      <c r="E4" s="33">
        <f>(B4+C4)/2</f>
        <v>3850</v>
      </c>
      <c r="F4" s="4">
        <f>LN(D4)</f>
        <v>9.7026557329830769</v>
      </c>
      <c r="G4" s="4">
        <f>LN(E4-$L$4)</f>
        <v>5.857933154483459</v>
      </c>
      <c r="H4" s="4">
        <f>F4*G4</f>
        <v>56.837508704780575</v>
      </c>
      <c r="I4" s="4">
        <f>G4^2</f>
        <v>34.315380842396529</v>
      </c>
      <c r="K4" s="27" t="s">
        <v>50</v>
      </c>
      <c r="L4" s="24">
        <v>3500</v>
      </c>
      <c r="M4" s="117" t="s">
        <v>52</v>
      </c>
      <c r="N4" s="117"/>
    </row>
    <row r="5" spans="2:14" x14ac:dyDescent="0.35">
      <c r="B5" s="28">
        <v>4201</v>
      </c>
      <c r="C5" s="29">
        <v>5000</v>
      </c>
      <c r="D5" s="29">
        <v>93498</v>
      </c>
      <c r="E5" s="33">
        <f t="shared" ref="E5:E17" si="0">(B5+C5)/2</f>
        <v>4600.5</v>
      </c>
      <c r="F5" s="4">
        <f t="shared" ref="F5:F17" si="1">LN(D5)</f>
        <v>11.44569532467367</v>
      </c>
      <c r="G5" s="4">
        <f t="shared" ref="G5:G17" si="2">LN(E5-$L$4)</f>
        <v>7.0035199009665163</v>
      </c>
      <c r="H5" s="4">
        <f t="shared" ref="H5:H17" si="3">F5*G5</f>
        <v>80.160154986751465</v>
      </c>
      <c r="I5" s="4">
        <f t="shared" ref="I5:I17" si="4">G5^2</f>
        <v>49.049291003234046</v>
      </c>
      <c r="K5" s="27" t="s">
        <v>53</v>
      </c>
      <c r="L5" s="24">
        <f>COUNT(B4:B17)</f>
        <v>14</v>
      </c>
      <c r="M5" s="117" t="s">
        <v>54</v>
      </c>
      <c r="N5" s="117"/>
    </row>
    <row r="6" spans="2:14" x14ac:dyDescent="0.35">
      <c r="B6" s="28">
        <v>5001</v>
      </c>
      <c r="C6" s="29">
        <v>8400</v>
      </c>
      <c r="D6" s="29">
        <v>60032</v>
      </c>
      <c r="E6" s="33">
        <f t="shared" si="0"/>
        <v>6700.5</v>
      </c>
      <c r="F6" s="4">
        <f t="shared" si="1"/>
        <v>11.002633032365896</v>
      </c>
      <c r="G6" s="4">
        <f t="shared" si="2"/>
        <v>8.0710623265820587</v>
      </c>
      <c r="H6" s="4">
        <f t="shared" si="3"/>
        <v>88.802936960735707</v>
      </c>
      <c r="I6" s="4">
        <f t="shared" si="4"/>
        <v>65.142047079572194</v>
      </c>
    </row>
    <row r="7" spans="2:14" x14ac:dyDescent="0.35">
      <c r="B7" s="28">
        <v>8401</v>
      </c>
      <c r="C7" s="29">
        <v>10000</v>
      </c>
      <c r="D7" s="29">
        <v>19835</v>
      </c>
      <c r="E7" s="33">
        <f t="shared" si="0"/>
        <v>9200.5</v>
      </c>
      <c r="F7" s="4">
        <f t="shared" si="1"/>
        <v>9.8952033329484301</v>
      </c>
      <c r="G7" s="4">
        <f t="shared" si="2"/>
        <v>8.6483091692737748</v>
      </c>
      <c r="H7" s="4">
        <f t="shared" si="3"/>
        <v>85.576777716166319</v>
      </c>
      <c r="I7" s="4">
        <f t="shared" si="4"/>
        <v>74.793251487344847</v>
      </c>
    </row>
    <row r="8" spans="2:14" x14ac:dyDescent="0.35">
      <c r="B8" s="28">
        <v>10001</v>
      </c>
      <c r="C8" s="29">
        <v>15000</v>
      </c>
      <c r="D8" s="29">
        <v>17583</v>
      </c>
      <c r="E8" s="33">
        <f t="shared" si="0"/>
        <v>12500.5</v>
      </c>
      <c r="F8" s="4">
        <f t="shared" si="1"/>
        <v>9.7746878051445396</v>
      </c>
      <c r="G8" s="4">
        <f t="shared" si="2"/>
        <v>9.1050354103307587</v>
      </c>
      <c r="H8" s="4">
        <f t="shared" si="3"/>
        <v>88.99887859076928</v>
      </c>
      <c r="I8" s="4">
        <f t="shared" si="4"/>
        <v>82.901669823377006</v>
      </c>
      <c r="K8" t="s">
        <v>56</v>
      </c>
      <c r="L8">
        <f>(H18-(F18*G18)/L5)/(I18-(G18^2/L5))</f>
        <v>-1.3697431530102393</v>
      </c>
    </row>
    <row r="9" spans="2:14" x14ac:dyDescent="0.35">
      <c r="B9" s="28">
        <v>15001</v>
      </c>
      <c r="C9" s="29">
        <v>25000</v>
      </c>
      <c r="D9" s="29">
        <v>8550</v>
      </c>
      <c r="E9" s="33">
        <f t="shared" si="0"/>
        <v>20000.5</v>
      </c>
      <c r="F9" s="4">
        <f t="shared" si="1"/>
        <v>9.0536865619308067</v>
      </c>
      <c r="G9" s="4">
        <f t="shared" si="2"/>
        <v>9.7111459624598471</v>
      </c>
      <c r="H9" s="4">
        <f t="shared" si="3"/>
        <v>87.921671701271322</v>
      </c>
      <c r="I9" s="4">
        <f t="shared" si="4"/>
        <v>94.306355904200188</v>
      </c>
      <c r="K9" t="s">
        <v>57</v>
      </c>
      <c r="L9">
        <f>F19-(L8*G19)</f>
        <v>20.842514844988727</v>
      </c>
    </row>
    <row r="10" spans="2:14" x14ac:dyDescent="0.35">
      <c r="B10" s="28">
        <v>25001</v>
      </c>
      <c r="C10" s="29">
        <v>40000</v>
      </c>
      <c r="D10" s="29">
        <v>3779</v>
      </c>
      <c r="E10" s="33">
        <f t="shared" si="0"/>
        <v>32500.5</v>
      </c>
      <c r="F10" s="4">
        <f t="shared" si="1"/>
        <v>8.2372147033494887</v>
      </c>
      <c r="G10" s="4">
        <f t="shared" si="2"/>
        <v>10.275068350199291</v>
      </c>
      <c r="H10" s="4">
        <f t="shared" si="3"/>
        <v>84.637944092182579</v>
      </c>
      <c r="I10" s="4">
        <f t="shared" si="4"/>
        <v>105.57702960126718</v>
      </c>
      <c r="K10" t="s">
        <v>58</v>
      </c>
      <c r="L10">
        <f>EXP(L9)</f>
        <v>1126650428.3798149</v>
      </c>
    </row>
    <row r="11" spans="2:14" x14ac:dyDescent="0.35">
      <c r="B11" s="28">
        <v>40001</v>
      </c>
      <c r="C11" s="29">
        <v>55000</v>
      </c>
      <c r="D11" s="29">
        <v>1179</v>
      </c>
      <c r="E11" s="33">
        <f t="shared" si="0"/>
        <v>47500.5</v>
      </c>
      <c r="F11" s="4">
        <f t="shared" si="1"/>
        <v>7.0724219005373712</v>
      </c>
      <c r="G11" s="4">
        <f t="shared" si="2"/>
        <v>10.691956276472196</v>
      </c>
      <c r="H11" s="4">
        <f t="shared" si="3"/>
        <v>75.618025729309963</v>
      </c>
      <c r="I11" s="4">
        <f t="shared" si="4"/>
        <v>114.31792901799318</v>
      </c>
      <c r="K11" t="s">
        <v>61</v>
      </c>
      <c r="L11">
        <f>-L8</f>
        <v>1.3697431530102393</v>
      </c>
    </row>
    <row r="12" spans="2:14" x14ac:dyDescent="0.35">
      <c r="B12" s="28">
        <v>55001</v>
      </c>
      <c r="C12" s="29">
        <v>70000</v>
      </c>
      <c r="D12" s="29">
        <v>312</v>
      </c>
      <c r="E12" s="33">
        <f t="shared" si="0"/>
        <v>62500.5</v>
      </c>
      <c r="F12" s="4">
        <f t="shared" si="1"/>
        <v>5.7430031878094825</v>
      </c>
      <c r="G12" s="4">
        <f t="shared" si="2"/>
        <v>10.985301197428219</v>
      </c>
      <c r="H12" s="4">
        <f t="shared" si="3"/>
        <v>63.088619795877591</v>
      </c>
      <c r="I12" s="4">
        <f t="shared" si="4"/>
        <v>120.67684239821787</v>
      </c>
      <c r="K12" s="117" t="s">
        <v>59</v>
      </c>
      <c r="L12" s="117"/>
    </row>
    <row r="13" spans="2:14" x14ac:dyDescent="0.35">
      <c r="B13" s="28">
        <v>70001</v>
      </c>
      <c r="C13" s="29">
        <v>85000</v>
      </c>
      <c r="D13" s="29">
        <v>127</v>
      </c>
      <c r="E13" s="33">
        <f t="shared" si="0"/>
        <v>77500.5</v>
      </c>
      <c r="F13" s="4">
        <f t="shared" si="1"/>
        <v>4.8441870864585912</v>
      </c>
      <c r="G13" s="4">
        <f t="shared" si="2"/>
        <v>11.211827128920238</v>
      </c>
      <c r="H13" s="4">
        <f t="shared" si="3"/>
        <v>54.312188193521514</v>
      </c>
      <c r="I13" s="4">
        <f t="shared" si="4"/>
        <v>125.70506756879182</v>
      </c>
      <c r="K13" t="s">
        <v>60</v>
      </c>
      <c r="L13" s="117"/>
      <c r="M13" s="117"/>
    </row>
    <row r="14" spans="2:14" x14ac:dyDescent="0.35">
      <c r="B14" s="28">
        <v>85001</v>
      </c>
      <c r="C14" s="29">
        <v>100000</v>
      </c>
      <c r="D14" s="29">
        <v>60</v>
      </c>
      <c r="E14" s="33">
        <f t="shared" si="0"/>
        <v>92500.5</v>
      </c>
      <c r="F14" s="4">
        <f t="shared" si="1"/>
        <v>4.0943445622221004</v>
      </c>
      <c r="G14" s="4">
        <f t="shared" si="2"/>
        <v>11.396397266676024</v>
      </c>
      <c r="H14" s="4">
        <f t="shared" si="3"/>
        <v>46.660777177737785</v>
      </c>
      <c r="I14" s="4">
        <f t="shared" si="4"/>
        <v>129.87787065990074</v>
      </c>
      <c r="L14" s="117"/>
      <c r="M14" s="117"/>
    </row>
    <row r="15" spans="2:14" x14ac:dyDescent="0.35">
      <c r="B15" s="28">
        <v>100001</v>
      </c>
      <c r="C15" s="29">
        <v>150000</v>
      </c>
      <c r="D15" s="29">
        <v>89</v>
      </c>
      <c r="E15" s="33">
        <f t="shared" si="0"/>
        <v>125000.5</v>
      </c>
      <c r="F15" s="4">
        <f t="shared" si="1"/>
        <v>4.4886363697321396</v>
      </c>
      <c r="G15" s="4">
        <f t="shared" si="2"/>
        <v>11.70767365698061</v>
      </c>
      <c r="H15" s="4">
        <f t="shared" si="3"/>
        <v>52.55148978167805</v>
      </c>
      <c r="I15" s="4">
        <f t="shared" si="4"/>
        <v>137.06962245835774</v>
      </c>
      <c r="K15" s="117" t="s">
        <v>62</v>
      </c>
      <c r="L15" s="117"/>
      <c r="M15">
        <f>1/(2*L11-1)</f>
        <v>0.5748823641433296</v>
      </c>
    </row>
    <row r="16" spans="2:14" x14ac:dyDescent="0.35">
      <c r="B16" s="28">
        <v>150001</v>
      </c>
      <c r="C16" s="29">
        <v>200000</v>
      </c>
      <c r="D16" s="29">
        <v>34</v>
      </c>
      <c r="E16" s="33">
        <f t="shared" si="0"/>
        <v>175000.5</v>
      </c>
      <c r="F16" s="4">
        <f t="shared" si="1"/>
        <v>3.5263605246161616</v>
      </c>
      <c r="G16" s="4">
        <f t="shared" si="2"/>
        <v>12.052341461035777</v>
      </c>
      <c r="H16" s="4">
        <f t="shared" si="3"/>
        <v>42.50090115739124</v>
      </c>
      <c r="I16" s="4">
        <f t="shared" si="4"/>
        <v>145.25893469340201</v>
      </c>
    </row>
    <row r="17" spans="2:9" ht="15" thickBot="1" x14ac:dyDescent="0.4">
      <c r="B17" s="30">
        <v>200001</v>
      </c>
      <c r="C17" s="31">
        <v>250000</v>
      </c>
      <c r="D17" s="31">
        <v>12</v>
      </c>
      <c r="E17" s="33">
        <f t="shared" si="0"/>
        <v>225000.5</v>
      </c>
      <c r="F17" s="4">
        <f t="shared" si="1"/>
        <v>2.4849066497880004</v>
      </c>
      <c r="G17" s="4">
        <f t="shared" si="2"/>
        <v>12.308180125801123</v>
      </c>
      <c r="H17" s="4">
        <f t="shared" si="3"/>
        <v>30.584678641391715</v>
      </c>
      <c r="I17" s="4">
        <f t="shared" si="4"/>
        <v>151.49129800916575</v>
      </c>
    </row>
    <row r="18" spans="2:9" x14ac:dyDescent="0.35">
      <c r="D18">
        <f>SUM(D4:D17)</f>
        <v>221451</v>
      </c>
      <c r="E18" t="s">
        <v>20</v>
      </c>
      <c r="F18" s="34">
        <f>SUM(F4:F17)</f>
        <v>101.36563677455976</v>
      </c>
      <c r="G18" s="34">
        <f t="shared" ref="G18:I18" si="5">SUM(G4:G17)</f>
        <v>139.02575138760989</v>
      </c>
      <c r="H18" s="34">
        <f t="shared" si="5"/>
        <v>938.25255322956502</v>
      </c>
      <c r="I18" s="34">
        <f t="shared" si="5"/>
        <v>1430.4825905472212</v>
      </c>
    </row>
    <row r="19" spans="2:9" x14ac:dyDescent="0.35">
      <c r="E19" t="s">
        <v>55</v>
      </c>
      <c r="F19" s="34">
        <f>AVERAGE(F4:F17)</f>
        <v>7.2404026267542685</v>
      </c>
      <c r="G19" s="34">
        <f t="shared" ref="G19:I19" si="6">AVERAGE(G4:G17)</f>
        <v>9.930410813400707</v>
      </c>
      <c r="H19" s="34">
        <f t="shared" si="6"/>
        <v>67.018039516397508</v>
      </c>
      <c r="I19" s="34">
        <f t="shared" si="6"/>
        <v>102.17732789623008</v>
      </c>
    </row>
  </sheetData>
  <mergeCells count="6">
    <mergeCell ref="K15:L15"/>
    <mergeCell ref="B3:C3"/>
    <mergeCell ref="M4:N4"/>
    <mergeCell ref="M5:N5"/>
    <mergeCell ref="K12:L12"/>
    <mergeCell ref="L13:M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workbookViewId="0">
      <selection activeCell="L9" sqref="L9:L10"/>
    </sheetView>
  </sheetViews>
  <sheetFormatPr defaultRowHeight="14.5" x14ac:dyDescent="0.35"/>
  <cols>
    <col min="14" max="14" width="9.36328125" bestFit="1" customWidth="1"/>
    <col min="17" max="18" width="12.453125" bestFit="1" customWidth="1"/>
  </cols>
  <sheetData>
    <row r="2" spans="1:18" ht="15" thickBot="1" x14ac:dyDescent="0.4"/>
    <row r="3" spans="1:18" ht="17" thickBot="1" x14ac:dyDescent="0.5">
      <c r="A3" s="41" t="s">
        <v>88</v>
      </c>
      <c r="B3" s="55" t="s">
        <v>87</v>
      </c>
      <c r="C3" s="56" t="s">
        <v>89</v>
      </c>
      <c r="D3" s="57" t="s">
        <v>90</v>
      </c>
      <c r="E3" s="52" t="s">
        <v>96</v>
      </c>
      <c r="F3" s="53" t="s">
        <v>91</v>
      </c>
      <c r="G3" s="53" t="s">
        <v>92</v>
      </c>
      <c r="H3" s="53" t="s">
        <v>93</v>
      </c>
      <c r="I3" s="53" t="s">
        <v>94</v>
      </c>
      <c r="J3" s="54" t="s">
        <v>95</v>
      </c>
      <c r="L3" t="s">
        <v>97</v>
      </c>
      <c r="M3">
        <f>F14-(C14^2)/10</f>
        <v>4289.9359999999942</v>
      </c>
    </row>
    <row r="4" spans="1:18" x14ac:dyDescent="0.35">
      <c r="A4" s="41">
        <v>1</v>
      </c>
      <c r="B4" s="42">
        <v>15.9</v>
      </c>
      <c r="C4" s="39">
        <v>12.6</v>
      </c>
      <c r="D4" s="43">
        <v>37.1</v>
      </c>
      <c r="E4" s="62">
        <f>LOG(B4)</f>
        <v>1.2013971243204515</v>
      </c>
      <c r="F4" s="63">
        <f>C4^2</f>
        <v>158.76</v>
      </c>
      <c r="G4" s="63">
        <f>D4^2</f>
        <v>1376.41</v>
      </c>
      <c r="H4" s="63">
        <f>C4*D4</f>
        <v>467.46</v>
      </c>
      <c r="I4" s="63">
        <f>C4*E4</f>
        <v>15.137603766437689</v>
      </c>
      <c r="J4" s="64">
        <f>D4*E4</f>
        <v>44.571833312288753</v>
      </c>
      <c r="L4" t="s">
        <v>98</v>
      </c>
      <c r="M4">
        <f>G14-(D14^2)/10</f>
        <v>641.48500000000058</v>
      </c>
    </row>
    <row r="5" spans="1:18" x14ac:dyDescent="0.35">
      <c r="A5" s="41">
        <v>2</v>
      </c>
      <c r="B5" s="42">
        <v>20</v>
      </c>
      <c r="C5" s="39">
        <v>15.8</v>
      </c>
      <c r="D5" s="43">
        <v>25.2</v>
      </c>
      <c r="E5" s="47">
        <f t="shared" ref="E5:E13" si="0">LOG(B5)</f>
        <v>1.3010299956639813</v>
      </c>
      <c r="F5" s="48">
        <f t="shared" ref="F5:F13" si="1">C5^2</f>
        <v>249.64000000000001</v>
      </c>
      <c r="G5" s="48">
        <f t="shared" ref="G5:G13" si="2">D5^2</f>
        <v>635.04</v>
      </c>
      <c r="H5" s="48">
        <f t="shared" ref="H5:H13" si="3">C5*D5</f>
        <v>398.16</v>
      </c>
      <c r="I5" s="48">
        <f t="shared" ref="I5:I13" si="4">C5*E5</f>
        <v>20.556273931490903</v>
      </c>
      <c r="J5" s="49">
        <f t="shared" ref="J5:J13" si="5">D5*E5</f>
        <v>32.785955890732325</v>
      </c>
      <c r="L5" t="s">
        <v>99</v>
      </c>
      <c r="M5">
        <f>H14-(C14*D14)/10</f>
        <v>679.22999999999774</v>
      </c>
    </row>
    <row r="6" spans="1:18" x14ac:dyDescent="0.35">
      <c r="A6" s="41">
        <v>3</v>
      </c>
      <c r="B6" s="42">
        <v>25.1</v>
      </c>
      <c r="C6" s="39">
        <v>25.2</v>
      </c>
      <c r="D6" s="43">
        <v>32.6</v>
      </c>
      <c r="E6" s="47">
        <f t="shared" si="0"/>
        <v>1.3996737214810382</v>
      </c>
      <c r="F6" s="48">
        <f t="shared" si="1"/>
        <v>635.04</v>
      </c>
      <c r="G6" s="48">
        <f t="shared" si="2"/>
        <v>1062.76</v>
      </c>
      <c r="H6" s="48">
        <f t="shared" si="3"/>
        <v>821.52</v>
      </c>
      <c r="I6" s="48">
        <f t="shared" si="4"/>
        <v>35.271777781322164</v>
      </c>
      <c r="J6" s="49">
        <f t="shared" si="5"/>
        <v>45.629363320281847</v>
      </c>
      <c r="L6" s="40" t="s">
        <v>114</v>
      </c>
      <c r="M6">
        <f>I14-(C14*E14)/10</f>
        <v>37.876423981909625</v>
      </c>
    </row>
    <row r="7" spans="1:18" x14ac:dyDescent="0.35">
      <c r="A7" s="41">
        <v>4</v>
      </c>
      <c r="B7" s="42">
        <v>40.200000000000003</v>
      </c>
      <c r="C7" s="39">
        <v>50.1</v>
      </c>
      <c r="D7" s="43">
        <v>25.4</v>
      </c>
      <c r="E7" s="47">
        <f t="shared" si="0"/>
        <v>1.6042260530844701</v>
      </c>
      <c r="F7" s="48">
        <f t="shared" si="1"/>
        <v>2510.0100000000002</v>
      </c>
      <c r="G7" s="48">
        <f t="shared" si="2"/>
        <v>645.16</v>
      </c>
      <c r="H7" s="48">
        <f t="shared" si="3"/>
        <v>1272.54</v>
      </c>
      <c r="I7" s="48">
        <f t="shared" si="4"/>
        <v>80.371725259531956</v>
      </c>
      <c r="J7" s="49">
        <f t="shared" si="5"/>
        <v>40.747341748345541</v>
      </c>
      <c r="L7" s="60" t="s">
        <v>115</v>
      </c>
      <c r="M7">
        <f>J14-(D14*E14)/10</f>
        <v>6.9447324983524936</v>
      </c>
    </row>
    <row r="8" spans="1:18" ht="21" x14ac:dyDescent="0.5">
      <c r="A8" s="41">
        <v>5</v>
      </c>
      <c r="B8" s="42">
        <v>25.2</v>
      </c>
      <c r="C8" s="39">
        <v>36.6</v>
      </c>
      <c r="D8" s="43">
        <v>31.7</v>
      </c>
      <c r="E8" s="47">
        <f t="shared" si="0"/>
        <v>1.4014005407815442</v>
      </c>
      <c r="F8" s="48">
        <f t="shared" si="1"/>
        <v>1339.5600000000002</v>
      </c>
      <c r="G8" s="48">
        <f t="shared" si="2"/>
        <v>1004.89</v>
      </c>
      <c r="H8" s="48">
        <f t="shared" si="3"/>
        <v>1160.22</v>
      </c>
      <c r="I8" s="48">
        <f t="shared" si="4"/>
        <v>51.291259792604521</v>
      </c>
      <c r="J8" s="49">
        <f t="shared" si="5"/>
        <v>44.42439714277495</v>
      </c>
      <c r="L8" s="134" t="s">
        <v>111</v>
      </c>
      <c r="M8" s="134"/>
    </row>
    <row r="9" spans="1:18" x14ac:dyDescent="0.35">
      <c r="A9" s="41">
        <v>6</v>
      </c>
      <c r="B9" s="42">
        <v>63.3</v>
      </c>
      <c r="C9" s="39">
        <v>63.2</v>
      </c>
      <c r="D9" s="43">
        <v>50.2</v>
      </c>
      <c r="E9" s="47">
        <f t="shared" si="0"/>
        <v>1.801403710017355</v>
      </c>
      <c r="F9" s="48">
        <f t="shared" si="1"/>
        <v>3994.2400000000002</v>
      </c>
      <c r="G9" s="48">
        <f t="shared" si="2"/>
        <v>2520.0400000000004</v>
      </c>
      <c r="H9" s="48">
        <f t="shared" si="3"/>
        <v>3172.6400000000003</v>
      </c>
      <c r="I9" s="48">
        <f t="shared" si="4"/>
        <v>113.84871447309683</v>
      </c>
      <c r="J9" s="49">
        <f t="shared" si="5"/>
        <v>90.430466242871219</v>
      </c>
      <c r="L9" s="133" t="s">
        <v>100</v>
      </c>
      <c r="M9" s="41">
        <f>M3</f>
        <v>4289.9359999999942</v>
      </c>
      <c r="N9">
        <f>M5</f>
        <v>679.22999999999774</v>
      </c>
      <c r="P9" s="133" t="s">
        <v>101</v>
      </c>
      <c r="Q9">
        <f t="array" ref="Q9:R10">MINVERSE(M9:N10)</f>
        <v>2.800539879105916E-4</v>
      </c>
      <c r="R9">
        <v>-2.9653237442576265E-4</v>
      </c>
    </row>
    <row r="10" spans="1:18" x14ac:dyDescent="0.35">
      <c r="A10" s="41">
        <v>7</v>
      </c>
      <c r="B10" s="42">
        <v>50.1</v>
      </c>
      <c r="C10" s="39">
        <v>79.3</v>
      </c>
      <c r="D10" s="43">
        <v>36.799999999999997</v>
      </c>
      <c r="E10" s="47">
        <f t="shared" si="0"/>
        <v>1.6998377258672457</v>
      </c>
      <c r="F10" s="48">
        <f t="shared" si="1"/>
        <v>6288.49</v>
      </c>
      <c r="G10" s="48">
        <f t="shared" si="2"/>
        <v>1354.2399999999998</v>
      </c>
      <c r="H10" s="48">
        <f t="shared" si="3"/>
        <v>2918.24</v>
      </c>
      <c r="I10" s="48">
        <f t="shared" si="4"/>
        <v>134.79713166127257</v>
      </c>
      <c r="J10" s="49">
        <f t="shared" si="5"/>
        <v>62.554028311914635</v>
      </c>
      <c r="L10" s="133"/>
      <c r="M10" s="41">
        <f>M5</f>
        <v>679.22999999999774</v>
      </c>
      <c r="N10" s="25">
        <f>M4</f>
        <v>641.48500000000058</v>
      </c>
      <c r="P10" s="133"/>
      <c r="Q10">
        <v>-2.965323744257626E-4</v>
      </c>
      <c r="R10">
        <v>1.8728632542946587E-3</v>
      </c>
    </row>
    <row r="11" spans="1:18" x14ac:dyDescent="0.35">
      <c r="A11" s="41">
        <v>8</v>
      </c>
      <c r="B11" s="42">
        <v>79.5</v>
      </c>
      <c r="C11" s="39">
        <v>39.799999999999997</v>
      </c>
      <c r="D11" s="43">
        <v>31.6</v>
      </c>
      <c r="E11" s="47">
        <f t="shared" si="0"/>
        <v>1.9003671286564703</v>
      </c>
      <c r="F11" s="48">
        <f t="shared" si="1"/>
        <v>1584.0399999999997</v>
      </c>
      <c r="G11" s="48">
        <f t="shared" si="2"/>
        <v>998.56000000000006</v>
      </c>
      <c r="H11" s="48">
        <f t="shared" si="3"/>
        <v>1257.68</v>
      </c>
      <c r="I11" s="48">
        <f t="shared" si="4"/>
        <v>75.634611720527516</v>
      </c>
      <c r="J11" s="49">
        <f t="shared" si="5"/>
        <v>60.051601265544463</v>
      </c>
    </row>
    <row r="12" spans="1:18" x14ac:dyDescent="0.35">
      <c r="A12" s="41">
        <v>9</v>
      </c>
      <c r="B12" s="42">
        <v>15.9</v>
      </c>
      <c r="C12" s="39">
        <v>15.8</v>
      </c>
      <c r="D12" s="43">
        <v>27</v>
      </c>
      <c r="E12" s="47">
        <f t="shared" si="0"/>
        <v>1.2013971243204515</v>
      </c>
      <c r="F12" s="48">
        <f t="shared" si="1"/>
        <v>249.64000000000001</v>
      </c>
      <c r="G12" s="48">
        <f t="shared" si="2"/>
        <v>729</v>
      </c>
      <c r="H12" s="48">
        <f t="shared" si="3"/>
        <v>426.6</v>
      </c>
      <c r="I12" s="48">
        <f t="shared" si="4"/>
        <v>18.982074564263137</v>
      </c>
      <c r="J12" s="49">
        <f t="shared" si="5"/>
        <v>32.437722356652195</v>
      </c>
      <c r="L12" s="133" t="s">
        <v>100</v>
      </c>
      <c r="M12">
        <f>M6</f>
        <v>37.876423981909625</v>
      </c>
      <c r="Q12" t="s">
        <v>107</v>
      </c>
      <c r="R12" t="s">
        <v>108</v>
      </c>
    </row>
    <row r="13" spans="1:18" ht="15" thickBot="1" x14ac:dyDescent="0.4">
      <c r="A13" s="41">
        <v>10</v>
      </c>
      <c r="B13" s="44">
        <v>31.3</v>
      </c>
      <c r="C13" s="45">
        <v>39.799999999999997</v>
      </c>
      <c r="D13" s="46">
        <v>19.899999999999999</v>
      </c>
      <c r="E13" s="65">
        <f t="shared" si="0"/>
        <v>1.4955443375464486</v>
      </c>
      <c r="F13" s="50">
        <f t="shared" si="1"/>
        <v>1584.0399999999997</v>
      </c>
      <c r="G13" s="50">
        <f t="shared" si="2"/>
        <v>396.00999999999993</v>
      </c>
      <c r="H13" s="50">
        <f t="shared" si="3"/>
        <v>792.01999999999987</v>
      </c>
      <c r="I13" s="50">
        <f t="shared" si="4"/>
        <v>59.522664634348651</v>
      </c>
      <c r="J13" s="51">
        <f t="shared" si="5"/>
        <v>29.761332317174325</v>
      </c>
      <c r="L13" s="133"/>
      <c r="M13">
        <f>M7</f>
        <v>6.9447324983524936</v>
      </c>
      <c r="Q13">
        <f>LOG(C4)</f>
        <v>1.1003705451175629</v>
      </c>
      <c r="R13">
        <f>LOG(D4)</f>
        <v>1.5693739096150459</v>
      </c>
    </row>
    <row r="14" spans="1:18" x14ac:dyDescent="0.35">
      <c r="A14" t="s">
        <v>20</v>
      </c>
      <c r="B14">
        <f>SUM(B4:B13)</f>
        <v>366.49999999999994</v>
      </c>
      <c r="C14" s="40">
        <f t="shared" ref="C14:J14" si="6">SUM(C4:C13)</f>
        <v>378.20000000000005</v>
      </c>
      <c r="D14" s="40">
        <f t="shared" si="6"/>
        <v>317.5</v>
      </c>
      <c r="E14" s="40">
        <f t="shared" si="6"/>
        <v>15.006277461739456</v>
      </c>
      <c r="F14" s="40">
        <f t="shared" si="6"/>
        <v>18593.46</v>
      </c>
      <c r="G14" s="40">
        <f t="shared" si="6"/>
        <v>10722.11</v>
      </c>
      <c r="H14" s="40">
        <f t="shared" si="6"/>
        <v>12687.08</v>
      </c>
      <c r="I14" s="40">
        <f t="shared" si="6"/>
        <v>605.41383758489587</v>
      </c>
      <c r="J14" s="40">
        <f t="shared" si="6"/>
        <v>483.39404190858028</v>
      </c>
      <c r="Q14" s="40">
        <f t="shared" ref="Q14:Q22" si="7">LOG(C5)</f>
        <v>1.1986570869544226</v>
      </c>
      <c r="R14" s="40">
        <f t="shared" ref="R14:R22" si="8">LOG(D5)</f>
        <v>1.4014005407815442</v>
      </c>
    </row>
    <row r="15" spans="1:18" x14ac:dyDescent="0.35">
      <c r="A15" t="s">
        <v>55</v>
      </c>
      <c r="B15">
        <f>AVERAGE(B4:B13)</f>
        <v>36.649999999999991</v>
      </c>
      <c r="C15" s="40">
        <f t="shared" ref="C15:J15" si="9">AVERAGE(C4:C13)</f>
        <v>37.820000000000007</v>
      </c>
      <c r="D15" s="40">
        <f t="shared" si="9"/>
        <v>31.75</v>
      </c>
      <c r="E15" s="40">
        <f t="shared" si="9"/>
        <v>1.5006277461739457</v>
      </c>
      <c r="F15" s="40">
        <f t="shared" si="9"/>
        <v>1859.346</v>
      </c>
      <c r="G15" s="40">
        <f t="shared" si="9"/>
        <v>1072.211</v>
      </c>
      <c r="H15" s="40">
        <f t="shared" si="9"/>
        <v>1268.7080000000001</v>
      </c>
      <c r="I15" s="40">
        <f t="shared" si="9"/>
        <v>60.541383758489587</v>
      </c>
      <c r="J15" s="40">
        <f t="shared" si="9"/>
        <v>48.339404190858026</v>
      </c>
      <c r="L15" s="133" t="s">
        <v>56</v>
      </c>
      <c r="M15" s="59">
        <f t="array" ref="M15:M16">MMULT(MINVERSE(M9:N10),M12:M13)</f>
        <v>8.5481055664379368E-3</v>
      </c>
      <c r="Q15" s="40">
        <f t="shared" si="7"/>
        <v>1.4014005407815442</v>
      </c>
      <c r="R15" s="40">
        <f t="shared" si="8"/>
        <v>1.5132176000679389</v>
      </c>
    </row>
    <row r="16" spans="1:18" x14ac:dyDescent="0.35">
      <c r="C16" t="s">
        <v>102</v>
      </c>
      <c r="D16" t="s">
        <v>103</v>
      </c>
      <c r="E16" t="s">
        <v>104</v>
      </c>
      <c r="L16" s="133"/>
      <c r="M16" s="59">
        <v>1.7749483689577673E-3</v>
      </c>
      <c r="Q16" s="40">
        <f t="shared" si="7"/>
        <v>1.6998377258672457</v>
      </c>
      <c r="R16" s="40">
        <f t="shared" si="8"/>
        <v>1.4048337166199381</v>
      </c>
    </row>
    <row r="17" spans="2:18" x14ac:dyDescent="0.35">
      <c r="Q17" s="40">
        <f t="shared" si="7"/>
        <v>1.5634810853944108</v>
      </c>
      <c r="R17" s="40">
        <f t="shared" si="8"/>
        <v>1.5010592622177514</v>
      </c>
    </row>
    <row r="18" spans="2:18" x14ac:dyDescent="0.35">
      <c r="B18" s="117" t="s">
        <v>112</v>
      </c>
      <c r="C18" s="117"/>
      <c r="D18" s="117" t="s">
        <v>113</v>
      </c>
      <c r="E18" s="117"/>
      <c r="L18" s="60" t="s">
        <v>105</v>
      </c>
      <c r="M18">
        <f>E15-(M15*C15)-(M16*D15)</f>
        <v>1.1209837829368539</v>
      </c>
      <c r="Q18" s="40">
        <f t="shared" si="7"/>
        <v>1.8007170782823851</v>
      </c>
      <c r="R18" s="40">
        <f t="shared" si="8"/>
        <v>1.7007037171450194</v>
      </c>
    </row>
    <row r="19" spans="2:18" x14ac:dyDescent="0.35">
      <c r="C19" t="s">
        <v>130</v>
      </c>
      <c r="L19" s="60" t="s">
        <v>106</v>
      </c>
      <c r="M19">
        <f>EXP(M18)</f>
        <v>3.0678708381758097</v>
      </c>
      <c r="Q19" s="40">
        <f t="shared" si="7"/>
        <v>1.8992731873176039</v>
      </c>
      <c r="R19" s="40">
        <f t="shared" si="8"/>
        <v>1.5658478186735176</v>
      </c>
    </row>
    <row r="20" spans="2:18" x14ac:dyDescent="0.35">
      <c r="C20" t="s">
        <v>116</v>
      </c>
      <c r="D20">
        <f>M5</f>
        <v>679.22999999999774</v>
      </c>
      <c r="Q20" s="40">
        <f t="shared" si="7"/>
        <v>1.5998830720736879</v>
      </c>
      <c r="R20" s="40">
        <f t="shared" si="8"/>
        <v>1.4996870826184039</v>
      </c>
    </row>
    <row r="21" spans="2:18" x14ac:dyDescent="0.35">
      <c r="C21" t="s">
        <v>117</v>
      </c>
      <c r="D21">
        <f>M3</f>
        <v>4289.9359999999942</v>
      </c>
      <c r="Q21" s="40">
        <f t="shared" si="7"/>
        <v>1.1986570869544226</v>
      </c>
      <c r="R21" s="40">
        <f t="shared" si="8"/>
        <v>1.4313637641589874</v>
      </c>
    </row>
    <row r="22" spans="2:18" x14ac:dyDescent="0.35">
      <c r="C22" t="s">
        <v>118</v>
      </c>
      <c r="D22">
        <f>M4</f>
        <v>641.48500000000058</v>
      </c>
      <c r="Q22" s="40">
        <f t="shared" si="7"/>
        <v>1.5998830720736879</v>
      </c>
      <c r="R22" s="40">
        <f t="shared" si="8"/>
        <v>1.2988530764097066</v>
      </c>
    </row>
    <row r="23" spans="2:18" x14ac:dyDescent="0.35">
      <c r="Q23" s="40"/>
      <c r="R23" s="40"/>
    </row>
    <row r="24" spans="2:18" ht="20.5" x14ac:dyDescent="0.55000000000000004">
      <c r="C24" s="66" t="s">
        <v>119</v>
      </c>
      <c r="D24">
        <f>D20/SQRT(D21*D22)</f>
        <v>0.40944747765583878</v>
      </c>
    </row>
    <row r="25" spans="2:18" ht="17.5" x14ac:dyDescent="0.45">
      <c r="B25" t="s">
        <v>120</v>
      </c>
      <c r="C25" t="s">
        <v>121</v>
      </c>
      <c r="D25">
        <f>1-D24^2</f>
        <v>0.83235276304127137</v>
      </c>
      <c r="I25" s="67" t="s">
        <v>88</v>
      </c>
      <c r="J25" s="68" t="s">
        <v>87</v>
      </c>
      <c r="K25" s="68" t="s">
        <v>124</v>
      </c>
      <c r="L25" s="68" t="s">
        <v>125</v>
      </c>
      <c r="M25" s="70" t="s">
        <v>126</v>
      </c>
      <c r="N25" s="70" t="s">
        <v>127</v>
      </c>
      <c r="O25" s="70" t="s">
        <v>128</v>
      </c>
    </row>
    <row r="26" spans="2:18" x14ac:dyDescent="0.35">
      <c r="B26" s="60"/>
      <c r="C26" s="40" t="s">
        <v>122</v>
      </c>
      <c r="D26">
        <f>-(10-1-(1/6*(2*2+5)))*LOG(D25)</f>
        <v>0.59769430847312155</v>
      </c>
      <c r="I26" s="58">
        <v>11</v>
      </c>
      <c r="J26" s="69">
        <v>35.6</v>
      </c>
      <c r="K26" s="69">
        <v>35.700000000000003</v>
      </c>
      <c r="L26" s="69">
        <v>15.8</v>
      </c>
      <c r="M26">
        <f>K26^2</f>
        <v>1274.4900000000002</v>
      </c>
      <c r="N26">
        <f>L26^2</f>
        <v>249.64000000000001</v>
      </c>
      <c r="O26">
        <f>K26*L26</f>
        <v>564.06000000000006</v>
      </c>
    </row>
    <row r="27" spans="2:18" x14ac:dyDescent="0.35">
      <c r="C27" t="s">
        <v>43</v>
      </c>
      <c r="D27">
        <f>_xlfn.CHISQ.DIST.RT(D26,1)</f>
        <v>0.43945910654661668</v>
      </c>
      <c r="I27" s="58">
        <v>12</v>
      </c>
      <c r="J27" s="69">
        <v>28.4</v>
      </c>
      <c r="K27" s="69">
        <v>32.299999999999997</v>
      </c>
      <c r="L27" s="69">
        <v>18.600000000000001</v>
      </c>
      <c r="M27" s="40">
        <f t="shared" ref="M27:M30" si="10">K27^2</f>
        <v>1043.2899999999997</v>
      </c>
      <c r="N27" s="40">
        <f t="shared" ref="N27:N30" si="11">L27^2</f>
        <v>345.96000000000004</v>
      </c>
      <c r="O27" s="40">
        <f t="shared" ref="O27:O30" si="12">K27*L27</f>
        <v>600.78</v>
      </c>
    </row>
    <row r="28" spans="2:18" x14ac:dyDescent="0.35">
      <c r="C28" s="40" t="s">
        <v>123</v>
      </c>
      <c r="D28">
        <f>_xlfn.CHISQ.INV.RT(0.05, 1)</f>
        <v>3.8414588206941236</v>
      </c>
      <c r="I28" s="58">
        <v>13</v>
      </c>
      <c r="J28" s="69">
        <v>33.299999999999997</v>
      </c>
      <c r="K28" s="69">
        <v>40.799999999999997</v>
      </c>
      <c r="L28" s="69">
        <v>17.899999999999999</v>
      </c>
      <c r="M28" s="40">
        <f t="shared" si="10"/>
        <v>1664.6399999999999</v>
      </c>
      <c r="N28" s="40">
        <f t="shared" si="11"/>
        <v>320.40999999999997</v>
      </c>
      <c r="O28" s="40">
        <f t="shared" si="12"/>
        <v>730.31999999999994</v>
      </c>
    </row>
    <row r="29" spans="2:18" x14ac:dyDescent="0.35">
      <c r="I29" s="58">
        <v>14</v>
      </c>
      <c r="J29" s="69">
        <v>41.2</v>
      </c>
      <c r="K29" s="69">
        <v>41.2</v>
      </c>
      <c r="L29" s="69">
        <v>23.9</v>
      </c>
      <c r="M29" s="40">
        <f t="shared" si="10"/>
        <v>1697.4400000000003</v>
      </c>
      <c r="N29" s="40">
        <f t="shared" si="11"/>
        <v>571.20999999999992</v>
      </c>
      <c r="O29" s="40">
        <f t="shared" si="12"/>
        <v>984.68000000000006</v>
      </c>
    </row>
    <row r="30" spans="2:18" x14ac:dyDescent="0.35">
      <c r="I30" s="58">
        <v>15</v>
      </c>
      <c r="J30" s="69">
        <v>39.1</v>
      </c>
      <c r="K30" s="69">
        <v>38.700000000000003</v>
      </c>
      <c r="L30" s="69">
        <v>19.2</v>
      </c>
      <c r="M30" s="40">
        <f t="shared" si="10"/>
        <v>1497.6900000000003</v>
      </c>
      <c r="N30" s="40">
        <f t="shared" si="11"/>
        <v>368.64</v>
      </c>
      <c r="O30" s="40">
        <f t="shared" si="12"/>
        <v>743.04000000000008</v>
      </c>
    </row>
    <row r="31" spans="2:18" x14ac:dyDescent="0.35">
      <c r="I31" t="s">
        <v>20</v>
      </c>
      <c r="J31">
        <f>SUM(J26:J30)</f>
        <v>177.6</v>
      </c>
      <c r="K31" s="40">
        <f t="shared" ref="K31:O31" si="13">SUM(K26:K30)</f>
        <v>188.7</v>
      </c>
      <c r="L31" s="40">
        <f t="shared" si="13"/>
        <v>95.4</v>
      </c>
      <c r="M31" s="40">
        <f t="shared" si="13"/>
        <v>7177.55</v>
      </c>
      <c r="N31" s="40">
        <f t="shared" si="13"/>
        <v>1855.8599999999997</v>
      </c>
      <c r="O31" s="40">
        <f t="shared" si="13"/>
        <v>3622.88</v>
      </c>
    </row>
    <row r="32" spans="2:18" x14ac:dyDescent="0.35">
      <c r="I32" t="s">
        <v>129</v>
      </c>
    </row>
    <row r="33" spans="10:17" x14ac:dyDescent="0.35">
      <c r="J33" s="40" t="s">
        <v>116</v>
      </c>
      <c r="K33">
        <f>O31-(K31*L31)/5</f>
        <v>22.484000000000378</v>
      </c>
      <c r="P33" s="40" t="s">
        <v>122</v>
      </c>
      <c r="Q33" s="72">
        <f>-(5-1-1/6*(2*2+5))*LOG(O35)</f>
        <v>0.75979090643484515</v>
      </c>
    </row>
    <row r="34" spans="10:17" ht="20.5" x14ac:dyDescent="0.55000000000000004">
      <c r="J34" s="40" t="s">
        <v>117</v>
      </c>
      <c r="K34">
        <f>M31-K31^2/5</f>
        <v>56.012000000001535</v>
      </c>
      <c r="M34" s="40"/>
      <c r="N34" s="66" t="s">
        <v>119</v>
      </c>
      <c r="O34" s="71">
        <f>K33/SQRT(K34*K35)</f>
        <v>0.50331203445358697</v>
      </c>
      <c r="P34" s="40" t="s">
        <v>43</v>
      </c>
      <c r="Q34">
        <f>_xlfn.CHISQ.DIST.RT(Q33, 1)</f>
        <v>0.38339396586085245</v>
      </c>
    </row>
    <row r="35" spans="10:17" ht="17.5" x14ac:dyDescent="0.45">
      <c r="J35" s="40" t="s">
        <v>118</v>
      </c>
      <c r="K35">
        <f>N31-L31^2/5</f>
        <v>35.627999999999247</v>
      </c>
      <c r="M35" s="40" t="s">
        <v>120</v>
      </c>
      <c r="N35" s="40" t="s">
        <v>121</v>
      </c>
      <c r="O35" s="71">
        <f>1-O34</f>
        <v>0.49668796554641303</v>
      </c>
      <c r="P35" s="40" t="s">
        <v>123</v>
      </c>
      <c r="Q35">
        <f>CHIINV(0.05,1)</f>
        <v>3.8414588206941236</v>
      </c>
    </row>
  </sheetData>
  <mergeCells count="7">
    <mergeCell ref="P9:P10"/>
    <mergeCell ref="L15:L16"/>
    <mergeCell ref="L8:M8"/>
    <mergeCell ref="B18:C18"/>
    <mergeCell ref="D18:E18"/>
    <mergeCell ref="L12:L13"/>
    <mergeCell ref="L9:L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3"/>
  <sheetViews>
    <sheetView topLeftCell="A19" workbookViewId="0">
      <selection activeCell="P32" sqref="P32"/>
    </sheetView>
  </sheetViews>
  <sheetFormatPr defaultRowHeight="14.5" x14ac:dyDescent="0.35"/>
  <cols>
    <col min="6" max="6" width="1.81640625" customWidth="1"/>
    <col min="10" max="10" width="11.7265625" bestFit="1" customWidth="1"/>
    <col min="11" max="11" width="10.36328125" customWidth="1"/>
  </cols>
  <sheetData>
    <row r="2" spans="2:19" ht="15" thickBot="1" x14ac:dyDescent="0.4"/>
    <row r="3" spans="2:19" ht="15" thickBot="1" x14ac:dyDescent="0.4">
      <c r="B3" s="73" t="s">
        <v>88</v>
      </c>
      <c r="C3" s="73" t="s">
        <v>87</v>
      </c>
      <c r="D3" s="73" t="s">
        <v>124</v>
      </c>
      <c r="E3" s="73" t="s">
        <v>125</v>
      </c>
      <c r="G3" s="76" t="s">
        <v>131</v>
      </c>
      <c r="H3" s="77" t="s">
        <v>132</v>
      </c>
      <c r="I3" s="77" t="s">
        <v>133</v>
      </c>
      <c r="J3" s="77" t="s">
        <v>134</v>
      </c>
      <c r="K3" s="77" t="s">
        <v>135</v>
      </c>
      <c r="L3" s="77" t="s">
        <v>136</v>
      </c>
      <c r="M3" s="77" t="s">
        <v>137</v>
      </c>
      <c r="N3" s="77" t="s">
        <v>138</v>
      </c>
      <c r="O3" s="77" t="s">
        <v>139</v>
      </c>
      <c r="P3" s="77" t="s">
        <v>140</v>
      </c>
      <c r="Q3" s="77" t="s">
        <v>141</v>
      </c>
      <c r="R3" s="77" t="s">
        <v>142</v>
      </c>
      <c r="S3" s="78" t="s">
        <v>143</v>
      </c>
    </row>
    <row r="4" spans="2:19" x14ac:dyDescent="0.35">
      <c r="B4" s="74">
        <v>1</v>
      </c>
      <c r="C4" s="75">
        <v>15.9</v>
      </c>
      <c r="D4" s="75">
        <v>12.6</v>
      </c>
      <c r="E4" s="75">
        <v>37.1</v>
      </c>
      <c r="G4" s="79">
        <f>LOG(C4)</f>
        <v>1.2013971243204515</v>
      </c>
      <c r="H4" s="80">
        <f>LOG(D4)</f>
        <v>1.1003705451175629</v>
      </c>
      <c r="I4" s="80">
        <f t="shared" ref="H4:I18" si="0">LOG(E4)</f>
        <v>1.5693739096150459</v>
      </c>
      <c r="J4" s="80">
        <f>(H4-I4)^2</f>
        <v>0.21996415590995883</v>
      </c>
      <c r="K4" s="80">
        <f>H4^2</f>
        <v>1.2108153365623227</v>
      </c>
      <c r="L4" s="80">
        <f>I4^2</f>
        <v>2.4629344681804142</v>
      </c>
      <c r="M4" s="80">
        <f>J4^2</f>
        <v>4.8384229885180673E-2</v>
      </c>
      <c r="N4" s="80">
        <f>H4*I4</f>
        <v>1.726892824416389</v>
      </c>
      <c r="O4" s="80">
        <f>H4*J4</f>
        <v>0.24204207814496601</v>
      </c>
      <c r="P4" s="80">
        <f>I4*J4</f>
        <v>0.3452060073355856</v>
      </c>
      <c r="Q4" s="80">
        <f>H4*$G4</f>
        <v>1.3219820085911678</v>
      </c>
      <c r="R4" s="80">
        <f>I4*$G4</f>
        <v>1.8854413019950602</v>
      </c>
      <c r="S4" s="81">
        <f>J4*$G4</f>
        <v>0.2642643043638</v>
      </c>
    </row>
    <row r="5" spans="2:19" x14ac:dyDescent="0.35">
      <c r="B5" s="74">
        <v>2</v>
      </c>
      <c r="C5" s="75">
        <v>20</v>
      </c>
      <c r="D5" s="75">
        <v>15.8</v>
      </c>
      <c r="E5" s="75">
        <v>25.2</v>
      </c>
      <c r="G5" s="82">
        <f t="shared" ref="G5:G18" si="1">LOG(C5)</f>
        <v>1.3010299956639813</v>
      </c>
      <c r="H5" s="83">
        <f t="shared" si="0"/>
        <v>1.1986570869544226</v>
      </c>
      <c r="I5" s="83">
        <f t="shared" si="0"/>
        <v>1.4014005407815442</v>
      </c>
      <c r="J5" s="83">
        <f t="shared" ref="J5:J18" si="2">(H5-I5)^2</f>
        <v>4.1104908069750173E-2</v>
      </c>
      <c r="K5" s="83">
        <f t="shared" ref="K5:K18" si="3">H5^2</f>
        <v>1.4367788121060623</v>
      </c>
      <c r="L5" s="83">
        <f t="shared" ref="L5:L18" si="4">I5^2</f>
        <v>1.9639234757028046</v>
      </c>
      <c r="M5" s="83">
        <f t="shared" ref="M5:M18" si="5">J5^2</f>
        <v>1.689613467422613E-3</v>
      </c>
      <c r="N5" s="83">
        <f t="shared" ref="N5:N18" si="6">H5*I5</f>
        <v>1.6797986898695583</v>
      </c>
      <c r="O5" s="83">
        <f t="shared" ref="O5:O18" si="7">H5*J5</f>
        <v>4.9270689366416084E-2</v>
      </c>
      <c r="P5" s="83">
        <f t="shared" ref="P5:P18" si="8">I5*J5</f>
        <v>5.7604440397723555E-2</v>
      </c>
      <c r="Q5" s="83">
        <f t="shared" ref="Q5:Q18" si="9">H5*$G5</f>
        <v>1.5594888246429128</v>
      </c>
      <c r="R5" s="83">
        <f t="shared" ref="R5:R18" si="10">I5*$G5</f>
        <v>1.8232641394965134</v>
      </c>
      <c r="S5" s="84">
        <f t="shared" ref="S5:S18" si="11">J5*$G5</f>
        <v>5.3478718367755418E-2</v>
      </c>
    </row>
    <row r="6" spans="2:19" x14ac:dyDescent="0.35">
      <c r="B6" s="74">
        <v>3</v>
      </c>
      <c r="C6" s="75">
        <v>25.1</v>
      </c>
      <c r="D6" s="75">
        <v>25.2</v>
      </c>
      <c r="E6" s="75">
        <v>32.6</v>
      </c>
      <c r="G6" s="82">
        <f t="shared" si="1"/>
        <v>1.3996737214810382</v>
      </c>
      <c r="H6" s="83">
        <f t="shared" si="0"/>
        <v>1.4014005407815442</v>
      </c>
      <c r="I6" s="83">
        <f t="shared" si="0"/>
        <v>1.5132176000679389</v>
      </c>
      <c r="J6" s="83">
        <f t="shared" si="2"/>
        <v>1.2503054747457115E-2</v>
      </c>
      <c r="K6" s="83">
        <f t="shared" si="3"/>
        <v>1.9639234757028046</v>
      </c>
      <c r="L6" s="83">
        <f t="shared" si="4"/>
        <v>2.2898275051553729</v>
      </c>
      <c r="M6" s="83">
        <f t="shared" si="5"/>
        <v>1.563263780179099E-4</v>
      </c>
      <c r="N6" s="83">
        <f t="shared" si="6"/>
        <v>2.1206239630553601</v>
      </c>
      <c r="O6" s="83">
        <f t="shared" si="7"/>
        <v>1.7521787684507656E-2</v>
      </c>
      <c r="P6" s="83">
        <f t="shared" si="8"/>
        <v>1.8919842498465105E-2</v>
      </c>
      <c r="Q6" s="83">
        <f t="shared" si="9"/>
        <v>1.9615035102012435</v>
      </c>
      <c r="R6" s="83">
        <f t="shared" si="10"/>
        <v>2.1180109096976976</v>
      </c>
      <c r="S6" s="84">
        <f t="shared" si="11"/>
        <v>1.7500197168254461E-2</v>
      </c>
    </row>
    <row r="7" spans="2:19" x14ac:dyDescent="0.35">
      <c r="B7" s="74">
        <v>4</v>
      </c>
      <c r="C7" s="75">
        <v>40.200000000000003</v>
      </c>
      <c r="D7" s="75">
        <v>50.1</v>
      </c>
      <c r="E7" s="75">
        <v>25.4</v>
      </c>
      <c r="G7" s="82">
        <f t="shared" si="1"/>
        <v>1.6042260530844701</v>
      </c>
      <c r="H7" s="83">
        <f t="shared" si="0"/>
        <v>1.6998377258672457</v>
      </c>
      <c r="I7" s="83">
        <f t="shared" si="0"/>
        <v>1.4048337166199381</v>
      </c>
      <c r="J7" s="83">
        <f t="shared" si="2"/>
        <v>8.7027365471985571E-2</v>
      </c>
      <c r="K7" s="83">
        <f t="shared" si="3"/>
        <v>2.8894482942815296</v>
      </c>
      <c r="L7" s="83">
        <f t="shared" si="4"/>
        <v>1.9735577713521884</v>
      </c>
      <c r="M7" s="83">
        <f t="shared" si="5"/>
        <v>7.5737623409945463E-3</v>
      </c>
      <c r="N7" s="83">
        <f t="shared" si="6"/>
        <v>2.3879893500808662</v>
      </c>
      <c r="O7" s="83">
        <f t="shared" si="7"/>
        <v>0.1479323990121176</v>
      </c>
      <c r="P7" s="83">
        <f t="shared" si="8"/>
        <v>0.12225897728365116</v>
      </c>
      <c r="Q7" s="83">
        <f t="shared" si="9"/>
        <v>2.7269239658520932</v>
      </c>
      <c r="R7" s="83">
        <f t="shared" si="10"/>
        <v>2.25367084845319</v>
      </c>
      <c r="S7" s="84">
        <f t="shared" si="11"/>
        <v>0.1396115670214631</v>
      </c>
    </row>
    <row r="8" spans="2:19" x14ac:dyDescent="0.35">
      <c r="B8" s="74">
        <v>5</v>
      </c>
      <c r="C8" s="75">
        <v>25.2</v>
      </c>
      <c r="D8" s="75">
        <v>36.6</v>
      </c>
      <c r="E8" s="75">
        <v>31.7</v>
      </c>
      <c r="G8" s="82">
        <f t="shared" si="1"/>
        <v>1.4014005407815442</v>
      </c>
      <c r="H8" s="83">
        <f t="shared" si="0"/>
        <v>1.5634810853944108</v>
      </c>
      <c r="I8" s="83">
        <f t="shared" si="0"/>
        <v>1.5010592622177514</v>
      </c>
      <c r="J8" s="83">
        <f t="shared" si="2"/>
        <v>3.8964840086981251E-3</v>
      </c>
      <c r="K8" s="83">
        <f t="shared" si="3"/>
        <v>2.444473104386085</v>
      </c>
      <c r="L8" s="83">
        <f t="shared" si="4"/>
        <v>2.2531789086897001</v>
      </c>
      <c r="M8" s="83">
        <f t="shared" si="5"/>
        <v>1.518258763004021E-5</v>
      </c>
      <c r="N8" s="83">
        <f t="shared" si="6"/>
        <v>2.3468777645335432</v>
      </c>
      <c r="O8" s="83">
        <f t="shared" si="7"/>
        <v>6.0920790471413093E-3</v>
      </c>
      <c r="P8" s="83">
        <f t="shared" si="8"/>
        <v>5.8488534113396743E-3</v>
      </c>
      <c r="Q8" s="83">
        <f t="shared" si="9"/>
        <v>2.191063238573443</v>
      </c>
      <c r="R8" s="83">
        <f t="shared" si="10"/>
        <v>2.1035852618171025</v>
      </c>
      <c r="S8" s="84">
        <f t="shared" si="11"/>
        <v>5.4605347969361919E-3</v>
      </c>
    </row>
    <row r="9" spans="2:19" x14ac:dyDescent="0.35">
      <c r="B9" s="74">
        <v>6</v>
      </c>
      <c r="C9" s="75">
        <v>63.3</v>
      </c>
      <c r="D9" s="75">
        <v>63.2</v>
      </c>
      <c r="E9" s="75">
        <v>50.2</v>
      </c>
      <c r="G9" s="82">
        <f t="shared" si="1"/>
        <v>1.801403710017355</v>
      </c>
      <c r="H9" s="83">
        <f t="shared" si="0"/>
        <v>1.8007170782823851</v>
      </c>
      <c r="I9" s="83">
        <f t="shared" si="0"/>
        <v>1.7007037171450194</v>
      </c>
      <c r="J9" s="83">
        <f t="shared" si="2"/>
        <v>1.000267240599313E-2</v>
      </c>
      <c r="K9" s="83">
        <f t="shared" si="3"/>
        <v>3.2425819960178495</v>
      </c>
      <c r="L9" s="83">
        <f t="shared" si="4"/>
        <v>2.8923931335108861</v>
      </c>
      <c r="M9" s="83">
        <f t="shared" si="5"/>
        <v>1.000534552616164E-4</v>
      </c>
      <c r="N9" s="83">
        <f t="shared" si="6"/>
        <v>3.0624862285613714</v>
      </c>
      <c r="O9" s="83">
        <f t="shared" si="7"/>
        <v>1.8011983029935785E-2</v>
      </c>
      <c r="P9" s="83">
        <f t="shared" si="8"/>
        <v>1.7011582142256433E-2</v>
      </c>
      <c r="Q9" s="83">
        <f t="shared" si="9"/>
        <v>3.2438184255095006</v>
      </c>
      <c r="R9" s="83">
        <f t="shared" si="10"/>
        <v>3.0636539857053444</v>
      </c>
      <c r="S9" s="84">
        <f t="shared" si="11"/>
        <v>1.8018851182244246E-2</v>
      </c>
    </row>
    <row r="10" spans="2:19" x14ac:dyDescent="0.35">
      <c r="B10" s="74">
        <v>7</v>
      </c>
      <c r="C10" s="75">
        <v>50.1</v>
      </c>
      <c r="D10" s="75">
        <v>79.3</v>
      </c>
      <c r="E10" s="75">
        <v>36.799999999999997</v>
      </c>
      <c r="G10" s="82">
        <f t="shared" si="1"/>
        <v>1.6998377258672457</v>
      </c>
      <c r="H10" s="83">
        <f t="shared" si="0"/>
        <v>1.8992731873176039</v>
      </c>
      <c r="I10" s="83">
        <f t="shared" si="0"/>
        <v>1.5658478186735176</v>
      </c>
      <c r="J10" s="83">
        <f t="shared" si="2"/>
        <v>0.1111724764554448</v>
      </c>
      <c r="K10" s="83">
        <f t="shared" si="3"/>
        <v>3.6072386400635699</v>
      </c>
      <c r="L10" s="83">
        <f t="shared" si="4"/>
        <v>2.4518793912446135</v>
      </c>
      <c r="M10" s="83">
        <f t="shared" si="5"/>
        <v>1.2359319521236428E-2</v>
      </c>
      <c r="N10" s="83">
        <f t="shared" si="6"/>
        <v>2.9739727774263693</v>
      </c>
      <c r="O10" s="83">
        <f t="shared" si="7"/>
        <v>0.21114690369952391</v>
      </c>
      <c r="P10" s="83">
        <f t="shared" si="8"/>
        <v>0.17407917975429124</v>
      </c>
      <c r="Q10" s="83">
        <f t="shared" si="9"/>
        <v>3.2284562155305911</v>
      </c>
      <c r="R10" s="83">
        <f t="shared" si="10"/>
        <v>2.6616871951481795</v>
      </c>
      <c r="S10" s="84">
        <f t="shared" si="11"/>
        <v>0.18897516955705321</v>
      </c>
    </row>
    <row r="11" spans="2:19" x14ac:dyDescent="0.35">
      <c r="B11" s="74">
        <v>8</v>
      </c>
      <c r="C11" s="75">
        <v>79.5</v>
      </c>
      <c r="D11" s="75">
        <v>39.799999999999997</v>
      </c>
      <c r="E11" s="75">
        <v>31.6</v>
      </c>
      <c r="G11" s="82">
        <f t="shared" si="1"/>
        <v>1.9003671286564703</v>
      </c>
      <c r="H11" s="83">
        <f t="shared" si="0"/>
        <v>1.5998830720736879</v>
      </c>
      <c r="I11" s="83">
        <f t="shared" si="0"/>
        <v>1.4996870826184039</v>
      </c>
      <c r="J11" s="83">
        <f t="shared" si="2"/>
        <v>1.0039236302923376E-2</v>
      </c>
      <c r="K11" s="83">
        <f t="shared" si="3"/>
        <v>2.5596258443079409</v>
      </c>
      <c r="L11" s="83">
        <f t="shared" si="4"/>
        <v>2.2490613457724993</v>
      </c>
      <c r="M11" s="83">
        <f t="shared" si="5"/>
        <v>1.0078626554593461E-4</v>
      </c>
      <c r="N11" s="83">
        <f t="shared" si="6"/>
        <v>2.3993239768887586</v>
      </c>
      <c r="O11" s="83">
        <f t="shared" si="7"/>
        <v>1.6061604217594741E-2</v>
      </c>
      <c r="P11" s="83">
        <f t="shared" si="8"/>
        <v>1.5055713002847929E-2</v>
      </c>
      <c r="Q11" s="83">
        <f t="shared" si="9"/>
        <v>3.0403651998627668</v>
      </c>
      <c r="R11" s="83">
        <f t="shared" si="10"/>
        <v>2.8499560350787347</v>
      </c>
      <c r="S11" s="84">
        <f t="shared" si="11"/>
        <v>1.9078234666890292E-2</v>
      </c>
    </row>
    <row r="12" spans="2:19" x14ac:dyDescent="0.35">
      <c r="B12" s="74">
        <v>9</v>
      </c>
      <c r="C12" s="75">
        <v>15.9</v>
      </c>
      <c r="D12" s="75">
        <v>15.8</v>
      </c>
      <c r="E12" s="75">
        <v>27</v>
      </c>
      <c r="G12" s="82">
        <f t="shared" si="1"/>
        <v>1.2013971243204515</v>
      </c>
      <c r="H12" s="83">
        <f t="shared" si="0"/>
        <v>1.1986570869544226</v>
      </c>
      <c r="I12" s="83">
        <f t="shared" si="0"/>
        <v>1.4313637641589874</v>
      </c>
      <c r="J12" s="83">
        <f t="shared" si="2"/>
        <v>5.4152397615589487E-2</v>
      </c>
      <c r="K12" s="83">
        <f t="shared" si="3"/>
        <v>1.4367788121060623</v>
      </c>
      <c r="L12" s="83">
        <f t="shared" si="4"/>
        <v>2.048802225347385</v>
      </c>
      <c r="M12" s="83">
        <f t="shared" si="5"/>
        <v>2.932482167516902E-3</v>
      </c>
      <c r="N12" s="83">
        <f t="shared" si="6"/>
        <v>1.7157143199189291</v>
      </c>
      <c r="O12" s="83">
        <f t="shared" si="7"/>
        <v>6.4910155177500123E-2</v>
      </c>
      <c r="P12" s="83">
        <f t="shared" si="8"/>
        <v>7.7511779689284341E-2</v>
      </c>
      <c r="Q12" s="83">
        <f t="shared" si="9"/>
        <v>1.4400631773133727</v>
      </c>
      <c r="R12" s="83">
        <f t="shared" si="10"/>
        <v>1.7196363101171044</v>
      </c>
      <c r="S12" s="84">
        <f t="shared" si="11"/>
        <v>6.505853477042689E-2</v>
      </c>
    </row>
    <row r="13" spans="2:19" x14ac:dyDescent="0.35">
      <c r="B13" s="74">
        <v>10</v>
      </c>
      <c r="C13" s="75">
        <v>31.3</v>
      </c>
      <c r="D13" s="75">
        <v>39.799999999999997</v>
      </c>
      <c r="E13" s="75">
        <v>19.899999999999999</v>
      </c>
      <c r="G13" s="82">
        <f t="shared" si="1"/>
        <v>1.4955443375464486</v>
      </c>
      <c r="H13" s="83">
        <f t="shared" si="0"/>
        <v>1.5998830720736879</v>
      </c>
      <c r="I13" s="83">
        <f t="shared" si="0"/>
        <v>1.2988530764097066</v>
      </c>
      <c r="J13" s="83">
        <f t="shared" si="2"/>
        <v>9.0619058289456572E-2</v>
      </c>
      <c r="K13" s="83">
        <f t="shared" si="3"/>
        <v>2.5596258443079409</v>
      </c>
      <c r="L13" s="83">
        <f t="shared" si="4"/>
        <v>1.6870193140989591</v>
      </c>
      <c r="M13" s="83">
        <f t="shared" si="5"/>
        <v>8.2118137252679274E-3</v>
      </c>
      <c r="N13" s="83">
        <f t="shared" si="6"/>
        <v>2.0780130500587219</v>
      </c>
      <c r="O13" s="83">
        <f t="shared" si="7"/>
        <v>0.14497989736456038</v>
      </c>
      <c r="P13" s="83">
        <f t="shared" si="8"/>
        <v>0.11770084264061119</v>
      </c>
      <c r="Q13" s="83">
        <f t="shared" si="9"/>
        <v>2.3926960691762207</v>
      </c>
      <c r="R13" s="83">
        <f t="shared" si="10"/>
        <v>1.9424923637293214</v>
      </c>
      <c r="S13" s="84">
        <f t="shared" si="11"/>
        <v>0.13552481949858833</v>
      </c>
    </row>
    <row r="14" spans="2:19" x14ac:dyDescent="0.35">
      <c r="B14" s="74">
        <v>11</v>
      </c>
      <c r="C14" s="75">
        <v>35.6</v>
      </c>
      <c r="D14" s="75">
        <v>35.700000000000003</v>
      </c>
      <c r="E14" s="75">
        <v>15.8</v>
      </c>
      <c r="G14" s="82">
        <f t="shared" si="1"/>
        <v>1.5514499979728751</v>
      </c>
      <c r="H14" s="83">
        <f t="shared" si="0"/>
        <v>1.5526682161121932</v>
      </c>
      <c r="I14" s="83">
        <f t="shared" si="0"/>
        <v>1.1986570869544226</v>
      </c>
      <c r="J14" s="83">
        <f t="shared" si="2"/>
        <v>0.12532387956755969</v>
      </c>
      <c r="K14" s="83">
        <f t="shared" si="3"/>
        <v>2.4107785893250204</v>
      </c>
      <c r="L14" s="83">
        <f t="shared" si="4"/>
        <v>1.4367788121060623</v>
      </c>
      <c r="M14" s="83">
        <f t="shared" si="5"/>
        <v>1.5706074789864206E-2</v>
      </c>
      <c r="N14" s="83">
        <f t="shared" si="6"/>
        <v>1.8611167609317614</v>
      </c>
      <c r="O14" s="83">
        <f t="shared" si="7"/>
        <v>0.19458640452442225</v>
      </c>
      <c r="P14" s="83">
        <f t="shared" si="8"/>
        <v>0.15022035640827799</v>
      </c>
      <c r="Q14" s="83">
        <f t="shared" si="9"/>
        <v>2.4088871007398098</v>
      </c>
      <c r="R14" s="83">
        <f t="shared" si="10"/>
        <v>1.8596565351256114</v>
      </c>
      <c r="S14" s="84">
        <f t="shared" si="11"/>
        <v>0.19443373270104333</v>
      </c>
    </row>
    <row r="15" spans="2:19" x14ac:dyDescent="0.35">
      <c r="B15" s="74">
        <v>12</v>
      </c>
      <c r="C15" s="75">
        <v>28.4</v>
      </c>
      <c r="D15" s="75">
        <v>32.299999999999997</v>
      </c>
      <c r="E15" s="75">
        <v>18.600000000000001</v>
      </c>
      <c r="G15" s="82">
        <f t="shared" si="1"/>
        <v>1.4533183400470377</v>
      </c>
      <c r="H15" s="83">
        <f t="shared" si="0"/>
        <v>1.5092025223311027</v>
      </c>
      <c r="I15" s="83">
        <f t="shared" si="0"/>
        <v>1.2695129442179163</v>
      </c>
      <c r="J15" s="83">
        <f t="shared" si="2"/>
        <v>5.7451093856077322E-2</v>
      </c>
      <c r="K15" s="83">
        <f t="shared" si="3"/>
        <v>2.2776922534105628</v>
      </c>
      <c r="L15" s="83">
        <f t="shared" si="4"/>
        <v>1.6116631155368422</v>
      </c>
      <c r="M15" s="83">
        <f t="shared" si="5"/>
        <v>3.3006281852598052E-3</v>
      </c>
      <c r="N15" s="83">
        <f t="shared" si="6"/>
        <v>1.9159521375456638</v>
      </c>
      <c r="O15" s="83">
        <f t="shared" si="7"/>
        <v>8.6705335758272814E-2</v>
      </c>
      <c r="P15" s="83">
        <f t="shared" si="8"/>
        <v>7.2934907309768565E-2</v>
      </c>
      <c r="Q15" s="83">
        <f t="shared" si="9"/>
        <v>2.1933517045490407</v>
      </c>
      <c r="R15" s="83">
        <f t="shared" si="10"/>
        <v>1.8450064447590098</v>
      </c>
      <c r="S15" s="84">
        <f t="shared" si="11"/>
        <v>8.3494728356800857E-2</v>
      </c>
    </row>
    <row r="16" spans="2:19" x14ac:dyDescent="0.35">
      <c r="B16" s="74">
        <v>13</v>
      </c>
      <c r="C16" s="75">
        <v>33.299999999999997</v>
      </c>
      <c r="D16" s="75">
        <v>40.799999999999997</v>
      </c>
      <c r="E16" s="75">
        <v>17.899999999999999</v>
      </c>
      <c r="G16" s="82">
        <f t="shared" si="1"/>
        <v>1.5224442335063197</v>
      </c>
      <c r="H16" s="83">
        <f t="shared" si="0"/>
        <v>1.61066016308988</v>
      </c>
      <c r="I16" s="83">
        <f t="shared" si="0"/>
        <v>1.2528530309798931</v>
      </c>
      <c r="J16" s="83">
        <f t="shared" si="2"/>
        <v>0.12802594378877363</v>
      </c>
      <c r="K16" s="83">
        <f t="shared" si="3"/>
        <v>2.5942261609647188</v>
      </c>
      <c r="L16" s="83">
        <f t="shared" si="4"/>
        <v>1.5696407172355049</v>
      </c>
      <c r="M16" s="83">
        <f t="shared" si="5"/>
        <v>1.6390642283006226E-2</v>
      </c>
      <c r="N16" s="83">
        <f t="shared" si="6"/>
        <v>2.0179204672057249</v>
      </c>
      <c r="O16" s="83">
        <f t="shared" si="7"/>
        <v>0.20620628750256195</v>
      </c>
      <c r="P16" s="83">
        <f t="shared" si="8"/>
        <v>0.16039769171982646</v>
      </c>
      <c r="Q16" s="83">
        <f t="shared" si="9"/>
        <v>2.4521402774345362</v>
      </c>
      <c r="R16" s="83">
        <f t="shared" si="10"/>
        <v>1.9073988724462527</v>
      </c>
      <c r="S16" s="84">
        <f t="shared" si="11"/>
        <v>0.19491235986042266</v>
      </c>
    </row>
    <row r="17" spans="2:19" x14ac:dyDescent="0.35">
      <c r="B17" s="74">
        <v>14</v>
      </c>
      <c r="C17" s="75">
        <v>41.2</v>
      </c>
      <c r="D17" s="75">
        <v>41.2</v>
      </c>
      <c r="E17" s="75">
        <v>23.9</v>
      </c>
      <c r="G17" s="82">
        <f t="shared" si="1"/>
        <v>1.6148972160331345</v>
      </c>
      <c r="H17" s="83">
        <f t="shared" si="0"/>
        <v>1.6148972160331345</v>
      </c>
      <c r="I17" s="83">
        <f t="shared" si="0"/>
        <v>1.3783979009481377</v>
      </c>
      <c r="J17" s="83">
        <f t="shared" si="2"/>
        <v>5.5931926035672583E-2</v>
      </c>
      <c r="K17" s="83">
        <f t="shared" si="3"/>
        <v>2.6078930183515685</v>
      </c>
      <c r="L17" s="83">
        <f t="shared" si="4"/>
        <v>1.8999807733382321</v>
      </c>
      <c r="M17" s="83">
        <f t="shared" si="5"/>
        <v>3.1283803500599485E-3</v>
      </c>
      <c r="N17" s="83">
        <f t="shared" si="6"/>
        <v>2.2259709328270638</v>
      </c>
      <c r="O17" s="83">
        <f t="shared" si="7"/>
        <v>9.0324311642378849E-2</v>
      </c>
      <c r="P17" s="83">
        <f t="shared" si="8"/>
        <v>7.7096449443557577E-2</v>
      </c>
      <c r="Q17" s="83">
        <f t="shared" si="9"/>
        <v>2.6078930183515685</v>
      </c>
      <c r="R17" s="83">
        <f>I17*$G17</f>
        <v>2.2259709328270638</v>
      </c>
      <c r="S17" s="84">
        <f t="shared" si="11"/>
        <v>9.0324311642378849E-2</v>
      </c>
    </row>
    <row r="18" spans="2:19" ht="15" thickBot="1" x14ac:dyDescent="0.4">
      <c r="B18" s="74">
        <v>15</v>
      </c>
      <c r="C18" s="75">
        <v>39.1</v>
      </c>
      <c r="D18" s="75">
        <v>38.700000000000003</v>
      </c>
      <c r="E18" s="75">
        <v>19.2</v>
      </c>
      <c r="G18" s="85">
        <f t="shared" si="1"/>
        <v>1.5921767573958667</v>
      </c>
      <c r="H18" s="86">
        <f t="shared" si="0"/>
        <v>1.5877109650189114</v>
      </c>
      <c r="I18" s="86">
        <f t="shared" si="0"/>
        <v>1.2833012287035497</v>
      </c>
      <c r="J18" s="86">
        <f t="shared" si="2"/>
        <v>9.266528756358805E-2</v>
      </c>
      <c r="K18" s="86">
        <f t="shared" si="3"/>
        <v>2.5208261084412831</v>
      </c>
      <c r="L18" s="86">
        <f t="shared" si="4"/>
        <v>1.6468620435920402</v>
      </c>
      <c r="M18" s="86">
        <f t="shared" si="5"/>
        <v>8.5868555192424659E-3</v>
      </c>
      <c r="N18" s="86">
        <f t="shared" si="6"/>
        <v>2.0375114322348677</v>
      </c>
      <c r="O18" s="86">
        <f t="shared" si="7"/>
        <v>0.1471256931413393</v>
      </c>
      <c r="P18" s="86">
        <f t="shared" si="8"/>
        <v>0.11891747738852031</v>
      </c>
      <c r="Q18" s="86">
        <f t="shared" si="9"/>
        <v>2.5279164959656728</v>
      </c>
      <c r="R18" s="86">
        <f t="shared" si="10"/>
        <v>2.0432423890793494</v>
      </c>
      <c r="S18" s="87">
        <f t="shared" si="11"/>
        <v>0.14753951707614915</v>
      </c>
    </row>
    <row r="19" spans="2:19" x14ac:dyDescent="0.35">
      <c r="E19" t="s">
        <v>20</v>
      </c>
      <c r="G19" s="72">
        <f>SUM(G4:G18)</f>
        <v>22.74056400669469</v>
      </c>
      <c r="H19" s="72">
        <f t="shared" ref="H19:S19" si="12">SUM(H4:H18)</f>
        <v>22.937299563402192</v>
      </c>
      <c r="I19" s="72">
        <f t="shared" si="12"/>
        <v>21.269062680111773</v>
      </c>
      <c r="J19" s="72">
        <f t="shared" si="12"/>
        <v>1.0998799400889283</v>
      </c>
      <c r="K19" s="72">
        <f t="shared" si="12"/>
        <v>35.762706290335323</v>
      </c>
      <c r="L19" s="72">
        <f t="shared" si="12"/>
        <v>30.437503000863501</v>
      </c>
      <c r="M19" s="72">
        <f t="shared" si="12"/>
        <v>0.12863615092150724</v>
      </c>
      <c r="N19" s="72">
        <f t="shared" si="12"/>
        <v>32.550164675554953</v>
      </c>
      <c r="O19" s="72">
        <f t="shared" si="12"/>
        <v>1.6429176093132387</v>
      </c>
      <c r="P19" s="72">
        <f t="shared" si="12"/>
        <v>1.5307641004260069</v>
      </c>
      <c r="Q19" s="72">
        <f t="shared" si="12"/>
        <v>35.296549232293941</v>
      </c>
      <c r="R19" s="72">
        <f t="shared" si="12"/>
        <v>32.302673525475534</v>
      </c>
      <c r="S19" s="72">
        <f t="shared" si="12"/>
        <v>1.6176755810302068</v>
      </c>
    </row>
    <row r="20" spans="2:19" x14ac:dyDescent="0.35">
      <c r="E20" t="s">
        <v>55</v>
      </c>
      <c r="G20" s="72">
        <f>AVERAGE(G4:G18)</f>
        <v>1.5160376004463127</v>
      </c>
      <c r="H20" s="72">
        <f t="shared" ref="H20:S20" si="13">AVERAGE(H4:H18)</f>
        <v>1.5291533042268128</v>
      </c>
      <c r="I20" s="72">
        <f t="shared" si="13"/>
        <v>1.4179375120074516</v>
      </c>
      <c r="J20" s="72">
        <f t="shared" si="13"/>
        <v>7.3325329339261891E-2</v>
      </c>
      <c r="K20" s="72">
        <f t="shared" si="13"/>
        <v>2.3841804193556881</v>
      </c>
      <c r="L20" s="72">
        <f t="shared" si="13"/>
        <v>2.0291668667242333</v>
      </c>
      <c r="M20" s="72">
        <f t="shared" si="13"/>
        <v>8.5757433947671498E-3</v>
      </c>
      <c r="N20" s="72">
        <f t="shared" si="13"/>
        <v>2.1700109783703301</v>
      </c>
      <c r="O20" s="72">
        <f t="shared" si="13"/>
        <v>0.10952784062088258</v>
      </c>
      <c r="P20" s="72">
        <f t="shared" si="13"/>
        <v>0.10205094002840046</v>
      </c>
      <c r="Q20" s="72">
        <f t="shared" si="13"/>
        <v>2.3531032821529294</v>
      </c>
      <c r="R20" s="72">
        <f t="shared" si="13"/>
        <v>2.1535115683650354</v>
      </c>
      <c r="S20" s="72">
        <f t="shared" si="13"/>
        <v>0.10784503873534712</v>
      </c>
    </row>
    <row r="21" spans="2:19" x14ac:dyDescent="0.35">
      <c r="D21" t="s">
        <v>150</v>
      </c>
      <c r="E21" s="88">
        <v>15</v>
      </c>
    </row>
    <row r="22" spans="2:19" x14ac:dyDescent="0.35">
      <c r="G22" s="60" t="s">
        <v>144</v>
      </c>
      <c r="H22">
        <f>K19-H19^2/15</f>
        <v>0.68805887291863144</v>
      </c>
    </row>
    <row r="23" spans="2:19" x14ac:dyDescent="0.35">
      <c r="G23" s="60" t="s">
        <v>145</v>
      </c>
      <c r="H23">
        <f>L19-I19^2/15</f>
        <v>0.27930118149527416</v>
      </c>
      <c r="J23" t="s">
        <v>141</v>
      </c>
      <c r="K23">
        <f>Q19-(H19*G19)/15</f>
        <v>0.52274064147542987</v>
      </c>
      <c r="N23">
        <f>H22</f>
        <v>0.68805887291863144</v>
      </c>
      <c r="O23">
        <f>H25</f>
        <v>2.6507200454844337E-2</v>
      </c>
      <c r="P23">
        <f>H26</f>
        <v>-3.8967435326535016E-2</v>
      </c>
      <c r="S23">
        <f t="array" ref="S23:S25">MMULT(MINVERSE(N23:P25),K23:K25)</f>
        <v>0.73430085970179471</v>
      </c>
    </row>
    <row r="24" spans="2:19" x14ac:dyDescent="0.35">
      <c r="G24" s="60" t="s">
        <v>146</v>
      </c>
      <c r="H24">
        <f>M19-J19^2/15</f>
        <v>4.7987092080838928E-2</v>
      </c>
      <c r="J24" t="s">
        <v>142</v>
      </c>
      <c r="K24">
        <f>R19-(I19*G19)/15</f>
        <v>5.7974776176664022E-2</v>
      </c>
      <c r="M24" s="133" t="s">
        <v>100</v>
      </c>
      <c r="N24">
        <f>H25</f>
        <v>2.6507200454844337E-2</v>
      </c>
      <c r="O24">
        <f>H23</f>
        <v>0.27930118149527416</v>
      </c>
      <c r="P24">
        <f>H27</f>
        <v>-2.8796925330593082E-2</v>
      </c>
      <c r="R24" t="s">
        <v>56</v>
      </c>
      <c r="S24">
        <v>9.8490451443683166E-2</v>
      </c>
    </row>
    <row r="25" spans="2:19" x14ac:dyDescent="0.35">
      <c r="G25" s="60" t="s">
        <v>147</v>
      </c>
      <c r="H25">
        <f>N19-(H19*I19)/15</f>
        <v>2.6507200454844337E-2</v>
      </c>
      <c r="J25" t="s">
        <v>143</v>
      </c>
      <c r="K25">
        <f>S19-(J19*G19)/15</f>
        <v>-4.9783764121246188E-2</v>
      </c>
      <c r="M25" s="133"/>
      <c r="N25">
        <f>H26</f>
        <v>-3.8967435326535016E-2</v>
      </c>
      <c r="O25">
        <f>H27</f>
        <v>-2.8796925330593082E-2</v>
      </c>
      <c r="P25">
        <f>H24</f>
        <v>4.7987092080838928E-2</v>
      </c>
      <c r="S25">
        <v>-0.3820552546445688</v>
      </c>
    </row>
    <row r="26" spans="2:19" x14ac:dyDescent="0.35">
      <c r="G26" s="60" t="s">
        <v>148</v>
      </c>
      <c r="H26">
        <f>O19-(H19*J19)/15</f>
        <v>-3.8967435326535016E-2</v>
      </c>
    </row>
    <row r="27" spans="2:19" ht="18.5" x14ac:dyDescent="0.45">
      <c r="G27" s="60" t="s">
        <v>149</v>
      </c>
      <c r="H27">
        <f>P19-(I19*J19)/15</f>
        <v>-2.8796925330593082E-2</v>
      </c>
      <c r="J27" s="135" t="s">
        <v>111</v>
      </c>
      <c r="K27" s="135"/>
    </row>
    <row r="28" spans="2:19" x14ac:dyDescent="0.35">
      <c r="K28" s="60" t="s">
        <v>151</v>
      </c>
      <c r="L28" s="59">
        <f>S23</f>
        <v>0.73430085970179471</v>
      </c>
      <c r="N28" s="60" t="s">
        <v>154</v>
      </c>
      <c r="O28">
        <f>G20-S23*H20-S24*I20-S25*J20</f>
        <v>0.28154003623278573</v>
      </c>
    </row>
    <row r="29" spans="2:19" x14ac:dyDescent="0.35">
      <c r="K29" t="s">
        <v>152</v>
      </c>
      <c r="L29" s="59">
        <f>S24</f>
        <v>9.8490451443683166E-2</v>
      </c>
      <c r="N29" s="60" t="s">
        <v>106</v>
      </c>
      <c r="O29">
        <f>EXP(O28)</f>
        <v>1.3251690500360469</v>
      </c>
    </row>
    <row r="30" spans="2:19" x14ac:dyDescent="0.35">
      <c r="K30" t="s">
        <v>153</v>
      </c>
      <c r="L30" s="59">
        <f>-(2*S25)/(L28*L29)</f>
        <v>10.565450218384512</v>
      </c>
    </row>
    <row r="32" spans="2:19" ht="21" x14ac:dyDescent="0.5">
      <c r="J32" s="134" t="s">
        <v>112</v>
      </c>
      <c r="K32" s="134"/>
    </row>
    <row r="33" spans="11:12" x14ac:dyDescent="0.35">
      <c r="K33" t="s">
        <v>155</v>
      </c>
      <c r="L33">
        <f>1/(1+L30)</f>
        <v>8.6464424740715556E-2</v>
      </c>
    </row>
  </sheetData>
  <mergeCells count="3">
    <mergeCell ref="M24:M25"/>
    <mergeCell ref="J27:K27"/>
    <mergeCell ref="J32:K32"/>
  </mergeCells>
  <pageMargins left="0.7" right="0.7" top="0.75" bottom="0.75" header="0.3" footer="0.3"/>
  <ignoredErrors>
    <ignoredError sqref="O24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7"/>
  <sheetViews>
    <sheetView workbookViewId="0">
      <selection activeCell="H12" sqref="H12"/>
    </sheetView>
  </sheetViews>
  <sheetFormatPr defaultRowHeight="14.5" x14ac:dyDescent="0.35"/>
  <cols>
    <col min="2" max="2" width="8" customWidth="1"/>
    <col min="3" max="3" width="8.26953125" customWidth="1"/>
    <col min="5" max="5" width="10.36328125" customWidth="1"/>
    <col min="6" max="6" width="10" customWidth="1"/>
    <col min="7" max="7" width="15.81640625" bestFit="1" customWidth="1"/>
    <col min="8" max="8" width="10.26953125" bestFit="1" customWidth="1"/>
  </cols>
  <sheetData>
    <row r="3" spans="2:8" ht="34" customHeight="1" x14ac:dyDescent="0.35">
      <c r="B3" t="s">
        <v>156</v>
      </c>
      <c r="C3" s="90" t="s">
        <v>163</v>
      </c>
      <c r="D3" s="89" t="s">
        <v>164</v>
      </c>
      <c r="E3" s="89" t="s">
        <v>165</v>
      </c>
      <c r="F3" s="89" t="s">
        <v>166</v>
      </c>
      <c r="G3" s="89" t="s">
        <v>167</v>
      </c>
      <c r="H3" s="89" t="s">
        <v>168</v>
      </c>
    </row>
    <row r="4" spans="2:8" x14ac:dyDescent="0.35">
      <c r="B4" t="s">
        <v>157</v>
      </c>
      <c r="C4">
        <v>4000</v>
      </c>
      <c r="D4">
        <v>100</v>
      </c>
    </row>
    <row r="5" spans="2:8" x14ac:dyDescent="0.35">
      <c r="B5" s="40" t="s">
        <v>158</v>
      </c>
      <c r="C5">
        <v>6000</v>
      </c>
      <c r="D5">
        <v>200</v>
      </c>
      <c r="E5" s="91">
        <f>(C5-C4)/C4</f>
        <v>0.5</v>
      </c>
      <c r="F5" s="91">
        <f>(D5-D4)/D4</f>
        <v>1</v>
      </c>
      <c r="G5" s="92">
        <f>F5/E5</f>
        <v>2</v>
      </c>
      <c r="H5" t="str">
        <f>IF(G5&gt;1, "Luxury",IF(G5&gt;0, "Necessity", "Inferior"))</f>
        <v>Luxury</v>
      </c>
    </row>
    <row r="6" spans="2:8" x14ac:dyDescent="0.35">
      <c r="B6" s="40" t="s">
        <v>159</v>
      </c>
      <c r="C6">
        <v>8000</v>
      </c>
      <c r="D6">
        <v>300</v>
      </c>
      <c r="E6" s="91">
        <f t="shared" ref="E6:E11" si="0">(C6-C5)/C5</f>
        <v>0.33333333333333331</v>
      </c>
      <c r="F6" s="91">
        <f t="shared" ref="F6:F11" si="1">(D6-D5)/D5</f>
        <v>0.5</v>
      </c>
      <c r="G6" s="92">
        <f t="shared" ref="G6:G11" si="2">F6/E6</f>
        <v>1.5</v>
      </c>
      <c r="H6" s="40" t="str">
        <f t="shared" ref="H6:H11" si="3">IF(G6&gt;1, "Luxury",IF(G6&gt;0, "Necessity", "Inferior"))</f>
        <v>Luxury</v>
      </c>
    </row>
    <row r="7" spans="2:8" x14ac:dyDescent="0.35">
      <c r="B7" s="40" t="s">
        <v>160</v>
      </c>
      <c r="C7">
        <v>10000</v>
      </c>
      <c r="D7">
        <v>350</v>
      </c>
      <c r="E7" s="91">
        <f t="shared" si="0"/>
        <v>0.25</v>
      </c>
      <c r="F7" s="91">
        <f t="shared" si="1"/>
        <v>0.16666666666666666</v>
      </c>
      <c r="G7" s="92">
        <f t="shared" si="2"/>
        <v>0.66666666666666663</v>
      </c>
      <c r="H7" s="40" t="str">
        <f t="shared" si="3"/>
        <v>Necessity</v>
      </c>
    </row>
    <row r="8" spans="2:8" x14ac:dyDescent="0.35">
      <c r="B8" s="40" t="s">
        <v>77</v>
      </c>
      <c r="C8">
        <v>12000</v>
      </c>
      <c r="D8">
        <v>380</v>
      </c>
      <c r="E8" s="91">
        <f t="shared" si="0"/>
        <v>0.2</v>
      </c>
      <c r="F8" s="91">
        <f t="shared" si="1"/>
        <v>8.5714285714285715E-2</v>
      </c>
      <c r="G8" s="92">
        <f t="shared" si="2"/>
        <v>0.42857142857142855</v>
      </c>
      <c r="H8" s="40" t="str">
        <f t="shared" si="3"/>
        <v>Necessity</v>
      </c>
    </row>
    <row r="9" spans="2:8" x14ac:dyDescent="0.35">
      <c r="B9" s="40" t="s">
        <v>161</v>
      </c>
      <c r="C9">
        <v>14000</v>
      </c>
      <c r="D9">
        <v>390</v>
      </c>
      <c r="E9" s="91">
        <f t="shared" si="0"/>
        <v>0.16666666666666666</v>
      </c>
      <c r="F9" s="91">
        <f t="shared" si="1"/>
        <v>2.6315789473684209E-2</v>
      </c>
      <c r="G9" s="92">
        <f t="shared" si="2"/>
        <v>0.15789473684210525</v>
      </c>
      <c r="H9" s="40" t="str">
        <f t="shared" si="3"/>
        <v>Necessity</v>
      </c>
    </row>
    <row r="10" spans="2:8" x14ac:dyDescent="0.35">
      <c r="B10" s="40" t="s">
        <v>162</v>
      </c>
      <c r="C10">
        <v>16000</v>
      </c>
      <c r="D10">
        <v>350</v>
      </c>
      <c r="E10" s="91">
        <f t="shared" si="0"/>
        <v>0.14285714285714285</v>
      </c>
      <c r="F10" s="91">
        <f t="shared" si="1"/>
        <v>-0.10256410256410256</v>
      </c>
      <c r="G10" s="92">
        <f t="shared" si="2"/>
        <v>-0.71794871794871795</v>
      </c>
      <c r="H10" s="40" t="str">
        <f t="shared" si="3"/>
        <v>Inferior</v>
      </c>
    </row>
    <row r="11" spans="2:8" x14ac:dyDescent="0.35">
      <c r="B11" t="s">
        <v>124</v>
      </c>
      <c r="C11">
        <v>18000</v>
      </c>
      <c r="D11">
        <v>250</v>
      </c>
      <c r="E11" s="91">
        <f t="shared" si="0"/>
        <v>0.125</v>
      </c>
      <c r="F11" s="91">
        <f t="shared" si="1"/>
        <v>-0.2857142857142857</v>
      </c>
      <c r="G11" s="92">
        <f t="shared" si="2"/>
        <v>-2.2857142857142856</v>
      </c>
      <c r="H11" s="40" t="str">
        <f t="shared" si="3"/>
        <v>Inferior</v>
      </c>
    </row>
    <row r="16" spans="2:8" ht="15" thickBot="1" x14ac:dyDescent="0.4"/>
    <row r="17" spans="2:15" ht="19" thickBot="1" x14ac:dyDescent="0.5">
      <c r="B17" s="99" t="s">
        <v>169</v>
      </c>
      <c r="C17" s="100" t="s">
        <v>170</v>
      </c>
      <c r="D17" s="101" t="s">
        <v>171</v>
      </c>
      <c r="E17" s="102" t="s">
        <v>172</v>
      </c>
      <c r="F17" s="103" t="s">
        <v>173</v>
      </c>
      <c r="G17" s="103" t="s">
        <v>174</v>
      </c>
      <c r="H17" s="104" t="s">
        <v>175</v>
      </c>
    </row>
    <row r="18" spans="2:15" ht="18.5" x14ac:dyDescent="0.45">
      <c r="B18" s="93">
        <v>1</v>
      </c>
      <c r="C18" s="94">
        <v>12.16</v>
      </c>
      <c r="D18" s="95">
        <v>1.92</v>
      </c>
      <c r="E18" s="62">
        <f>LOG(C18)</f>
        <v>1.0849335749367162</v>
      </c>
      <c r="F18" s="63">
        <f>LOG(D18)</f>
        <v>0.28330122870354957</v>
      </c>
      <c r="G18" s="63">
        <f>E18*F18</f>
        <v>0.30736301484130624</v>
      </c>
      <c r="H18" s="64">
        <f>F18^2</f>
        <v>8.0259586184940904E-2</v>
      </c>
      <c r="J18" s="117" t="s">
        <v>176</v>
      </c>
      <c r="K18" s="117"/>
      <c r="L18" s="117"/>
      <c r="M18" s="117"/>
    </row>
    <row r="19" spans="2:15" ht="18.5" x14ac:dyDescent="0.45">
      <c r="B19" s="93">
        <v>2</v>
      </c>
      <c r="C19" s="94">
        <v>12.63</v>
      </c>
      <c r="D19" s="95">
        <v>1.62</v>
      </c>
      <c r="E19" s="47">
        <f t="shared" ref="E19:F36" si="4">LOG(C19)</f>
        <v>1.1014033505553307</v>
      </c>
      <c r="F19" s="48">
        <f t="shared" si="4"/>
        <v>0.20951501454263097</v>
      </c>
      <c r="G19" s="48">
        <f t="shared" ref="G19:G36" si="5">E19*F19</f>
        <v>0.23076053900890259</v>
      </c>
      <c r="H19" s="49">
        <f t="shared" ref="H19:H36" si="6">F19^2</f>
        <v>4.3896541318798867E-2</v>
      </c>
      <c r="J19" s="117" t="s">
        <v>177</v>
      </c>
      <c r="K19" s="117"/>
      <c r="L19" s="117"/>
      <c r="M19" s="117"/>
    </row>
    <row r="20" spans="2:15" ht="18.5" x14ac:dyDescent="0.45">
      <c r="B20" s="93">
        <v>3</v>
      </c>
      <c r="C20" s="94">
        <v>13.46</v>
      </c>
      <c r="D20" s="95">
        <v>1.76</v>
      </c>
      <c r="E20" s="47">
        <f t="shared" si="4"/>
        <v>1.129045059887958</v>
      </c>
      <c r="F20" s="48">
        <f t="shared" si="4"/>
        <v>0.24551266781414982</v>
      </c>
      <c r="G20" s="48">
        <f t="shared" si="5"/>
        <v>0.27719486473547911</v>
      </c>
      <c r="H20" s="49">
        <f t="shared" si="6"/>
        <v>6.0276470057221081E-2</v>
      </c>
    </row>
    <row r="21" spans="2:15" ht="18.5" x14ac:dyDescent="0.45">
      <c r="B21" s="93">
        <v>4</v>
      </c>
      <c r="C21" s="94">
        <v>14.12</v>
      </c>
      <c r="D21" s="95">
        <v>1.4</v>
      </c>
      <c r="E21" s="47">
        <f t="shared" si="4"/>
        <v>1.1498346967157849</v>
      </c>
      <c r="F21" s="48">
        <f t="shared" si="4"/>
        <v>0.14612803567823801</v>
      </c>
      <c r="G21" s="48">
        <f t="shared" si="5"/>
        <v>0.16802308558576021</v>
      </c>
      <c r="H21" s="49">
        <f t="shared" si="6"/>
        <v>2.1353402811180401E-2</v>
      </c>
      <c r="K21" s="61" t="s">
        <v>178</v>
      </c>
      <c r="L21" s="105" t="s">
        <v>179</v>
      </c>
    </row>
    <row r="22" spans="2:15" ht="18.5" x14ac:dyDescent="0.45">
      <c r="B22" s="93">
        <v>5</v>
      </c>
      <c r="C22" s="94">
        <v>14.94</v>
      </c>
      <c r="D22" s="95">
        <v>1.67</v>
      </c>
      <c r="E22" s="47">
        <f t="shared" si="4"/>
        <v>1.17435059747938</v>
      </c>
      <c r="F22" s="48">
        <f t="shared" si="4"/>
        <v>0.22271647114758325</v>
      </c>
      <c r="G22" s="48">
        <f t="shared" si="5"/>
        <v>0.26154722096066346</v>
      </c>
      <c r="H22" s="49">
        <f t="shared" si="6"/>
        <v>4.9602626520432284E-2</v>
      </c>
      <c r="K22" s="106">
        <v>1.4057393593681418</v>
      </c>
      <c r="L22" s="106">
        <v>1.1010092145677786</v>
      </c>
    </row>
    <row r="23" spans="2:15" ht="18.5" x14ac:dyDescent="0.45">
      <c r="B23" s="93">
        <v>6</v>
      </c>
      <c r="C23" s="94">
        <v>15.34</v>
      </c>
      <c r="D23" s="95">
        <v>1.51</v>
      </c>
      <c r="E23" s="47">
        <f t="shared" si="4"/>
        <v>1.1858253596129622</v>
      </c>
      <c r="F23" s="48">
        <f t="shared" si="4"/>
        <v>0.17897694729316943</v>
      </c>
      <c r="G23" s="48">
        <f t="shared" si="5"/>
        <v>0.21223540288635281</v>
      </c>
      <c r="H23" s="49">
        <f t="shared" si="6"/>
        <v>3.2032747662381948E-2</v>
      </c>
      <c r="J23" s="41">
        <v>1</v>
      </c>
      <c r="K23" s="61">
        <v>19</v>
      </c>
      <c r="L23" s="61">
        <v>-3.02</v>
      </c>
      <c r="M23">
        <f>SUMPRODUCT(K23:L23,K22:L22)</f>
        <v>23.384000000000004</v>
      </c>
      <c r="N23">
        <v>23.384</v>
      </c>
    </row>
    <row r="24" spans="2:15" ht="18.5" x14ac:dyDescent="0.45">
      <c r="B24" s="93">
        <v>7</v>
      </c>
      <c r="C24" s="94">
        <v>15.65</v>
      </c>
      <c r="D24" s="95">
        <v>1.47</v>
      </c>
      <c r="E24" s="47">
        <f t="shared" si="4"/>
        <v>1.1945143418824673</v>
      </c>
      <c r="F24" s="48">
        <f t="shared" si="4"/>
        <v>0.16731733474817609</v>
      </c>
      <c r="G24" s="48">
        <f t="shared" si="5"/>
        <v>0.19986295600224604</v>
      </c>
      <c r="H24" s="49">
        <f t="shared" si="6"/>
        <v>2.7995090507233214E-2</v>
      </c>
      <c r="J24" s="41">
        <v>2</v>
      </c>
      <c r="K24" s="61">
        <v>3.02</v>
      </c>
      <c r="L24" s="61">
        <v>-0.52800000000000002</v>
      </c>
      <c r="M24">
        <f>SUMPRODUCT(K24:L24,K22:L22)</f>
        <v>3.6640000000000006</v>
      </c>
      <c r="N24">
        <v>3.6640000000000001</v>
      </c>
    </row>
    <row r="25" spans="2:15" ht="18.5" x14ac:dyDescent="0.45">
      <c r="B25" s="93">
        <v>8</v>
      </c>
      <c r="C25" s="94">
        <v>17.04</v>
      </c>
      <c r="D25" s="95">
        <v>1.44</v>
      </c>
      <c r="E25" s="47">
        <f t="shared" si="4"/>
        <v>1.2314695904306814</v>
      </c>
      <c r="F25" s="48">
        <f t="shared" si="4"/>
        <v>0.15836249209524964</v>
      </c>
      <c r="G25" s="48">
        <f t="shared" si="5"/>
        <v>0.19501859328011908</v>
      </c>
      <c r="H25" s="49">
        <f t="shared" si="6"/>
        <v>2.5078678902618005E-2</v>
      </c>
    </row>
    <row r="26" spans="2:15" ht="18.5" x14ac:dyDescent="0.45">
      <c r="B26" s="93">
        <v>9</v>
      </c>
      <c r="C26" s="94">
        <v>17.62</v>
      </c>
      <c r="D26" s="95">
        <v>1.37</v>
      </c>
      <c r="E26" s="47">
        <f t="shared" si="4"/>
        <v>1.2460059040760292</v>
      </c>
      <c r="F26" s="48">
        <f t="shared" si="4"/>
        <v>0.13672056715640679</v>
      </c>
      <c r="G26" s="48">
        <f t="shared" si="5"/>
        <v>0.17035463388550612</v>
      </c>
      <c r="H26" s="49">
        <f t="shared" si="6"/>
        <v>1.8692513483569539E-2</v>
      </c>
      <c r="K26" s="61" t="s">
        <v>178</v>
      </c>
      <c r="L26" s="105">
        <f>K22</f>
        <v>1.4057393593681418</v>
      </c>
    </row>
    <row r="27" spans="2:15" ht="18.5" x14ac:dyDescent="0.45">
      <c r="B27" s="93">
        <v>10</v>
      </c>
      <c r="C27" s="94">
        <v>18.04</v>
      </c>
      <c r="D27" s="95">
        <v>1.3</v>
      </c>
      <c r="E27" s="47">
        <f t="shared" si="4"/>
        <v>1.2562365332059229</v>
      </c>
      <c r="F27" s="48">
        <f t="shared" si="4"/>
        <v>0.11394335230683679</v>
      </c>
      <c r="G27" s="48">
        <f t="shared" si="5"/>
        <v>0.14313980188380174</v>
      </c>
      <c r="H27" s="49">
        <f t="shared" si="6"/>
        <v>1.2983087534919929E-2</v>
      </c>
      <c r="K27" s="105" t="s">
        <v>179</v>
      </c>
      <c r="L27">
        <f>L22</f>
        <v>1.1010092145677786</v>
      </c>
      <c r="M27" s="117" t="s">
        <v>199</v>
      </c>
      <c r="N27" s="117"/>
      <c r="O27" s="117"/>
    </row>
    <row r="28" spans="2:15" ht="18.5" x14ac:dyDescent="0.45">
      <c r="B28" s="93">
        <v>11</v>
      </c>
      <c r="C28" s="94">
        <v>18.440000000000001</v>
      </c>
      <c r="D28" s="95">
        <v>1.25</v>
      </c>
      <c r="E28" s="47">
        <f t="shared" si="4"/>
        <v>1.2657609167176105</v>
      </c>
      <c r="F28" s="48">
        <f t="shared" si="4"/>
        <v>9.691001300805642E-2</v>
      </c>
      <c r="G28" s="48">
        <f t="shared" si="5"/>
        <v>0.12266490690419304</v>
      </c>
      <c r="H28" s="49">
        <f t="shared" si="6"/>
        <v>9.3915506212216646E-3</v>
      </c>
      <c r="K28" s="61" t="s">
        <v>180</v>
      </c>
      <c r="L28">
        <f>10^L26</f>
        <v>25.453022380173639</v>
      </c>
    </row>
    <row r="29" spans="2:15" ht="18.5" x14ac:dyDescent="0.45">
      <c r="B29" s="93">
        <v>12</v>
      </c>
      <c r="C29" s="94">
        <v>18.850000000000001</v>
      </c>
      <c r="D29" s="95">
        <v>1.21</v>
      </c>
      <c r="E29" s="47">
        <f t="shared" si="4"/>
        <v>1.2753113545418118</v>
      </c>
      <c r="F29" s="48">
        <f t="shared" si="4"/>
        <v>8.2785370316450071E-2</v>
      </c>
      <c r="G29" s="48">
        <f t="shared" si="5"/>
        <v>0.10557712275451744</v>
      </c>
      <c r="H29" s="49">
        <f t="shared" si="6"/>
        <v>6.8534175384317728E-3</v>
      </c>
    </row>
    <row r="30" spans="2:15" ht="18.5" x14ac:dyDescent="0.45">
      <c r="B30" s="93">
        <v>13</v>
      </c>
      <c r="C30" s="94">
        <v>18.77</v>
      </c>
      <c r="D30" s="95">
        <v>1.27</v>
      </c>
      <c r="E30" s="47">
        <f t="shared" si="4"/>
        <v>1.2734642726213463</v>
      </c>
      <c r="F30" s="48">
        <f t="shared" si="4"/>
        <v>0.10380372095595687</v>
      </c>
      <c r="G30" s="48">
        <f t="shared" si="5"/>
        <v>0.13219033000256683</v>
      </c>
      <c r="H30" s="49">
        <f t="shared" si="6"/>
        <v>1.077521248430216E-2</v>
      </c>
    </row>
    <row r="31" spans="2:15" ht="18.5" x14ac:dyDescent="0.45">
      <c r="B31" s="93">
        <v>14</v>
      </c>
      <c r="C31" s="94">
        <v>19.11</v>
      </c>
      <c r="D31" s="95">
        <v>1.4</v>
      </c>
      <c r="E31" s="47">
        <f t="shared" si="4"/>
        <v>1.2812606870550129</v>
      </c>
      <c r="F31" s="48">
        <f t="shared" si="4"/>
        <v>0.14612803567823801</v>
      </c>
      <c r="G31" s="48">
        <f t="shared" si="5"/>
        <v>0.18722810739109869</v>
      </c>
      <c r="H31" s="49">
        <f t="shared" si="6"/>
        <v>2.1353402811180401E-2</v>
      </c>
    </row>
    <row r="32" spans="2:15" ht="18.5" x14ac:dyDescent="0.45">
      <c r="B32" s="93">
        <v>15</v>
      </c>
      <c r="C32" s="94">
        <v>19.91</v>
      </c>
      <c r="D32" s="95">
        <v>1.34</v>
      </c>
      <c r="E32" s="47">
        <f t="shared" si="4"/>
        <v>1.2990712600274095</v>
      </c>
      <c r="F32" s="48">
        <f t="shared" si="4"/>
        <v>0.12710479836480765</v>
      </c>
      <c r="G32" s="48">
        <f t="shared" si="5"/>
        <v>0.16511819056730048</v>
      </c>
      <c r="H32" s="49">
        <f t="shared" si="6"/>
        <v>1.6155629767358407E-2</v>
      </c>
    </row>
    <row r="33" spans="2:8" ht="18.5" x14ac:dyDescent="0.45">
      <c r="B33" s="93">
        <v>16</v>
      </c>
      <c r="C33" s="94">
        <v>20.38</v>
      </c>
      <c r="D33" s="95">
        <v>1.3</v>
      </c>
      <c r="E33" s="47">
        <f t="shared" si="4"/>
        <v>1.3092041796704075</v>
      </c>
      <c r="F33" s="48">
        <f t="shared" si="4"/>
        <v>0.11394335230683679</v>
      </c>
      <c r="G33" s="48">
        <f t="shared" si="5"/>
        <v>0.1491751130857685</v>
      </c>
      <c r="H33" s="49">
        <f t="shared" si="6"/>
        <v>1.2983087534919929E-2</v>
      </c>
    </row>
    <row r="34" spans="2:8" ht="18.5" x14ac:dyDescent="0.45">
      <c r="B34" s="93">
        <v>17</v>
      </c>
      <c r="C34" s="94">
        <v>20.440000000000001</v>
      </c>
      <c r="D34" s="95">
        <v>1.42</v>
      </c>
      <c r="E34" s="47">
        <f t="shared" si="4"/>
        <v>1.3104808914626751</v>
      </c>
      <c r="F34" s="48">
        <f t="shared" si="4"/>
        <v>0.15228834438305647</v>
      </c>
      <c r="G34" s="48">
        <f t="shared" si="5"/>
        <v>0.19957096530648272</v>
      </c>
      <c r="H34" s="49">
        <f t="shared" si="6"/>
        <v>2.3191739834932407E-2</v>
      </c>
    </row>
    <row r="35" spans="2:8" ht="18.5" x14ac:dyDescent="0.45">
      <c r="B35" s="93">
        <v>18</v>
      </c>
      <c r="C35" s="94">
        <v>20.2</v>
      </c>
      <c r="D35" s="95">
        <v>1.46</v>
      </c>
      <c r="E35" s="47">
        <f t="shared" si="4"/>
        <v>1.3053513694466237</v>
      </c>
      <c r="F35" s="48">
        <f t="shared" si="4"/>
        <v>0.16435285578443709</v>
      </c>
      <c r="G35" s="48">
        <f t="shared" si="5"/>
        <v>0.2145382253706784</v>
      </c>
      <c r="H35" s="49">
        <f t="shared" si="6"/>
        <v>2.7011861204499978E-2</v>
      </c>
    </row>
    <row r="36" spans="2:8" ht="19" thickBot="1" x14ac:dyDescent="0.5">
      <c r="B36" s="96">
        <v>19</v>
      </c>
      <c r="C36" s="97">
        <v>20.440000000000001</v>
      </c>
      <c r="D36" s="98">
        <v>1.48</v>
      </c>
      <c r="E36" s="65">
        <f t="shared" si="4"/>
        <v>1.3104808914626751</v>
      </c>
      <c r="F36" s="50">
        <f t="shared" si="4"/>
        <v>0.17026171539495738</v>
      </c>
      <c r="G36" s="50">
        <f t="shared" si="5"/>
        <v>0.22312472457274801</v>
      </c>
      <c r="H36" s="51">
        <f t="shared" si="6"/>
        <v>2.8989051729233467E-2</v>
      </c>
    </row>
    <row r="37" spans="2:8" x14ac:dyDescent="0.35">
      <c r="B37" t="s">
        <v>20</v>
      </c>
      <c r="C37">
        <f>SUM(C18:C36)</f>
        <v>327.54000000000002</v>
      </c>
      <c r="D37" s="40">
        <f t="shared" ref="D37:H37" si="7">SUM(D18:D36)</f>
        <v>27.59</v>
      </c>
      <c r="E37" s="40">
        <f t="shared" si="7"/>
        <v>23.384004831788801</v>
      </c>
      <c r="F37" s="40">
        <f t="shared" si="7"/>
        <v>3.0200723176787876</v>
      </c>
      <c r="G37" s="40">
        <f t="shared" si="7"/>
        <v>3.6646877990254914</v>
      </c>
      <c r="H37" s="40">
        <f t="shared" si="7"/>
        <v>0.52887569850937644</v>
      </c>
    </row>
  </sheetData>
  <mergeCells count="3">
    <mergeCell ref="J18:M18"/>
    <mergeCell ref="J19:M19"/>
    <mergeCell ref="M27:O2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8"/>
  <sheetViews>
    <sheetView tabSelected="1" workbookViewId="0">
      <selection activeCell="H32" sqref="H32"/>
    </sheetView>
  </sheetViews>
  <sheetFormatPr defaultRowHeight="14.5" x14ac:dyDescent="0.35"/>
  <cols>
    <col min="10" max="10" width="15" customWidth="1"/>
    <col min="11" max="11" width="12.453125" bestFit="1" customWidth="1"/>
    <col min="12" max="12" width="12.1796875" customWidth="1"/>
    <col min="13" max="13" width="12.453125" bestFit="1" customWidth="1"/>
  </cols>
  <sheetData>
    <row r="3" spans="2:15" ht="19" thickBot="1" x14ac:dyDescent="0.4">
      <c r="B3" s="107"/>
      <c r="C3" s="107" t="s">
        <v>181</v>
      </c>
      <c r="D3" s="107" t="s">
        <v>182</v>
      </c>
      <c r="E3" s="107" t="s">
        <v>183</v>
      </c>
      <c r="F3" s="107" t="s">
        <v>184</v>
      </c>
    </row>
    <row r="4" spans="2:15" ht="20.5" x14ac:dyDescent="0.35">
      <c r="B4" s="108" t="s">
        <v>185</v>
      </c>
      <c r="C4" s="109" t="s">
        <v>186</v>
      </c>
      <c r="D4" s="109" t="s">
        <v>187</v>
      </c>
      <c r="E4" s="109" t="s">
        <v>188</v>
      </c>
      <c r="F4" s="110" t="s">
        <v>189</v>
      </c>
      <c r="J4" t="s">
        <v>63</v>
      </c>
    </row>
    <row r="5" spans="2:15" ht="19" thickBot="1" x14ac:dyDescent="0.4">
      <c r="B5" s="111">
        <v>1961</v>
      </c>
      <c r="C5" s="112">
        <v>59.19</v>
      </c>
      <c r="D5" s="112">
        <v>23.56</v>
      </c>
      <c r="E5" s="112">
        <v>76.2</v>
      </c>
      <c r="F5" s="113">
        <v>20.3</v>
      </c>
    </row>
    <row r="6" spans="2:15" ht="18.5" x14ac:dyDescent="0.35">
      <c r="B6" s="111">
        <v>1962</v>
      </c>
      <c r="C6" s="112">
        <v>65.45</v>
      </c>
      <c r="D6" s="112">
        <v>24.44</v>
      </c>
      <c r="E6" s="112">
        <v>91.7</v>
      </c>
      <c r="F6" s="113">
        <v>21.79</v>
      </c>
      <c r="J6" s="38" t="s">
        <v>64</v>
      </c>
      <c r="K6" s="38"/>
    </row>
    <row r="7" spans="2:15" ht="18.5" x14ac:dyDescent="0.35">
      <c r="B7" s="111">
        <v>1963</v>
      </c>
      <c r="C7" s="112">
        <v>62.36</v>
      </c>
      <c r="D7" s="112">
        <v>32.07</v>
      </c>
      <c r="E7" s="112">
        <v>106.7</v>
      </c>
      <c r="F7" s="113">
        <v>27.32</v>
      </c>
      <c r="J7" s="35" t="s">
        <v>65</v>
      </c>
      <c r="K7" s="35">
        <v>0.9548651174748759</v>
      </c>
    </row>
    <row r="8" spans="2:15" ht="18.5" x14ac:dyDescent="0.35">
      <c r="B8" s="111">
        <v>1964</v>
      </c>
      <c r="C8" s="112">
        <v>64.7</v>
      </c>
      <c r="D8" s="112">
        <v>32.46</v>
      </c>
      <c r="E8" s="112">
        <v>111.6</v>
      </c>
      <c r="F8" s="113">
        <v>27.6</v>
      </c>
      <c r="J8" s="35" t="s">
        <v>66</v>
      </c>
      <c r="K8" s="35">
        <v>0.91176739257030848</v>
      </c>
    </row>
    <row r="9" spans="2:15" ht="18.5" x14ac:dyDescent="0.35">
      <c r="B9" s="111">
        <v>1965</v>
      </c>
      <c r="C9" s="112">
        <v>67.400000000000006</v>
      </c>
      <c r="D9" s="112">
        <v>31.15</v>
      </c>
      <c r="E9" s="112">
        <v>119</v>
      </c>
      <c r="F9" s="113">
        <v>26.95</v>
      </c>
      <c r="J9" s="35" t="s">
        <v>67</v>
      </c>
      <c r="K9" s="35">
        <v>0.8676510888554626</v>
      </c>
    </row>
    <row r="10" spans="2:15" ht="18.5" x14ac:dyDescent="0.35">
      <c r="B10" s="111">
        <v>1966</v>
      </c>
      <c r="C10" s="112">
        <v>64.44</v>
      </c>
      <c r="D10" s="112">
        <v>34.14</v>
      </c>
      <c r="E10" s="112">
        <v>129.19999999999999</v>
      </c>
      <c r="F10" s="113">
        <v>29.31</v>
      </c>
      <c r="J10" s="35" t="s">
        <v>68</v>
      </c>
      <c r="K10" s="35">
        <v>1.784248145111393</v>
      </c>
    </row>
    <row r="11" spans="2:15" ht="19" thickBot="1" x14ac:dyDescent="0.4">
      <c r="B11" s="111">
        <v>1967</v>
      </c>
      <c r="C11" s="112">
        <v>68</v>
      </c>
      <c r="D11" s="112">
        <v>35.299999999999997</v>
      </c>
      <c r="E11" s="112">
        <v>143.4</v>
      </c>
      <c r="F11" s="113">
        <v>30.3</v>
      </c>
      <c r="J11" s="36" t="s">
        <v>69</v>
      </c>
      <c r="K11" s="36">
        <v>10</v>
      </c>
    </row>
    <row r="12" spans="2:15" ht="18.5" x14ac:dyDescent="0.35">
      <c r="B12" s="111">
        <v>1968</v>
      </c>
      <c r="C12" s="112">
        <v>72.400000000000006</v>
      </c>
      <c r="D12" s="112">
        <v>38.700000000000003</v>
      </c>
      <c r="E12" s="112">
        <v>159.6</v>
      </c>
      <c r="F12" s="113">
        <v>33.5</v>
      </c>
    </row>
    <row r="13" spans="2:15" ht="19" thickBot="1" x14ac:dyDescent="0.4">
      <c r="B13" s="111">
        <v>1969</v>
      </c>
      <c r="C13" s="112">
        <v>75.709999999999994</v>
      </c>
      <c r="D13" s="112">
        <v>39.630000000000003</v>
      </c>
      <c r="E13" s="112">
        <v>180</v>
      </c>
      <c r="F13" s="113">
        <v>34.49</v>
      </c>
      <c r="J13" t="s">
        <v>70</v>
      </c>
    </row>
    <row r="14" spans="2:15" ht="19" thickBot="1" x14ac:dyDescent="0.4">
      <c r="B14" s="114">
        <v>1970</v>
      </c>
      <c r="C14" s="115">
        <v>70.680000000000007</v>
      </c>
      <c r="D14" s="115">
        <v>46.68</v>
      </c>
      <c r="E14" s="115">
        <v>193</v>
      </c>
      <c r="F14" s="116">
        <v>41.8</v>
      </c>
      <c r="J14" s="37"/>
      <c r="K14" s="37" t="s">
        <v>74</v>
      </c>
      <c r="L14" s="37" t="s">
        <v>75</v>
      </c>
      <c r="M14" s="37" t="s">
        <v>76</v>
      </c>
      <c r="N14" s="37" t="s">
        <v>77</v>
      </c>
      <c r="O14" s="37" t="s">
        <v>78</v>
      </c>
    </row>
    <row r="15" spans="2:15" x14ac:dyDescent="0.35">
      <c r="B15" t="s">
        <v>20</v>
      </c>
      <c r="C15">
        <f>SUM(C5:C14)</f>
        <v>670.33000000000015</v>
      </c>
      <c r="D15" s="40">
        <f t="shared" ref="D15:F15" si="0">SUM(D5:D14)</f>
        <v>338.13</v>
      </c>
      <c r="E15" s="40">
        <f t="shared" si="0"/>
        <v>1310.4000000000001</v>
      </c>
      <c r="F15" s="40">
        <f t="shared" si="0"/>
        <v>293.36</v>
      </c>
      <c r="J15" s="35" t="s">
        <v>71</v>
      </c>
      <c r="K15" s="35">
        <v>3</v>
      </c>
      <c r="L15" s="35">
        <v>197.38616133999938</v>
      </c>
      <c r="M15" s="35">
        <v>65.795387113333121</v>
      </c>
      <c r="N15" s="35">
        <v>20.667356867966387</v>
      </c>
      <c r="O15" s="35">
        <v>1.4519452497856616E-3</v>
      </c>
    </row>
    <row r="16" spans="2:15" x14ac:dyDescent="0.35">
      <c r="B16" t="s">
        <v>55</v>
      </c>
      <c r="C16">
        <f>AVERAGE(C5:C14)</f>
        <v>67.033000000000015</v>
      </c>
      <c r="D16" s="40">
        <f t="shared" ref="D16:F16" si="1">AVERAGE(D5:D14)</f>
        <v>33.813000000000002</v>
      </c>
      <c r="E16" s="40">
        <f t="shared" si="1"/>
        <v>131.04000000000002</v>
      </c>
      <c r="F16" s="40">
        <f t="shared" si="1"/>
        <v>29.336000000000002</v>
      </c>
      <c r="J16" s="35" t="s">
        <v>72</v>
      </c>
      <c r="K16" s="35">
        <v>6</v>
      </c>
      <c r="L16" s="35">
        <v>19.101248660000678</v>
      </c>
      <c r="M16" s="35">
        <v>3.1835414433334464</v>
      </c>
      <c r="N16" s="35"/>
      <c r="O16" s="35"/>
    </row>
    <row r="17" spans="2:18" ht="15" thickBot="1" x14ac:dyDescent="0.4">
      <c r="J17" s="36" t="s">
        <v>20</v>
      </c>
      <c r="K17" s="36">
        <v>9</v>
      </c>
      <c r="L17" s="36">
        <v>216.48741000000007</v>
      </c>
      <c r="M17" s="36"/>
      <c r="N17" s="36"/>
      <c r="O17" s="36"/>
    </row>
    <row r="18" spans="2:18" ht="15" thickBot="1" x14ac:dyDescent="0.4"/>
    <row r="19" spans="2:18" x14ac:dyDescent="0.35">
      <c r="B19" t="s">
        <v>66</v>
      </c>
      <c r="C19">
        <f>K8</f>
        <v>0.91176739257030848</v>
      </c>
      <c r="J19" s="37"/>
      <c r="K19" s="37" t="s">
        <v>79</v>
      </c>
      <c r="L19" s="37" t="s">
        <v>68</v>
      </c>
      <c r="M19" s="37" t="s">
        <v>80</v>
      </c>
      <c r="N19" s="37" t="s">
        <v>81</v>
      </c>
      <c r="O19" s="37" t="s">
        <v>82</v>
      </c>
      <c r="P19" s="37" t="s">
        <v>83</v>
      </c>
      <c r="Q19" s="37" t="s">
        <v>84</v>
      </c>
      <c r="R19" s="37" t="s">
        <v>85</v>
      </c>
    </row>
    <row r="20" spans="2:18" x14ac:dyDescent="0.35">
      <c r="J20" s="35" t="s">
        <v>73</v>
      </c>
      <c r="K20" s="35">
        <v>62.124164588522788</v>
      </c>
      <c r="L20" s="35">
        <v>4.1138863071790652</v>
      </c>
      <c r="M20" s="35">
        <v>15.101089322792193</v>
      </c>
      <c r="N20" s="35">
        <v>5.3166409100349964E-6</v>
      </c>
      <c r="O20" s="35">
        <v>52.057847429223315</v>
      </c>
      <c r="P20" s="35">
        <v>72.190481747822261</v>
      </c>
      <c r="Q20" s="35">
        <v>52.057847429223315</v>
      </c>
      <c r="R20" s="35">
        <v>72.190481747822261</v>
      </c>
    </row>
    <row r="21" spans="2:18" ht="16.5" x14ac:dyDescent="0.45">
      <c r="B21" s="60" t="s">
        <v>192</v>
      </c>
      <c r="C21">
        <f>K20</f>
        <v>62.124164588522788</v>
      </c>
      <c r="J21" s="35" t="s">
        <v>86</v>
      </c>
      <c r="K21" s="35">
        <v>-0.20242100330803831</v>
      </c>
      <c r="L21" s="35">
        <v>1.0446276760693016</v>
      </c>
      <c r="M21" s="35">
        <v>-0.19377334905552462</v>
      </c>
      <c r="N21" s="35">
        <v>0.85274704053823902</v>
      </c>
      <c r="O21" s="35">
        <v>-2.7585328439160413</v>
      </c>
      <c r="P21" s="35">
        <v>2.3536908372999643</v>
      </c>
      <c r="Q21" s="35">
        <v>-2.7585328439160413</v>
      </c>
      <c r="R21" s="35">
        <v>2.3536908372999643</v>
      </c>
    </row>
    <row r="22" spans="2:18" x14ac:dyDescent="0.35">
      <c r="B22" s="60" t="s">
        <v>193</v>
      </c>
      <c r="C22">
        <f>K21</f>
        <v>-0.20242100330803831</v>
      </c>
      <c r="E22" t="s">
        <v>198</v>
      </c>
      <c r="J22" s="35" t="s">
        <v>190</v>
      </c>
      <c r="K22" s="35">
        <v>0.2996641047592985</v>
      </c>
      <c r="L22" s="35">
        <v>6.2549500375879974E-2</v>
      </c>
      <c r="M22" s="35">
        <v>4.790831308939655</v>
      </c>
      <c r="N22" s="35">
        <v>3.0290324847848417E-3</v>
      </c>
      <c r="O22" s="35">
        <v>0.14661099100636105</v>
      </c>
      <c r="P22" s="35">
        <v>0.45271721851223595</v>
      </c>
      <c r="Q22" s="35">
        <v>0.14661099100636105</v>
      </c>
      <c r="R22" s="35">
        <v>0.45271721851223595</v>
      </c>
    </row>
    <row r="23" spans="2:18" ht="15" thickBot="1" x14ac:dyDescent="0.4">
      <c r="B23" s="60" t="s">
        <v>194</v>
      </c>
      <c r="C23">
        <f>K22</f>
        <v>0.2996641047592985</v>
      </c>
      <c r="J23" s="36" t="s">
        <v>191</v>
      </c>
      <c r="K23" s="36">
        <v>-0.93791544489114231</v>
      </c>
      <c r="L23" s="36">
        <v>1.2139135299456818</v>
      </c>
      <c r="M23" s="36">
        <v>-0.77263777176378501</v>
      </c>
      <c r="N23" s="36">
        <v>0.46906945502122877</v>
      </c>
      <c r="O23" s="36">
        <v>-3.908254847580455</v>
      </c>
      <c r="P23" s="36">
        <v>2.0324239577981702</v>
      </c>
      <c r="Q23" s="36">
        <v>-3.908254847580455</v>
      </c>
      <c r="R23" s="36">
        <v>2.0324239577981702</v>
      </c>
    </row>
    <row r="24" spans="2:18" x14ac:dyDescent="0.35">
      <c r="B24" s="60" t="s">
        <v>195</v>
      </c>
      <c r="C24">
        <f>K23</f>
        <v>-0.93791544489114231</v>
      </c>
    </row>
    <row r="26" spans="2:18" x14ac:dyDescent="0.35">
      <c r="B26" t="s">
        <v>182</v>
      </c>
      <c r="C26">
        <f>-(C22*D16/C16)</f>
        <v>0.10210584913184101</v>
      </c>
    </row>
    <row r="27" spans="2:18" x14ac:dyDescent="0.35">
      <c r="B27" t="s">
        <v>196</v>
      </c>
      <c r="C27">
        <f>C23*E16/C16</f>
        <v>0.58580078897943499</v>
      </c>
    </row>
    <row r="28" spans="2:18" x14ac:dyDescent="0.35">
      <c r="B28" t="s">
        <v>197</v>
      </c>
      <c r="C28">
        <f>-(C24*F16/C16)</f>
        <v>0.41046480824857229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LogNormal</vt:lpstr>
      <vt:lpstr>Sheet5</vt:lpstr>
      <vt:lpstr>Pareto</vt:lpstr>
      <vt:lpstr>Cobb Doglus</vt:lpstr>
      <vt:lpstr>CES</vt:lpstr>
      <vt:lpstr>Elasticity</vt:lpstr>
      <vt:lpstr>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Sujaul</dc:creator>
  <cp:lastModifiedBy>Sujaul</cp:lastModifiedBy>
  <dcterms:created xsi:type="dcterms:W3CDTF">2022-11-23T11:18:25Z</dcterms:created>
  <dcterms:modified xsi:type="dcterms:W3CDTF">2023-02-28T17:49:36Z</dcterms:modified>
</cp:coreProperties>
</file>