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80" windowWidth="19140" windowHeight="7340" firstSheet="1" activeTab="7"/>
  </bookViews>
  <sheets>
    <sheet name="Pyramid" sheetId="1" r:id="rId1"/>
    <sheet name="CBR, CDR" sheetId="2" r:id="rId2"/>
    <sheet name="Life Table" sheetId="3" r:id="rId3"/>
    <sheet name="Gini Ratio" sheetId="4" r:id="rId4"/>
    <sheet name="SMAM" sheetId="5" r:id="rId5"/>
    <sheet name="Migration" sheetId="6" r:id="rId6"/>
    <sheet name="UN age sex" sheetId="7" r:id="rId7"/>
    <sheet name="Standardization" sheetId="8" r:id="rId8"/>
  </sheets>
  <calcPr calcId="145621"/>
</workbook>
</file>

<file path=xl/calcChain.xml><?xml version="1.0" encoding="utf-8"?>
<calcChain xmlns="http://schemas.openxmlformats.org/spreadsheetml/2006/main">
  <c r="G30" i="3" l="1"/>
  <c r="F5" i="3"/>
  <c r="F4" i="3"/>
  <c r="H19" i="3"/>
  <c r="G26" i="2"/>
  <c r="P19" i="2"/>
  <c r="E4" i="1"/>
  <c r="M10" i="8"/>
  <c r="E21" i="8"/>
  <c r="M9" i="8"/>
  <c r="M8" i="8"/>
  <c r="G21" i="8"/>
  <c r="H21" i="8"/>
  <c r="C21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4" i="8"/>
  <c r="F21" i="7"/>
  <c r="F27" i="7" s="1"/>
  <c r="J21" i="7"/>
  <c r="H21" i="7"/>
  <c r="D20" i="7"/>
  <c r="E20" i="7"/>
  <c r="F20" i="7"/>
  <c r="G20" i="7"/>
  <c r="H20" i="7"/>
  <c r="I20" i="7"/>
  <c r="J20" i="7"/>
  <c r="C20" i="7"/>
  <c r="I18" i="7"/>
  <c r="I15" i="7"/>
  <c r="I14" i="7"/>
  <c r="J14" i="7" s="1"/>
  <c r="I6" i="7"/>
  <c r="J7" i="7"/>
  <c r="J8" i="7"/>
  <c r="J9" i="7"/>
  <c r="J10" i="7"/>
  <c r="J11" i="7"/>
  <c r="J12" i="7"/>
  <c r="J13" i="7"/>
  <c r="J15" i="7"/>
  <c r="J16" i="7"/>
  <c r="J17" i="7"/>
  <c r="J18" i="7"/>
  <c r="J6" i="7"/>
  <c r="H7" i="7"/>
  <c r="H8" i="7"/>
  <c r="H9" i="7"/>
  <c r="H10" i="7"/>
  <c r="H11" i="7"/>
  <c r="H12" i="7"/>
  <c r="H13" i="7"/>
  <c r="H14" i="7"/>
  <c r="H15" i="7"/>
  <c r="H16" i="7"/>
  <c r="H17" i="7"/>
  <c r="H18" i="7"/>
  <c r="H6" i="7"/>
  <c r="I7" i="7"/>
  <c r="I8" i="7"/>
  <c r="I9" i="7"/>
  <c r="I10" i="7"/>
  <c r="I11" i="7"/>
  <c r="I12" i="7"/>
  <c r="I13" i="7"/>
  <c r="I16" i="7"/>
  <c r="I17" i="7"/>
  <c r="G7" i="7"/>
  <c r="G8" i="7"/>
  <c r="G9" i="7"/>
  <c r="G10" i="7"/>
  <c r="G11" i="7"/>
  <c r="G12" i="7"/>
  <c r="G13" i="7"/>
  <c r="G14" i="7"/>
  <c r="G15" i="7"/>
  <c r="G16" i="7"/>
  <c r="G17" i="7"/>
  <c r="G18" i="7"/>
  <c r="G6" i="7"/>
  <c r="F19" i="7"/>
  <c r="F7" i="7"/>
  <c r="F8" i="7"/>
  <c r="F9" i="7"/>
  <c r="F10" i="7"/>
  <c r="F11" i="7"/>
  <c r="F12" i="7"/>
  <c r="F13" i="7"/>
  <c r="F14" i="7"/>
  <c r="F15" i="7"/>
  <c r="F16" i="7"/>
  <c r="F17" i="7"/>
  <c r="F18" i="7"/>
  <c r="F6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5" i="7"/>
  <c r="F16" i="6" l="1"/>
  <c r="D16" i="6"/>
  <c r="F15" i="6"/>
  <c r="F14" i="6"/>
  <c r="F13" i="6"/>
  <c r="F12" i="6"/>
  <c r="D12" i="6"/>
  <c r="D14" i="6"/>
  <c r="D15" i="6"/>
  <c r="D13" i="6"/>
  <c r="M7" i="6"/>
  <c r="M8" i="6" s="1"/>
  <c r="M6" i="6"/>
  <c r="M5" i="6"/>
  <c r="M4" i="6"/>
  <c r="J8" i="6"/>
  <c r="J7" i="6"/>
  <c r="J6" i="6"/>
  <c r="J5" i="6"/>
  <c r="J4" i="6"/>
  <c r="G8" i="6"/>
  <c r="D8" i="6"/>
  <c r="E8" i="6"/>
  <c r="F8" i="6"/>
  <c r="C8" i="6"/>
  <c r="G5" i="6"/>
  <c r="G6" i="6"/>
  <c r="G7" i="6"/>
  <c r="G4" i="6"/>
  <c r="I9" i="5"/>
  <c r="H9" i="5"/>
  <c r="I7" i="5"/>
  <c r="H7" i="5"/>
  <c r="I6" i="5"/>
  <c r="H6" i="5"/>
  <c r="I5" i="5"/>
  <c r="H5" i="5"/>
  <c r="I4" i="5"/>
  <c r="H4" i="5"/>
  <c r="E18" i="4" l="1"/>
  <c r="E12" i="4"/>
  <c r="G5" i="4" s="1"/>
  <c r="D12" i="4"/>
  <c r="F5" i="4" s="1"/>
  <c r="H30" i="3"/>
  <c r="H27" i="3"/>
  <c r="G27" i="3"/>
  <c r="H24" i="3"/>
  <c r="G26" i="3"/>
  <c r="G25" i="3"/>
  <c r="G24" i="3"/>
  <c r="O21" i="3"/>
  <c r="P21" i="3"/>
  <c r="Q21" i="3"/>
  <c r="R21" i="3"/>
  <c r="L21" i="3"/>
  <c r="N21" i="3"/>
  <c r="J21" i="3"/>
  <c r="J20" i="3"/>
  <c r="D21" i="3"/>
  <c r="E21" i="3"/>
  <c r="F21" i="3"/>
  <c r="G21" i="3"/>
  <c r="H21" i="3"/>
  <c r="I21" i="3"/>
  <c r="C21" i="3"/>
  <c r="H20" i="3"/>
  <c r="T4" i="3"/>
  <c r="S6" i="3"/>
  <c r="S7" i="3" s="1"/>
  <c r="S8" i="3" s="1"/>
  <c r="S9" i="3" s="1"/>
  <c r="S10" i="3" s="1"/>
  <c r="S11" i="3" s="1"/>
  <c r="S12" i="3" s="1"/>
  <c r="S13" i="3" s="1"/>
  <c r="S14" i="3" s="1"/>
  <c r="S15" i="3" s="1"/>
  <c r="S16" i="3" s="1"/>
  <c r="S17" i="3" s="1"/>
  <c r="S18" i="3" s="1"/>
  <c r="S19" i="3" s="1"/>
  <c r="S20" i="3" s="1"/>
  <c r="T20" i="3" s="1"/>
  <c r="U20" i="3" s="1"/>
  <c r="V20" i="3" s="1"/>
  <c r="S5" i="3"/>
  <c r="R20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4" i="3"/>
  <c r="I20" i="3"/>
  <c r="I5" i="3"/>
  <c r="I19" i="3"/>
  <c r="I17" i="3"/>
  <c r="I6" i="3"/>
  <c r="I7" i="3"/>
  <c r="I8" i="3"/>
  <c r="I9" i="3"/>
  <c r="I10" i="3"/>
  <c r="I11" i="3"/>
  <c r="I12" i="3"/>
  <c r="I13" i="3"/>
  <c r="I14" i="3"/>
  <c r="I15" i="3"/>
  <c r="I16" i="3"/>
  <c r="I18" i="3"/>
  <c r="I4" i="3"/>
  <c r="H7" i="3"/>
  <c r="H8" i="3" s="1"/>
  <c r="H9" i="3" s="1"/>
  <c r="H10" i="3" s="1"/>
  <c r="H11" i="3" s="1"/>
  <c r="H12" i="3" s="1"/>
  <c r="H13" i="3" s="1"/>
  <c r="H14" i="3" s="1"/>
  <c r="H15" i="3" s="1"/>
  <c r="H16" i="3" s="1"/>
  <c r="H17" i="3" s="1"/>
  <c r="H18" i="3" s="1"/>
  <c r="H6" i="3"/>
  <c r="H5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4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4" i="4" l="1"/>
  <c r="H4" i="4" s="1"/>
  <c r="F8" i="4"/>
  <c r="G4" i="4"/>
  <c r="I4" i="4" s="1"/>
  <c r="G8" i="4"/>
  <c r="F11" i="4"/>
  <c r="F7" i="4"/>
  <c r="G11" i="4"/>
  <c r="G7" i="4"/>
  <c r="F10" i="4"/>
  <c r="F6" i="4"/>
  <c r="G10" i="4"/>
  <c r="G6" i="4"/>
  <c r="F9" i="4"/>
  <c r="G9" i="4"/>
  <c r="H26" i="3"/>
  <c r="T5" i="3"/>
  <c r="T16" i="3"/>
  <c r="T12" i="3"/>
  <c r="T8" i="3"/>
  <c r="S21" i="3"/>
  <c r="T19" i="3"/>
  <c r="U19" i="3" s="1"/>
  <c r="T15" i="3"/>
  <c r="T11" i="3"/>
  <c r="T7" i="3"/>
  <c r="T18" i="3"/>
  <c r="T14" i="3"/>
  <c r="T10" i="3"/>
  <c r="T6" i="3"/>
  <c r="T17" i="3"/>
  <c r="T13" i="3"/>
  <c r="T9" i="3"/>
  <c r="J4" i="4" l="1"/>
  <c r="H5" i="4"/>
  <c r="K4" i="4" s="1"/>
  <c r="I5" i="4"/>
  <c r="T21" i="3"/>
  <c r="U18" i="3"/>
  <c r="V19" i="3"/>
  <c r="I6" i="4" l="1"/>
  <c r="J5" i="4" s="1"/>
  <c r="H6" i="4"/>
  <c r="U17" i="3"/>
  <c r="V18" i="3"/>
  <c r="I7" i="4" l="1"/>
  <c r="J6" i="4" s="1"/>
  <c r="K6" i="4"/>
  <c r="H7" i="4"/>
  <c r="K5" i="4"/>
  <c r="U16" i="3"/>
  <c r="V17" i="3"/>
  <c r="H8" i="4" l="1"/>
  <c r="K7" i="4" s="1"/>
  <c r="I8" i="4"/>
  <c r="U15" i="3"/>
  <c r="V16" i="3"/>
  <c r="I9" i="4" l="1"/>
  <c r="K8" i="4"/>
  <c r="J7" i="4"/>
  <c r="H9" i="4"/>
  <c r="U14" i="3"/>
  <c r="V15" i="3"/>
  <c r="I10" i="4" l="1"/>
  <c r="H10" i="4"/>
  <c r="J8" i="4"/>
  <c r="U13" i="3"/>
  <c r="V14" i="3"/>
  <c r="H11" i="4" l="1"/>
  <c r="K10" i="4" s="1"/>
  <c r="K12" i="4" s="1"/>
  <c r="J10" i="4"/>
  <c r="J12" i="4" s="1"/>
  <c r="I11" i="4"/>
  <c r="J9" i="4"/>
  <c r="K9" i="4"/>
  <c r="U12" i="3"/>
  <c r="V13" i="3"/>
  <c r="U11" i="3" l="1"/>
  <c r="V12" i="3"/>
  <c r="U10" i="3" l="1"/>
  <c r="V11" i="3"/>
  <c r="U9" i="3" l="1"/>
  <c r="V10" i="3"/>
  <c r="U8" i="3" l="1"/>
  <c r="V9" i="3"/>
  <c r="U7" i="3" l="1"/>
  <c r="V8" i="3"/>
  <c r="U6" i="3" l="1"/>
  <c r="V7" i="3"/>
  <c r="U5" i="3" l="1"/>
  <c r="V6" i="3"/>
  <c r="U4" i="3" l="1"/>
  <c r="V5" i="3"/>
  <c r="U21" i="3" l="1"/>
  <c r="V4" i="3"/>
  <c r="V21" i="3" l="1"/>
  <c r="H25" i="3"/>
  <c r="L35" i="2" l="1"/>
  <c r="L34" i="2"/>
  <c r="K32" i="2"/>
  <c r="K31" i="2"/>
  <c r="K30" i="2"/>
  <c r="K29" i="2"/>
  <c r="D33" i="2"/>
  <c r="E33" i="2"/>
  <c r="F33" i="2"/>
  <c r="G33" i="2"/>
  <c r="H33" i="2"/>
  <c r="C33" i="2"/>
  <c r="G27" i="2"/>
  <c r="G28" i="2"/>
  <c r="G29" i="2"/>
  <c r="G30" i="2"/>
  <c r="G31" i="2"/>
  <c r="G32" i="2"/>
  <c r="K22" i="2"/>
  <c r="D22" i="2"/>
  <c r="N5" i="2" s="1"/>
  <c r="N19" i="2" s="1"/>
  <c r="E22" i="2"/>
  <c r="N6" i="2" s="1"/>
  <c r="F22" i="2"/>
  <c r="G22" i="2"/>
  <c r="N7" i="2" s="1"/>
  <c r="H22" i="2"/>
  <c r="N8" i="2" s="1"/>
  <c r="I22" i="2"/>
  <c r="N9" i="2" s="1"/>
  <c r="O18" i="2" s="1"/>
  <c r="J22" i="2"/>
  <c r="C22" i="2"/>
  <c r="N4" i="2" s="1"/>
  <c r="N10" i="2" s="1"/>
  <c r="N12" i="2" l="1"/>
  <c r="P18" i="2" s="1"/>
  <c r="N18" i="2"/>
  <c r="O17" i="2"/>
  <c r="O19" i="2"/>
  <c r="N17" i="2"/>
  <c r="N11" i="2"/>
  <c r="P17" i="2" l="1"/>
  <c r="E20" i="1" l="1"/>
  <c r="F20" i="1"/>
  <c r="E44" i="1"/>
  <c r="E43" i="1"/>
  <c r="E42" i="1"/>
  <c r="E36" i="1"/>
  <c r="E38" i="1"/>
  <c r="E37" i="1"/>
  <c r="D33" i="1"/>
  <c r="F31" i="1"/>
  <c r="F29" i="1"/>
  <c r="F28" i="1"/>
  <c r="F27" i="1"/>
  <c r="D24" i="1"/>
  <c r="D23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4" i="1"/>
  <c r="E11" i="1"/>
  <c r="E15" i="1"/>
  <c r="E19" i="1"/>
  <c r="D20" i="1"/>
  <c r="C20" i="1"/>
  <c r="E6" i="1" s="1"/>
  <c r="E7" i="1" l="1"/>
  <c r="E17" i="1"/>
  <c r="E13" i="1"/>
  <c r="E9" i="1"/>
  <c r="E5" i="1"/>
  <c r="E16" i="1"/>
  <c r="E12" i="1"/>
  <c r="E8" i="1"/>
  <c r="E18" i="1"/>
  <c r="E14" i="1"/>
  <c r="E10" i="1"/>
  <c r="K20" i="3" l="1"/>
  <c r="J19" i="3" l="1"/>
  <c r="J18" i="3" l="1"/>
  <c r="K19" i="3"/>
  <c r="K18" i="3" l="1"/>
  <c r="J17" i="3"/>
  <c r="K17" i="3" l="1"/>
  <c r="J16" i="3"/>
  <c r="K16" i="3" l="1"/>
  <c r="J15" i="3"/>
  <c r="J14" i="3" l="1"/>
  <c r="K15" i="3"/>
  <c r="J13" i="3" l="1"/>
  <c r="K14" i="3"/>
  <c r="K13" i="3" l="1"/>
  <c r="J12" i="3"/>
  <c r="K12" i="3" l="1"/>
  <c r="J11" i="3"/>
  <c r="J10" i="3" l="1"/>
  <c r="K11" i="3"/>
  <c r="K10" i="3" l="1"/>
  <c r="J9" i="3"/>
  <c r="J8" i="3" l="1"/>
  <c r="K9" i="3"/>
  <c r="K8" i="3" l="1"/>
  <c r="J7" i="3"/>
  <c r="J6" i="3" l="1"/>
  <c r="K7" i="3"/>
  <c r="K6" i="3" l="1"/>
  <c r="J5" i="3"/>
  <c r="K5" i="3" l="1"/>
  <c r="K21" i="3" s="1"/>
  <c r="J4" i="3"/>
  <c r="K4" i="3" s="1"/>
</calcChain>
</file>

<file path=xl/sharedStrings.xml><?xml version="1.0" encoding="utf-8"?>
<sst xmlns="http://schemas.openxmlformats.org/spreadsheetml/2006/main" count="354" uniqueCount="182">
  <si>
    <t>Age Group</t>
  </si>
  <si>
    <t>Poplation in Year</t>
  </si>
  <si>
    <t>0-4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</si>
  <si>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</si>
  <si>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</si>
  <si>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</si>
  <si>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</si>
  <si>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</si>
  <si>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</si>
  <si>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</si>
  <si>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</si>
  <si>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</si>
  <si>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</si>
  <si>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</si>
  <si>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</si>
  <si>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</si>
  <si>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</si>
  <si>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75+</t>
  </si>
  <si>
    <t>Percent year population</t>
  </si>
  <si>
    <t>Given Data</t>
  </si>
  <si>
    <t>Calculated Data</t>
  </si>
  <si>
    <t>Pt =</t>
  </si>
  <si>
    <t xml:space="preserve">Po = </t>
  </si>
  <si>
    <t>t</t>
  </si>
  <si>
    <t>t=</t>
  </si>
  <si>
    <t>Linear growth rate r</t>
  </si>
  <si>
    <t>=</t>
  </si>
  <si>
    <t>Geometric growth rate r</t>
  </si>
  <si>
    <t>Exponential growth rate r</t>
  </si>
  <si>
    <t>Requried time to double</t>
  </si>
  <si>
    <t>(Exponential)</t>
  </si>
  <si>
    <r>
      <t>P</t>
    </r>
    <r>
      <rPr>
        <vertAlign val="subscript"/>
        <sz val="11"/>
        <color theme="1"/>
        <rFont val="Calibri"/>
        <family val="2"/>
        <scheme val="minor"/>
      </rPr>
      <t>0</t>
    </r>
  </si>
  <si>
    <r>
      <t>P</t>
    </r>
    <r>
      <rPr>
        <vertAlign val="subscript"/>
        <sz val="11"/>
        <color theme="1"/>
        <rFont val="Calibri"/>
        <family val="2"/>
        <scheme val="minor"/>
      </rPr>
      <t>2031</t>
    </r>
  </si>
  <si>
    <t xml:space="preserve">Projected population in 2031 </t>
  </si>
  <si>
    <t>(Linear)</t>
  </si>
  <si>
    <t>(Geometric)</t>
  </si>
  <si>
    <t>Projected population in 2051</t>
  </si>
  <si>
    <r>
      <t>P</t>
    </r>
    <r>
      <rPr>
        <vertAlign val="subscript"/>
        <sz val="11"/>
        <color theme="1"/>
        <rFont val="Calibri"/>
        <family val="2"/>
        <scheme val="minor"/>
      </rPr>
      <t>2051</t>
    </r>
  </si>
  <si>
    <t>Population</t>
  </si>
  <si>
    <t>No. of Births</t>
  </si>
  <si>
    <t>No. of Deaths</t>
  </si>
  <si>
    <r>
      <t>q</t>
    </r>
    <r>
      <rPr>
        <vertAlign val="subscript"/>
        <sz val="11"/>
        <color theme="1"/>
        <rFont val="Calibri"/>
        <family val="2"/>
        <scheme val="minor"/>
      </rPr>
      <t>x</t>
    </r>
  </si>
  <si>
    <t>Male</t>
  </si>
  <si>
    <t>Female</t>
  </si>
  <si>
    <t>Population Surviving</t>
  </si>
  <si>
    <t>&lt;1</t>
  </si>
  <si>
    <t>Total Population</t>
  </si>
  <si>
    <t>Total Birth</t>
  </si>
  <si>
    <t>Total Death</t>
  </si>
  <si>
    <t>Male Population</t>
  </si>
  <si>
    <t>Male Birth</t>
  </si>
  <si>
    <t>Male Death</t>
  </si>
  <si>
    <t>Female Population</t>
  </si>
  <si>
    <t>Female Birth</t>
  </si>
  <si>
    <t>Female Death</t>
  </si>
  <si>
    <t>Mid year Population</t>
  </si>
  <si>
    <t>Sex ratio</t>
  </si>
  <si>
    <t>Given</t>
  </si>
  <si>
    <t>CBR</t>
  </si>
  <si>
    <t>Total</t>
  </si>
  <si>
    <t>CDR</t>
  </si>
  <si>
    <t>IMR</t>
  </si>
  <si>
    <t>Pop.</t>
  </si>
  <si>
    <t>Birth</t>
  </si>
  <si>
    <t>ASFRi</t>
  </si>
  <si>
    <t>GFR</t>
  </si>
  <si>
    <t>TFR</t>
  </si>
  <si>
    <t>GRR</t>
  </si>
  <si>
    <t>(i)</t>
  </si>
  <si>
    <t>(ii)</t>
  </si>
  <si>
    <t>NRR</t>
  </si>
  <si>
    <t>(iii)</t>
  </si>
  <si>
    <t>Dependency ratio(male)</t>
  </si>
  <si>
    <t>Dependency ratio(female)</t>
  </si>
  <si>
    <t>Age group</t>
  </si>
  <si>
    <t>Pop</t>
  </si>
  <si>
    <t>1-4</t>
  </si>
  <si>
    <t>death</t>
  </si>
  <si>
    <t>qx</t>
  </si>
  <si>
    <t>lx</t>
  </si>
  <si>
    <t>Lx</t>
  </si>
  <si>
    <t>Tx</t>
  </si>
  <si>
    <r>
      <t>p</t>
    </r>
    <r>
      <rPr>
        <b/>
        <vertAlign val="subscript"/>
        <sz val="11"/>
        <color theme="1"/>
        <rFont val="Calibri"/>
        <family val="2"/>
        <scheme val="minor"/>
      </rPr>
      <t>x</t>
    </r>
  </si>
  <si>
    <r>
      <t>m</t>
    </r>
    <r>
      <rPr>
        <b/>
        <vertAlign val="subscript"/>
        <sz val="11"/>
        <color theme="1"/>
        <rFont val="Calibri"/>
        <family val="2"/>
        <scheme val="minor"/>
      </rPr>
      <t>x</t>
    </r>
  </si>
  <si>
    <r>
      <t>q</t>
    </r>
    <r>
      <rPr>
        <b/>
        <vertAlign val="subscript"/>
        <sz val="11"/>
        <color theme="1"/>
        <rFont val="Calibri"/>
        <family val="2"/>
        <scheme val="minor"/>
      </rPr>
      <t>x</t>
    </r>
  </si>
  <si>
    <t>Abridge Life Table</t>
  </si>
  <si>
    <t>Surviving between age 60 to 70</t>
  </si>
  <si>
    <t>Life table birth and death rate</t>
  </si>
  <si>
    <r>
      <t>e</t>
    </r>
    <r>
      <rPr>
        <b/>
        <vertAlign val="superscript"/>
        <sz val="11"/>
        <color theme="1"/>
        <rFont val="Calibri"/>
        <family val="2"/>
        <scheme val="minor"/>
      </rPr>
      <t>x</t>
    </r>
  </si>
  <si>
    <t>Die between age 40 to 55</t>
  </si>
  <si>
    <t>Surviving probability between birth to age 50</t>
  </si>
  <si>
    <t>Median age(20-24)</t>
  </si>
  <si>
    <t>Lower limit</t>
  </si>
  <si>
    <t>Size of the locality</t>
  </si>
  <si>
    <t>No. of locality</t>
  </si>
  <si>
    <t>500000+</t>
  </si>
  <si>
    <t>100000 - 499999</t>
  </si>
  <si>
    <t>50000 - 99999</t>
  </si>
  <si>
    <t>20000 - 49999</t>
  </si>
  <si>
    <t>10000 - 19999</t>
  </si>
  <si>
    <t>5000 - 9999</t>
  </si>
  <si>
    <t>2000 - 4999</t>
  </si>
  <si>
    <t>1000 - 1999</t>
  </si>
  <si>
    <t>locality</t>
  </si>
  <si>
    <t>population</t>
  </si>
  <si>
    <r>
      <t>Y</t>
    </r>
    <r>
      <rPr>
        <vertAlign val="subscript"/>
        <sz val="11"/>
        <color theme="1"/>
        <rFont val="Calibri"/>
        <family val="2"/>
        <scheme val="minor"/>
      </rPr>
      <t>i +1</t>
    </r>
    <r>
      <rPr>
        <sz val="11"/>
        <color theme="1"/>
        <rFont val="Calibri"/>
        <family val="2"/>
        <scheme val="minor"/>
      </rPr>
      <t xml:space="preserve"> *X</t>
    </r>
    <r>
      <rPr>
        <vertAlign val="subscript"/>
        <sz val="11"/>
        <color theme="1"/>
        <rFont val="Calibri"/>
        <family val="2"/>
        <scheme val="minor"/>
      </rPr>
      <t>i</t>
    </r>
  </si>
  <si>
    <t>Proportion</t>
  </si>
  <si>
    <t>Cumulative Proportion</t>
  </si>
  <si>
    <r>
      <t>Y</t>
    </r>
    <r>
      <rPr>
        <vertAlign val="subscript"/>
        <sz val="11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>*X</t>
    </r>
    <r>
      <rPr>
        <vertAlign val="subscript"/>
        <sz val="11"/>
        <color theme="1"/>
        <rFont val="Calibri"/>
        <family val="2"/>
        <scheme val="minor"/>
      </rPr>
      <t>i+1</t>
    </r>
  </si>
  <si>
    <t>locality(Yi)</t>
  </si>
  <si>
    <t>population(Xi)</t>
  </si>
  <si>
    <t>GR</t>
  </si>
  <si>
    <t>Gini  concentration ratio</t>
  </si>
  <si>
    <t>CBR, CDR, IMR, GFR, GRR, NRR</t>
  </si>
  <si>
    <t>Projection Single</t>
  </si>
  <si>
    <t>Male (Si)</t>
  </si>
  <si>
    <t>Female (Sj)</t>
  </si>
  <si>
    <t>T1</t>
  </si>
  <si>
    <t>T2</t>
  </si>
  <si>
    <t>B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</si>
  <si>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</si>
  <si>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</si>
  <si>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</si>
  <si>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</si>
  <si>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</si>
  <si>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</si>
  <si>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</si>
  <si>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</si>
  <si>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</si>
  <si>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D</t>
  </si>
  <si>
    <t>SMAM</t>
  </si>
  <si>
    <t>singulate mean age at marriage (SMAM)</t>
  </si>
  <si>
    <t>The average number of years lived by a cohort of male and female are aproximately 29 and 23 respectivlely before their first marriage</t>
  </si>
  <si>
    <t>T2 = 1500 + T1</t>
  </si>
  <si>
    <r>
      <t>T1 = 5*</t>
    </r>
    <r>
      <rPr>
        <sz val="11"/>
        <color theme="1"/>
        <rFont val="Calibri"/>
        <family val="2"/>
      </rPr>
      <t>∑Si i=1,…,8</t>
    </r>
  </si>
  <si>
    <t>A = 1/2(S8+S9)</t>
  </si>
  <si>
    <t>B = 50A</t>
  </si>
  <si>
    <t>C = T2 - B</t>
  </si>
  <si>
    <t>D = 100 - A</t>
  </si>
  <si>
    <t>SMAM = C/D</t>
  </si>
  <si>
    <t xml:space="preserve">T2 = 1500+5*∑Si </t>
  </si>
  <si>
    <t>B = 50/2(S8+S9)</t>
  </si>
  <si>
    <t>D = 100 - (S8+S9)/2</t>
  </si>
  <si>
    <t>Place of Enumeration</t>
  </si>
  <si>
    <t>CTG</t>
  </si>
  <si>
    <t>Dhaka</t>
  </si>
  <si>
    <t>Khulna</t>
  </si>
  <si>
    <t>Rajshahi</t>
  </si>
  <si>
    <t>Place of Birth</t>
  </si>
  <si>
    <t>OMR</t>
  </si>
  <si>
    <t>NMR</t>
  </si>
  <si>
    <t>GMR</t>
  </si>
  <si>
    <t>ER</t>
  </si>
  <si>
    <t>Sex Ratio</t>
  </si>
  <si>
    <t>Succesive Difference (SD)</t>
  </si>
  <si>
    <t>Male Age Ratio (Mi)</t>
  </si>
  <si>
    <t>Male Deviation from 100 (Am)</t>
  </si>
  <si>
    <t>Female Age Ratio (Fi)</t>
  </si>
  <si>
    <t>Female Deviation from 100 (Af)</t>
  </si>
  <si>
    <t>Average</t>
  </si>
  <si>
    <t>Sx.bar</t>
  </si>
  <si>
    <t>Am.bar</t>
  </si>
  <si>
    <t>Af.bar</t>
  </si>
  <si>
    <t>UN = 3Ŝx+Ām+Āf</t>
  </si>
  <si>
    <t>ASDR of Study Population (ma)</t>
  </si>
  <si>
    <t>Study Population (pa)</t>
  </si>
  <si>
    <t>ASDR of Standard Population (Ma)</t>
  </si>
  <si>
    <t>Standard Population (Pa)</t>
  </si>
  <si>
    <t>maPa</t>
  </si>
  <si>
    <t>Mapa</t>
  </si>
  <si>
    <t>∑maPa</t>
  </si>
  <si>
    <t>∑Mapa</t>
  </si>
  <si>
    <t>Given value</t>
  </si>
  <si>
    <t>d</t>
  </si>
  <si>
    <t>M</t>
  </si>
  <si>
    <t>Direct method</t>
  </si>
  <si>
    <t>Indirect method</t>
  </si>
  <si>
    <t>Percent difference from standard population</t>
  </si>
  <si>
    <t>a pyramid with a very wide base and a narrow top section suggests a population with both high fertility and death rates. Whereas, a pyramid with a wider top half and a narrower base would suggest an ageing population with low fertility rates.</t>
  </si>
  <si>
    <r>
      <t>total fertility rate is the</t>
    </r>
    <r>
      <rPr>
        <b/>
        <sz val="12"/>
        <color rgb="FF111111"/>
        <rFont val="Arial"/>
        <family val="2"/>
      </rPr>
      <t> average number of children a woman would have if a she survives all her childbearing (or reproductive) years</t>
    </r>
    <r>
      <rPr>
        <sz val="12"/>
        <color rgb="FF111111"/>
        <rFont val="Arial"/>
        <family val="2"/>
      </rPr>
      <t>.</t>
    </r>
  </si>
  <si>
    <r>
      <t>gross reproduction rate (GRR) is the</t>
    </r>
    <r>
      <rPr>
        <b/>
        <sz val="12"/>
        <color rgb="FF111111"/>
        <rFont val="Arial"/>
        <family val="2"/>
      </rPr>
      <t> average number of daughters a woman would have if she survived all of her childbearing years</t>
    </r>
    <r>
      <rPr>
        <sz val="12"/>
        <color rgb="FF111111"/>
        <rFont val="Arial"/>
        <family val="2"/>
      </rPr>
      <t>,</t>
    </r>
  </si>
  <si>
    <r>
      <t>net</t>
    </r>
    <r>
      <rPr>
        <sz val="14"/>
        <color rgb="FF111111"/>
        <rFont val="Arial"/>
        <family val="2"/>
      </rPr>
      <t> </t>
    </r>
    <r>
      <rPr>
        <b/>
        <sz val="14"/>
        <color rgb="FF111111"/>
        <rFont val="Arial"/>
        <family val="2"/>
      </rPr>
      <t>reproduction</t>
    </r>
    <r>
      <rPr>
        <sz val="14"/>
        <color rgb="FF111111"/>
        <rFont val="Arial"/>
        <family val="2"/>
      </rPr>
      <t> </t>
    </r>
    <r>
      <rPr>
        <b/>
        <sz val="14"/>
        <color rgb="FF111111"/>
        <rFont val="Arial"/>
        <family val="2"/>
      </rPr>
      <t>rate</t>
    </r>
    <r>
      <rPr>
        <sz val="14"/>
        <color rgb="FF111111"/>
        <rFont val="Arial"/>
        <family val="2"/>
      </rPr>
      <t>, R0, is the average number of offspring (often specifically daughters) that would be born to a female if she passed through her lifetime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</si>
</sst>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3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theme="3"/>
      <name val="Calibri"/>
      <family val="2"/>
      <scheme val="minor"/>
    </font>
    <font>
      <b/>
      <i/>
      <sz val="11"/>
      <color theme="6" tint="-0.499984740745262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i/>
      <sz val="11"/>
      <color theme="6" tint="-0.499984740745262"/>
      <name val="Calibri"/>
      <family val="2"/>
      <scheme val="minor"/>
    </font>
    <font>
      <i/>
      <sz val="11"/>
      <color rgb="FF0070C0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color rgb="FF111111"/>
      <name val="Arial"/>
      <family val="2"/>
    </font>
    <font>
      <b/>
      <sz val="11"/>
      <color rgb="FF111111"/>
      <name val="Arial"/>
      <family val="2"/>
    </font>
    <font>
      <sz val="11"/>
      <color theme="1"/>
      <name val="Calibri"/>
      <family val="2"/>
    </font>
    <font>
      <sz val="18"/>
      <color rgb="FF00B050"/>
      <name val="Calibri"/>
      <family val="2"/>
      <scheme val="minor"/>
    </font>
    <font>
      <sz val="18"/>
      <color rgb="FFFFFF00"/>
      <name val="Calibri"/>
      <family val="2"/>
      <scheme val="minor"/>
    </font>
    <font>
      <sz val="18"/>
      <color rgb="FF0070C0"/>
      <name val="Calibri"/>
      <family val="2"/>
      <scheme val="minor"/>
    </font>
    <font>
      <sz val="18"/>
      <color theme="9" tint="-0.499984740745262"/>
      <name val="Calibri"/>
      <family val="2"/>
      <scheme val="minor"/>
    </font>
    <font>
      <sz val="12"/>
      <color rgb="FF111111"/>
      <name val="Arial"/>
      <family val="2"/>
    </font>
    <font>
      <b/>
      <sz val="12"/>
      <color rgb="FF111111"/>
      <name val="Arial"/>
      <family val="2"/>
    </font>
    <font>
      <b/>
      <sz val="14"/>
      <color rgb="FF111111"/>
      <name val="Arial"/>
      <family val="2"/>
    </font>
    <font>
      <sz val="14"/>
      <color rgb="FF111111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39997558519241921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27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/>
    <xf numFmtId="0" fontId="0" fillId="2" borderId="1" xfId="0" applyFill="1" applyBorder="1" applyAlignment="1">
      <alignment horizontal="center" vertical="center"/>
    </xf>
    <xf numFmtId="0" fontId="0" fillId="2" borderId="1" xfId="0" applyNumberFormat="1" applyFill="1" applyBorder="1"/>
    <xf numFmtId="0" fontId="0" fillId="2" borderId="1" xfId="0" applyFill="1" applyBorder="1"/>
    <xf numFmtId="49" fontId="0" fillId="2" borderId="1" xfId="0" applyNumberFormat="1" applyFill="1" applyBorder="1"/>
    <xf numFmtId="0" fontId="1" fillId="3" borderId="0" xfId="0" applyFont="1" applyFill="1"/>
    <xf numFmtId="0" fontId="0" fillId="2" borderId="3" xfId="0" applyFill="1" applyBorder="1" applyAlignment="1">
      <alignment horizontal="center" vertical="center"/>
    </xf>
    <xf numFmtId="0" fontId="0" fillId="2" borderId="3" xfId="0" applyFill="1" applyBorder="1"/>
    <xf numFmtId="0" fontId="0" fillId="4" borderId="1" xfId="0" applyFill="1" applyBorder="1" applyAlignment="1">
      <alignment horizontal="center" vertical="center"/>
    </xf>
    <xf numFmtId="0" fontId="0" fillId="4" borderId="1" xfId="0" applyFill="1" applyBorder="1"/>
    <xf numFmtId="0" fontId="0" fillId="0" borderId="0" xfId="0" applyAlignment="1">
      <alignment horizontal="center"/>
    </xf>
    <xf numFmtId="49" fontId="0" fillId="0" borderId="0" xfId="0" applyNumberFormat="1"/>
    <xf numFmtId="0" fontId="0" fillId="0" borderId="4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2" xfId="0" applyFont="1" applyBorder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15" xfId="0" applyFont="1" applyBorder="1" applyAlignment="1">
      <alignment horizontal="center"/>
    </xf>
    <xf numFmtId="0" fontId="0" fillId="0" borderId="16" xfId="0" applyFont="1" applyBorder="1" applyAlignment="1">
      <alignment horizontal="center"/>
    </xf>
    <xf numFmtId="0" fontId="0" fillId="0" borderId="17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23" xfId="0" applyFont="1" applyBorder="1" applyAlignment="1">
      <alignment horizontal="center"/>
    </xf>
    <xf numFmtId="49" fontId="0" fillId="0" borderId="25" xfId="0" applyNumberFormat="1" applyBorder="1"/>
    <xf numFmtId="0" fontId="0" fillId="3" borderId="25" xfId="0" applyFill="1" applyBorder="1"/>
    <xf numFmtId="0" fontId="0" fillId="3" borderId="26" xfId="0" applyFill="1" applyBorder="1"/>
    <xf numFmtId="0" fontId="0" fillId="0" borderId="27" xfId="0" applyFont="1" applyBorder="1" applyAlignment="1">
      <alignment horizontal="center"/>
    </xf>
    <xf numFmtId="0" fontId="0" fillId="0" borderId="28" xfId="0" applyFont="1" applyBorder="1" applyAlignment="1">
      <alignment horizontal="center"/>
    </xf>
    <xf numFmtId="0" fontId="0" fillId="0" borderId="29" xfId="0" applyFont="1" applyBorder="1" applyAlignment="1">
      <alignment horizontal="center"/>
    </xf>
    <xf numFmtId="0" fontId="0" fillId="0" borderId="19" xfId="0" applyBorder="1"/>
    <xf numFmtId="0" fontId="0" fillId="0" borderId="24" xfId="0" applyFont="1" applyBorder="1" applyAlignment="1">
      <alignment horizontal="center"/>
    </xf>
    <xf numFmtId="0" fontId="0" fillId="0" borderId="25" xfId="0" applyFont="1" applyBorder="1" applyAlignment="1">
      <alignment horizontal="center"/>
    </xf>
    <xf numFmtId="0" fontId="0" fillId="0" borderId="26" xfId="0" applyFont="1" applyBorder="1" applyAlignment="1">
      <alignment horizontal="center"/>
    </xf>
    <xf numFmtId="0" fontId="0" fillId="0" borderId="20" xfId="0" applyBorder="1"/>
    <xf numFmtId="0" fontId="0" fillId="0" borderId="28" xfId="0" applyBorder="1" applyAlignment="1">
      <alignment horizontal="center"/>
    </xf>
    <xf numFmtId="49" fontId="0" fillId="3" borderId="30" xfId="0" applyNumberFormat="1" applyFill="1" applyBorder="1"/>
    <xf numFmtId="0" fontId="0" fillId="0" borderId="12" xfId="0" applyBorder="1" applyAlignment="1">
      <alignment horizontal="center"/>
    </xf>
    <xf numFmtId="0" fontId="0" fillId="3" borderId="32" xfId="0" applyFill="1" applyBorder="1"/>
    <xf numFmtId="0" fontId="0" fillId="0" borderId="33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3" borderId="24" xfId="0" applyFill="1" applyBorder="1"/>
    <xf numFmtId="0" fontId="0" fillId="0" borderId="21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36" xfId="0" applyBorder="1"/>
    <xf numFmtId="0" fontId="0" fillId="0" borderId="38" xfId="0" applyBorder="1"/>
    <xf numFmtId="0" fontId="0" fillId="0" borderId="40" xfId="0" applyBorder="1"/>
    <xf numFmtId="0" fontId="0" fillId="0" borderId="36" xfId="0" applyFont="1" applyFill="1" applyBorder="1" applyAlignment="1">
      <alignment horizontal="center"/>
    </xf>
    <xf numFmtId="0" fontId="0" fillId="0" borderId="40" xfId="0" applyFont="1" applyFill="1" applyBorder="1" applyAlignment="1">
      <alignment horizontal="center"/>
    </xf>
    <xf numFmtId="0" fontId="0" fillId="7" borderId="35" xfId="0" applyFill="1" applyBorder="1" applyAlignment="1">
      <alignment horizontal="left"/>
    </xf>
    <xf numFmtId="0" fontId="0" fillId="7" borderId="37" xfId="0" applyFill="1" applyBorder="1"/>
    <xf numFmtId="0" fontId="0" fillId="7" borderId="39" xfId="0" applyFill="1" applyBorder="1"/>
    <xf numFmtId="0" fontId="0" fillId="7" borderId="35" xfId="0" applyFill="1" applyBorder="1"/>
    <xf numFmtId="0" fontId="0" fillId="7" borderId="0" xfId="0" applyFill="1" applyBorder="1"/>
    <xf numFmtId="164" fontId="0" fillId="0" borderId="0" xfId="0" applyNumberFormat="1"/>
    <xf numFmtId="0" fontId="0" fillId="8" borderId="0" xfId="0" applyFill="1"/>
    <xf numFmtId="0" fontId="1" fillId="0" borderId="22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31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1" xfId="0" applyBorder="1"/>
    <xf numFmtId="0" fontId="3" fillId="3" borderId="6" xfId="0" applyFont="1" applyFill="1" applyBorder="1" applyAlignment="1">
      <alignment horizontal="center"/>
    </xf>
    <xf numFmtId="0" fontId="3" fillId="3" borderId="14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0" fillId="0" borderId="9" xfId="0" applyBorder="1"/>
    <xf numFmtId="0" fontId="0" fillId="0" borderId="7" xfId="0" applyBorder="1" applyAlignment="1">
      <alignment horizontal="center"/>
    </xf>
    <xf numFmtId="0" fontId="0" fillId="0" borderId="16" xfId="0" applyBorder="1"/>
    <xf numFmtId="0" fontId="0" fillId="0" borderId="10" xfId="0" applyBorder="1"/>
    <xf numFmtId="0" fontId="6" fillId="0" borderId="1" xfId="0" applyFont="1" applyBorder="1"/>
    <xf numFmtId="0" fontId="7" fillId="0" borderId="16" xfId="0" applyFont="1" applyBorder="1"/>
    <xf numFmtId="0" fontId="5" fillId="10" borderId="16" xfId="0" applyFont="1" applyFill="1" applyBorder="1"/>
    <xf numFmtId="0" fontId="9" fillId="10" borderId="1" xfId="0" applyFont="1" applyFill="1" applyBorder="1"/>
    <xf numFmtId="0" fontId="10" fillId="0" borderId="1" xfId="0" applyFont="1" applyFill="1" applyBorder="1" applyAlignment="1">
      <alignment horizontal="center"/>
    </xf>
    <xf numFmtId="0" fontId="0" fillId="11" borderId="0" xfId="0" applyFill="1"/>
    <xf numFmtId="0" fontId="9" fillId="12" borderId="1" xfId="0" applyFont="1" applyFill="1" applyBorder="1"/>
    <xf numFmtId="0" fontId="8" fillId="2" borderId="1" xfId="0" applyFont="1" applyFill="1" applyBorder="1"/>
    <xf numFmtId="0" fontId="8" fillId="5" borderId="1" xfId="0" applyFont="1" applyFill="1" applyBorder="1"/>
    <xf numFmtId="0" fontId="1" fillId="5" borderId="1" xfId="0" applyFont="1" applyFill="1" applyBorder="1"/>
    <xf numFmtId="0" fontId="14" fillId="0" borderId="1" xfId="0" applyFont="1" applyBorder="1"/>
    <xf numFmtId="0" fontId="15" fillId="0" borderId="1" xfId="0" applyFont="1" applyBorder="1"/>
    <xf numFmtId="0" fontId="0" fillId="0" borderId="6" xfId="0" applyBorder="1" applyAlignment="1">
      <alignment horizontal="center"/>
    </xf>
    <xf numFmtId="0" fontId="0" fillId="0" borderId="41" xfId="0" applyFill="1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4" xfId="0" applyBorder="1"/>
    <xf numFmtId="0" fontId="0" fillId="0" borderId="7" xfId="0" applyBorder="1"/>
    <xf numFmtId="0" fontId="0" fillId="0" borderId="3" xfId="0" applyFill="1" applyBorder="1" applyAlignment="1">
      <alignment horizontal="center"/>
    </xf>
    <xf numFmtId="0" fontId="0" fillId="0" borderId="3" xfId="0" applyBorder="1"/>
    <xf numFmtId="0" fontId="0" fillId="0" borderId="43" xfId="0" applyBorder="1"/>
    <xf numFmtId="0" fontId="0" fillId="0" borderId="6" xfId="0" applyFill="1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11" fillId="13" borderId="1" xfId="0" applyFont="1" applyFill="1" applyBorder="1" applyAlignment="1">
      <alignment horizontal="center" vertical="center"/>
    </xf>
    <xf numFmtId="0" fontId="11" fillId="14" borderId="9" xfId="0" applyFont="1" applyFill="1" applyBorder="1" applyAlignment="1">
      <alignment horizontal="center" vertical="center"/>
    </xf>
    <xf numFmtId="49" fontId="17" fillId="0" borderId="4" xfId="0" applyNumberFormat="1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17" fillId="0" borderId="9" xfId="0" applyFont="1" applyBorder="1" applyAlignment="1">
      <alignment horizontal="center"/>
    </xf>
    <xf numFmtId="49" fontId="17" fillId="0" borderId="7" xfId="0" applyNumberFormat="1" applyFont="1" applyBorder="1" applyAlignment="1">
      <alignment horizontal="center"/>
    </xf>
    <xf numFmtId="0" fontId="17" fillId="0" borderId="16" xfId="0" applyFont="1" applyBorder="1" applyAlignment="1">
      <alignment horizontal="center"/>
    </xf>
    <xf numFmtId="0" fontId="17" fillId="0" borderId="10" xfId="0" applyFont="1" applyBorder="1" applyAlignment="1">
      <alignment horizontal="center"/>
    </xf>
    <xf numFmtId="49" fontId="17" fillId="0" borderId="41" xfId="0" applyNumberFormat="1" applyFont="1" applyFill="1" applyBorder="1" applyAlignment="1">
      <alignment horizontal="center"/>
    </xf>
    <xf numFmtId="0" fontId="20" fillId="0" borderId="0" xfId="0" applyFont="1"/>
    <xf numFmtId="0" fontId="0" fillId="0" borderId="37" xfId="0" applyBorder="1"/>
    <xf numFmtId="0" fontId="0" fillId="0" borderId="39" xfId="0" applyBorder="1"/>
    <xf numFmtId="0" fontId="18" fillId="12" borderId="1" xfId="0" applyFont="1" applyFill="1" applyBorder="1"/>
    <xf numFmtId="0" fontId="18" fillId="2" borderId="1" xfId="0" applyFont="1" applyFill="1" applyBorder="1"/>
    <xf numFmtId="0" fontId="18" fillId="15" borderId="1" xfId="0" applyFont="1" applyFill="1" applyBorder="1"/>
    <xf numFmtId="0" fontId="18" fillId="16" borderId="9" xfId="0" applyFont="1" applyFill="1" applyBorder="1"/>
    <xf numFmtId="0" fontId="18" fillId="12" borderId="4" xfId="0" applyFont="1" applyFill="1" applyBorder="1"/>
    <xf numFmtId="0" fontId="18" fillId="12" borderId="1" xfId="0" applyFont="1" applyFill="1" applyBorder="1" applyAlignment="1">
      <alignment horizontal="center"/>
    </xf>
    <xf numFmtId="0" fontId="18" fillId="3" borderId="1" xfId="0" applyFont="1" applyFill="1" applyBorder="1" applyAlignment="1">
      <alignment horizontal="center"/>
    </xf>
    <xf numFmtId="0" fontId="18" fillId="3" borderId="9" xfId="0" applyFont="1" applyFill="1" applyBorder="1" applyAlignment="1">
      <alignment horizontal="center"/>
    </xf>
    <xf numFmtId="0" fontId="18" fillId="2" borderId="4" xfId="0" applyFont="1" applyFill="1" applyBorder="1"/>
    <xf numFmtId="0" fontId="18" fillId="2" borderId="1" xfId="0" applyFont="1" applyFill="1" applyBorder="1" applyAlignment="1">
      <alignment horizontal="center"/>
    </xf>
    <xf numFmtId="0" fontId="18" fillId="15" borderId="4" xfId="0" applyFont="1" applyFill="1" applyBorder="1"/>
    <xf numFmtId="0" fontId="18" fillId="15" borderId="1" xfId="0" applyFont="1" applyFill="1" applyBorder="1" applyAlignment="1">
      <alignment horizontal="center"/>
    </xf>
    <xf numFmtId="0" fontId="18" fillId="16" borderId="7" xfId="0" applyFont="1" applyFill="1" applyBorder="1"/>
    <xf numFmtId="0" fontId="18" fillId="3" borderId="16" xfId="0" applyFont="1" applyFill="1" applyBorder="1" applyAlignment="1">
      <alignment horizontal="center"/>
    </xf>
    <xf numFmtId="0" fontId="18" fillId="16" borderId="10" xfId="0" applyFont="1" applyFill="1" applyBorder="1" applyAlignment="1">
      <alignment horizontal="center"/>
    </xf>
    <xf numFmtId="0" fontId="18" fillId="0" borderId="0" xfId="0" applyFont="1"/>
    <xf numFmtId="0" fontId="18" fillId="3" borderId="44" xfId="0" applyFont="1" applyFill="1" applyBorder="1" applyAlignment="1">
      <alignment horizontal="center"/>
    </xf>
    <xf numFmtId="0" fontId="23" fillId="3" borderId="28" xfId="0" applyFont="1" applyFill="1" applyBorder="1" applyAlignment="1">
      <alignment horizontal="center"/>
    </xf>
    <xf numFmtId="0" fontId="23" fillId="3" borderId="44" xfId="0" applyFont="1" applyFill="1" applyBorder="1" applyAlignment="1">
      <alignment horizontal="center"/>
    </xf>
    <xf numFmtId="0" fontId="24" fillId="17" borderId="28" xfId="0" applyFont="1" applyFill="1" applyBorder="1" applyAlignment="1">
      <alignment horizontal="center"/>
    </xf>
    <xf numFmtId="0" fontId="24" fillId="17" borderId="44" xfId="0" applyFont="1" applyFill="1" applyBorder="1" applyAlignment="1">
      <alignment horizontal="center"/>
    </xf>
    <xf numFmtId="0" fontId="25" fillId="3" borderId="44" xfId="0" applyFont="1" applyFill="1" applyBorder="1" applyAlignment="1">
      <alignment horizontal="center"/>
    </xf>
    <xf numFmtId="0" fontId="25" fillId="3" borderId="28" xfId="0" applyFont="1" applyFill="1" applyBorder="1" applyAlignment="1">
      <alignment horizontal="center"/>
    </xf>
    <xf numFmtId="0" fontId="26" fillId="3" borderId="44" xfId="0" applyFont="1" applyFill="1" applyBorder="1" applyAlignment="1">
      <alignment horizontal="center"/>
    </xf>
    <xf numFmtId="0" fontId="26" fillId="3" borderId="28" xfId="0" applyFont="1" applyFill="1" applyBorder="1" applyAlignment="1">
      <alignment horizontal="center"/>
    </xf>
    <xf numFmtId="0" fontId="0" fillId="12" borderId="0" xfId="0" applyFill="1" applyAlignment="1">
      <alignment horizontal="center"/>
    </xf>
    <xf numFmtId="0" fontId="0" fillId="0" borderId="46" xfId="0" applyFill="1" applyBorder="1" applyAlignment="1">
      <alignment horizontal="center"/>
    </xf>
    <xf numFmtId="0" fontId="0" fillId="0" borderId="6" xfId="0" applyBorder="1" applyAlignment="1"/>
    <xf numFmtId="0" fontId="0" fillId="2" borderId="14" xfId="0" applyFill="1" applyBorder="1" applyAlignment="1">
      <alignment horizontal="center"/>
    </xf>
    <xf numFmtId="0" fontId="0" fillId="18" borderId="14" xfId="0" applyFill="1" applyBorder="1" applyAlignment="1">
      <alignment horizontal="center"/>
    </xf>
    <xf numFmtId="0" fontId="0" fillId="0" borderId="14" xfId="0" applyBorder="1"/>
    <xf numFmtId="0" fontId="0" fillId="12" borderId="14" xfId="0" applyFill="1" applyBorder="1" applyAlignment="1">
      <alignment wrapText="1"/>
    </xf>
    <xf numFmtId="0" fontId="0" fillId="0" borderId="14" xfId="0" applyBorder="1" applyAlignment="1">
      <alignment wrapText="1"/>
    </xf>
    <xf numFmtId="0" fontId="0" fillId="12" borderId="15" xfId="0" applyFill="1" applyBorder="1" applyAlignment="1">
      <alignment wrapText="1"/>
    </xf>
    <xf numFmtId="0" fontId="0" fillId="0" borderId="6" xfId="0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12" borderId="0" xfId="0" applyFill="1"/>
    <xf numFmtId="0" fontId="22" fillId="0" borderId="0" xfId="0" applyFont="1"/>
    <xf numFmtId="0" fontId="27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0" fillId="4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27" fillId="0" borderId="0" xfId="0" applyFont="1" applyAlignment="1">
      <alignment horizontal="center" wrapText="1"/>
    </xf>
    <xf numFmtId="0" fontId="29" fillId="0" borderId="0" xfId="0" applyFont="1" applyAlignment="1">
      <alignment horizontal="center" wrapText="1"/>
    </xf>
    <xf numFmtId="0" fontId="19" fillId="0" borderId="0" xfId="0" applyFont="1" applyAlignment="1">
      <alignment horizontal="center"/>
    </xf>
    <xf numFmtId="0" fontId="0" fillId="9" borderId="0" xfId="0" applyFill="1" applyAlignment="1">
      <alignment horizontal="center"/>
    </xf>
    <xf numFmtId="0" fontId="0" fillId="0" borderId="37" xfId="0" applyBorder="1" applyAlignment="1">
      <alignment horizontal="center" vertical="center"/>
    </xf>
    <xf numFmtId="49" fontId="0" fillId="0" borderId="0" xfId="0" applyNumberFormat="1" applyAlignment="1">
      <alignment horizontal="center" wrapText="1"/>
    </xf>
    <xf numFmtId="49" fontId="0" fillId="0" borderId="34" xfId="0" applyNumberFormat="1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34" xfId="0" applyBorder="1" applyAlignment="1">
      <alignment horizontal="center" wrapText="1"/>
    </xf>
    <xf numFmtId="0" fontId="0" fillId="7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6" borderId="6" xfId="0" applyFill="1" applyBorder="1" applyAlignment="1">
      <alignment horizontal="center"/>
    </xf>
    <xf numFmtId="0" fontId="0" fillId="6" borderId="14" xfId="0" applyFill="1" applyBorder="1" applyAlignment="1">
      <alignment horizontal="center"/>
    </xf>
    <xf numFmtId="0" fontId="0" fillId="6" borderId="15" xfId="0" applyFill="1" applyBorder="1" applyAlignment="1">
      <alignment horizontal="center"/>
    </xf>
    <xf numFmtId="0" fontId="0" fillId="5" borderId="21" xfId="0" applyFill="1" applyBorder="1" applyAlignment="1">
      <alignment horizontal="center"/>
    </xf>
    <xf numFmtId="0" fontId="0" fillId="5" borderId="14" xfId="0" applyFill="1" applyBorder="1" applyAlignment="1">
      <alignment horizontal="center"/>
    </xf>
    <xf numFmtId="0" fontId="0" fillId="5" borderId="15" xfId="0" applyFill="1" applyBorder="1" applyAlignment="1">
      <alignment horizontal="center"/>
    </xf>
    <xf numFmtId="0" fontId="0" fillId="0" borderId="18" xfId="0" applyBorder="1" applyAlignment="1">
      <alignment horizontal="center" wrapText="1"/>
    </xf>
    <xf numFmtId="0" fontId="0" fillId="0" borderId="19" xfId="0" applyBorder="1" applyAlignment="1">
      <alignment horizontal="center" wrapText="1"/>
    </xf>
    <xf numFmtId="0" fontId="0" fillId="0" borderId="24" xfId="0" applyBorder="1" applyAlignment="1">
      <alignment horizontal="center" wrapText="1"/>
    </xf>
    <xf numFmtId="0" fontId="0" fillId="0" borderId="25" xfId="0" applyBorder="1" applyAlignment="1">
      <alignment horizontal="center" wrapText="1"/>
    </xf>
    <xf numFmtId="0" fontId="0" fillId="2" borderId="34" xfId="0" applyFill="1" applyBorder="1" applyAlignment="1">
      <alignment horizontal="center"/>
    </xf>
    <xf numFmtId="0" fontId="12" fillId="10" borderId="34" xfId="0" applyFont="1" applyFill="1" applyBorder="1" applyAlignment="1">
      <alignment horizontal="center"/>
    </xf>
    <xf numFmtId="0" fontId="0" fillId="10" borderId="34" xfId="0" applyFill="1" applyBorder="1" applyAlignment="1">
      <alignment horizontal="center"/>
    </xf>
    <xf numFmtId="0" fontId="12" fillId="9" borderId="0" xfId="0" applyFont="1" applyFill="1" applyAlignment="1">
      <alignment horizontal="center"/>
    </xf>
    <xf numFmtId="0" fontId="3" fillId="9" borderId="0" xfId="0" applyFont="1" applyFill="1" applyAlignment="1">
      <alignment horizontal="center"/>
    </xf>
    <xf numFmtId="0" fontId="13" fillId="0" borderId="0" xfId="0" applyFont="1" applyAlignment="1">
      <alignment horizontal="center"/>
    </xf>
    <xf numFmtId="0" fontId="11" fillId="2" borderId="0" xfId="0" applyFont="1" applyFill="1" applyAlignment="1">
      <alignment horizontal="center"/>
    </xf>
    <xf numFmtId="0" fontId="0" fillId="8" borderId="6" xfId="0" applyFill="1" applyBorder="1" applyAlignment="1">
      <alignment horizontal="center"/>
    </xf>
    <xf numFmtId="0" fontId="0" fillId="8" borderId="42" xfId="0" applyFill="1" applyBorder="1" applyAlignment="1">
      <alignment horizontal="center"/>
    </xf>
    <xf numFmtId="0" fontId="0" fillId="8" borderId="15" xfId="0" applyFill="1" applyBorder="1" applyAlignment="1">
      <alignment horizontal="center"/>
    </xf>
    <xf numFmtId="0" fontId="12" fillId="0" borderId="0" xfId="0" applyFont="1" applyAlignment="1">
      <alignment horizontal="center"/>
    </xf>
    <xf numFmtId="0" fontId="17" fillId="0" borderId="6" xfId="0" applyFont="1" applyBorder="1" applyAlignment="1">
      <alignment horizontal="center"/>
    </xf>
    <xf numFmtId="0" fontId="17" fillId="0" borderId="4" xfId="0" applyFont="1" applyBorder="1" applyAlignment="1">
      <alignment horizontal="center"/>
    </xf>
    <xf numFmtId="0" fontId="17" fillId="0" borderId="14" xfId="0" applyFont="1" applyBorder="1" applyAlignment="1">
      <alignment horizontal="center" vertical="center"/>
    </xf>
    <xf numFmtId="0" fontId="17" fillId="0" borderId="15" xfId="0" applyFont="1" applyBorder="1" applyAlignment="1">
      <alignment horizontal="center" vertical="center"/>
    </xf>
    <xf numFmtId="0" fontId="0" fillId="0" borderId="34" xfId="0" applyBorder="1" applyAlignment="1">
      <alignment horizontal="center"/>
    </xf>
    <xf numFmtId="0" fontId="21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15" borderId="35" xfId="0" applyFill="1" applyBorder="1" applyAlignment="1">
      <alignment horizontal="center"/>
    </xf>
    <xf numFmtId="0" fontId="0" fillId="15" borderId="36" xfId="0" applyFill="1" applyBorder="1" applyAlignment="1">
      <alignment horizontal="center"/>
    </xf>
    <xf numFmtId="0" fontId="0" fillId="16" borderId="35" xfId="0" applyFont="1" applyFill="1" applyBorder="1" applyAlignment="1">
      <alignment horizontal="center"/>
    </xf>
    <xf numFmtId="0" fontId="0" fillId="16" borderId="36" xfId="0" applyFont="1" applyFill="1" applyBorder="1" applyAlignment="1">
      <alignment horizontal="center"/>
    </xf>
    <xf numFmtId="0" fontId="18" fillId="0" borderId="6" xfId="0" applyFont="1" applyBorder="1" applyAlignment="1">
      <alignment horizontal="center" wrapText="1"/>
    </xf>
    <xf numFmtId="0" fontId="18" fillId="0" borderId="4" xfId="0" applyFont="1" applyBorder="1" applyAlignment="1">
      <alignment horizontal="center" wrapText="1"/>
    </xf>
    <xf numFmtId="0" fontId="18" fillId="0" borderId="14" xfId="0" applyFont="1" applyBorder="1" applyAlignment="1">
      <alignment horizontal="center"/>
    </xf>
    <xf numFmtId="0" fontId="18" fillId="0" borderId="15" xfId="0" applyFont="1" applyBorder="1" applyAlignment="1">
      <alignment horizontal="center"/>
    </xf>
    <xf numFmtId="0" fontId="18" fillId="0" borderId="37" xfId="0" applyFont="1" applyBorder="1" applyAlignment="1">
      <alignment horizontal="center" vertical="center"/>
    </xf>
    <xf numFmtId="0" fontId="18" fillId="0" borderId="45" xfId="0" applyFont="1" applyBorder="1" applyAlignment="1">
      <alignment horizontal="center" vertical="center"/>
    </xf>
    <xf numFmtId="0" fontId="0" fillId="12" borderId="35" xfId="0" applyFill="1" applyBorder="1" applyAlignment="1">
      <alignment horizontal="center"/>
    </xf>
    <xf numFmtId="0" fontId="0" fillId="12" borderId="36" xfId="0" applyFill="1" applyBorder="1" applyAlignment="1">
      <alignment horizontal="center"/>
    </xf>
    <xf numFmtId="0" fontId="0" fillId="2" borderId="35" xfId="0" applyFill="1" applyBorder="1" applyAlignment="1">
      <alignment horizontal="center"/>
    </xf>
    <xf numFmtId="0" fontId="0" fillId="2" borderId="36" xfId="0" applyFill="1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31" xfId="0" applyBorder="1" applyAlignment="1">
      <alignment horizontal="center"/>
    </xf>
    <xf numFmtId="0" fontId="2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cat>
            <c:strRef>
              <c:f>Pyramid!$B$4:$B$19</c:f>
              <c:strCache>
                <c:ptCount val="16"/>
                <c:pt idx="0">
                  <c:v>0-4</c:v>
                </c:pt>
                <c:pt idx="1">
                  <c:v>5-9</c:v>
                </c:pt>
                <c:pt idx="2">
                  <c:v>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75+</c:v>
                </c:pt>
              </c:strCache>
            </c:strRef>
          </c:cat>
          <c:val>
            <c:numRef>
              <c:f>Pyramid!$E$4:$E$19</c:f>
              <c:numCache>
                <c:formatCode>General</c:formatCode>
                <c:ptCount val="16"/>
                <c:pt idx="0">
                  <c:v>-12.736693808352634</c:v>
                </c:pt>
                <c:pt idx="1">
                  <c:v>-13.289078854159206</c:v>
                </c:pt>
                <c:pt idx="2">
                  <c:v>-12.633221105247658</c:v>
                </c:pt>
                <c:pt idx="3">
                  <c:v>-9.6118181745823286</c:v>
                </c:pt>
                <c:pt idx="4">
                  <c:v>-8.8628349928763015</c:v>
                </c:pt>
                <c:pt idx="5">
                  <c:v>-8.7410555807604435</c:v>
                </c:pt>
                <c:pt idx="6">
                  <c:v>-6.8777509810008199</c:v>
                </c:pt>
                <c:pt idx="7">
                  <c:v>-6.2807930784721062</c:v>
                </c:pt>
                <c:pt idx="8">
                  <c:v>-4.9834045703097019</c:v>
                </c:pt>
                <c:pt idx="9">
                  <c:v>-3.72183353629902</c:v>
                </c:pt>
                <c:pt idx="10">
                  <c:v>-3.1877551995033309</c:v>
                </c:pt>
                <c:pt idx="11">
                  <c:v>-1.8991220739113479</c:v>
                </c:pt>
                <c:pt idx="12">
                  <c:v>-2.2676440857390738</c:v>
                </c:pt>
                <c:pt idx="13">
                  <c:v>-1.6627267445099772</c:v>
                </c:pt>
                <c:pt idx="14">
                  <c:v>-1.6889928922212405</c:v>
                </c:pt>
                <c:pt idx="15">
                  <c:v>-1.5552743220548089</c:v>
                </c:pt>
              </c:numCache>
            </c:numRef>
          </c:val>
        </c:ser>
        <c:ser>
          <c:idx val="1"/>
          <c:order val="1"/>
          <c:invertIfNegative val="0"/>
          <c:cat>
            <c:strRef>
              <c:f>Pyramid!$B$4:$B$19</c:f>
              <c:strCache>
                <c:ptCount val="16"/>
                <c:pt idx="0">
                  <c:v>0-4</c:v>
                </c:pt>
                <c:pt idx="1">
                  <c:v>5-9</c:v>
                </c:pt>
                <c:pt idx="2">
                  <c:v>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75+</c:v>
                </c:pt>
              </c:strCache>
            </c:strRef>
          </c:cat>
          <c:val>
            <c:numRef>
              <c:f>Pyramid!$F$4:$F$19</c:f>
              <c:numCache>
                <c:formatCode>General</c:formatCode>
                <c:ptCount val="16"/>
                <c:pt idx="0">
                  <c:v>10.463387522578852</c:v>
                </c:pt>
                <c:pt idx="1">
                  <c:v>12.625399472002224</c:v>
                </c:pt>
                <c:pt idx="2">
                  <c:v>11.563846046964013</c:v>
                </c:pt>
                <c:pt idx="3">
                  <c:v>8.93497290537724</c:v>
                </c:pt>
                <c:pt idx="4">
                  <c:v>9.2392663609837431</c:v>
                </c:pt>
                <c:pt idx="5">
                  <c:v>9.3643184660275125</c:v>
                </c:pt>
                <c:pt idx="6">
                  <c:v>7.2940113936362376</c:v>
                </c:pt>
                <c:pt idx="7">
                  <c:v>6.6388773099902734</c:v>
                </c:pt>
                <c:pt idx="8">
                  <c:v>5.7391968875920529</c:v>
                </c:pt>
                <c:pt idx="9">
                  <c:v>4.4324023898846745</c:v>
                </c:pt>
                <c:pt idx="10">
                  <c:v>3.8571627066833405</c:v>
                </c:pt>
                <c:pt idx="11">
                  <c:v>2.4315687091843823</c:v>
                </c:pt>
                <c:pt idx="12">
                  <c:v>2.7330832291232459</c:v>
                </c:pt>
                <c:pt idx="13">
                  <c:v>1.3984993747394747</c:v>
                </c:pt>
                <c:pt idx="14">
                  <c:v>1.5499513686258162</c:v>
                </c:pt>
                <c:pt idx="15">
                  <c:v>1.7340558566069193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314349056"/>
        <c:axId val="172085184"/>
      </c:barChart>
      <c:catAx>
        <c:axId val="314349056"/>
        <c:scaling>
          <c:orientation val="minMax"/>
        </c:scaling>
        <c:delete val="0"/>
        <c:axPos val="l"/>
        <c:majorTickMark val="none"/>
        <c:minorTickMark val="none"/>
        <c:tickLblPos val="low"/>
        <c:crossAx val="172085184"/>
        <c:crosses val="autoZero"/>
        <c:auto val="1"/>
        <c:lblAlgn val="ctr"/>
        <c:lblOffset val="100"/>
        <c:noMultiLvlLbl val="0"/>
      </c:catAx>
      <c:valAx>
        <c:axId val="172085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14349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Line of Equality</c:v>
          </c:tx>
          <c:xVal>
            <c:numRef>
              <c:f>'Gini Ratio'!$I$15:$I$23</c:f>
              <c:numCache>
                <c:formatCode>General</c:formatCode>
                <c:ptCount val="9"/>
                <c:pt idx="0">
                  <c:v>0</c:v>
                </c:pt>
                <c:pt idx="1">
                  <c:v>0.20810648176846702</c:v>
                </c:pt>
                <c:pt idx="2">
                  <c:v>0.39567423485316955</c:v>
                </c:pt>
                <c:pt idx="3">
                  <c:v>0.5455179775297887</c:v>
                </c:pt>
                <c:pt idx="4">
                  <c:v>0.68827873524551375</c:v>
                </c:pt>
                <c:pt idx="5">
                  <c:v>0.7710093149624514</c:v>
                </c:pt>
                <c:pt idx="6">
                  <c:v>0.84331707007313184</c:v>
                </c:pt>
                <c:pt idx="7">
                  <c:v>0.93047002686688574</c:v>
                </c:pt>
                <c:pt idx="8">
                  <c:v>1</c:v>
                </c:pt>
              </c:numCache>
            </c:numRef>
          </c:xVal>
          <c:yVal>
            <c:numRef>
              <c:f>'Gini Ratio'!$I$15:$I$23</c:f>
              <c:numCache>
                <c:formatCode>General</c:formatCode>
                <c:ptCount val="9"/>
                <c:pt idx="0">
                  <c:v>0</c:v>
                </c:pt>
                <c:pt idx="1">
                  <c:v>0.20810648176846702</c:v>
                </c:pt>
                <c:pt idx="2">
                  <c:v>0.39567423485316955</c:v>
                </c:pt>
                <c:pt idx="3">
                  <c:v>0.5455179775297887</c:v>
                </c:pt>
                <c:pt idx="4">
                  <c:v>0.68827873524551375</c:v>
                </c:pt>
                <c:pt idx="5">
                  <c:v>0.7710093149624514</c:v>
                </c:pt>
                <c:pt idx="6">
                  <c:v>0.84331707007313184</c:v>
                </c:pt>
                <c:pt idx="7">
                  <c:v>0.93047002686688574</c:v>
                </c:pt>
                <c:pt idx="8">
                  <c:v>1</c:v>
                </c:pt>
              </c:numCache>
            </c:numRef>
          </c:yVal>
          <c:smooth val="1"/>
        </c:ser>
        <c:ser>
          <c:idx val="1"/>
          <c:order val="1"/>
          <c:tx>
            <c:v>Lorenz Curve</c:v>
          </c:tx>
          <c:xVal>
            <c:numRef>
              <c:f>'Gini Ratio'!$I$15:$I$23</c:f>
              <c:numCache>
                <c:formatCode>General</c:formatCode>
                <c:ptCount val="9"/>
                <c:pt idx="0">
                  <c:v>0</c:v>
                </c:pt>
                <c:pt idx="1">
                  <c:v>0.20810648176846702</c:v>
                </c:pt>
                <c:pt idx="2">
                  <c:v>0.39567423485316955</c:v>
                </c:pt>
                <c:pt idx="3">
                  <c:v>0.5455179775297887</c:v>
                </c:pt>
                <c:pt idx="4">
                  <c:v>0.68827873524551375</c:v>
                </c:pt>
                <c:pt idx="5">
                  <c:v>0.7710093149624514</c:v>
                </c:pt>
                <c:pt idx="6">
                  <c:v>0.84331707007313184</c:v>
                </c:pt>
                <c:pt idx="7">
                  <c:v>0.93047002686688574</c:v>
                </c:pt>
                <c:pt idx="8">
                  <c:v>1</c:v>
                </c:pt>
              </c:numCache>
            </c:numRef>
          </c:xVal>
          <c:yVal>
            <c:numRef>
              <c:f>'Gini Ratio'!$H$15:$H$23</c:f>
              <c:numCache>
                <c:formatCode>General</c:formatCode>
                <c:ptCount val="9"/>
                <c:pt idx="0">
                  <c:v>0</c:v>
                </c:pt>
                <c:pt idx="1">
                  <c:v>1.5649452269170579E-3</c:v>
                </c:pt>
                <c:pt idx="2">
                  <c:v>9.3896713615023476E-3</c:v>
                </c:pt>
                <c:pt idx="3">
                  <c:v>2.8169014084507043E-2</c:v>
                </c:pt>
                <c:pt idx="4">
                  <c:v>6.8857589984350542E-2</c:v>
                </c:pt>
                <c:pt idx="5">
                  <c:v>0.12519561815336464</c:v>
                </c:pt>
                <c:pt idx="6">
                  <c:v>0.21752738654147105</c:v>
                </c:pt>
                <c:pt idx="7">
                  <c:v>0.45226917057902971</c:v>
                </c:pt>
                <c:pt idx="8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4753600"/>
        <c:axId val="314754176"/>
      </c:scatterChart>
      <c:valAx>
        <c:axId val="314753600"/>
        <c:scaling>
          <c:orientation val="minMax"/>
          <c:max val="1"/>
        </c:scaling>
        <c:delete val="0"/>
        <c:axPos val="b"/>
        <c:numFmt formatCode="General" sourceLinked="1"/>
        <c:majorTickMark val="out"/>
        <c:minorTickMark val="none"/>
        <c:tickLblPos val="nextTo"/>
        <c:crossAx val="314754176"/>
        <c:crosses val="autoZero"/>
        <c:crossBetween val="midCat"/>
      </c:valAx>
      <c:valAx>
        <c:axId val="314754176"/>
        <c:scaling>
          <c:orientation val="minMax"/>
          <c:max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47536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574675</xdr:colOff>
      <xdr:row>1</xdr:row>
      <xdr:rowOff>180975</xdr:rowOff>
    </xdr:from>
    <xdr:to>
      <xdr:col>16</xdr:col>
      <xdr:colOff>269875</xdr:colOff>
      <xdr:row>16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180974</xdr:colOff>
      <xdr:row>24</xdr:row>
      <xdr:rowOff>168275</xdr:rowOff>
    </xdr:from>
    <xdr:ext cx="1927225" cy="42902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6575424" y="4486275"/>
              <a:ext cx="1927225" cy="4290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en-US" sz="1400" b="0" i="1">
                      <a:latin typeface="Cambria Math"/>
                    </a:rPr>
                    <m:t>𝐺𝐹𝑅</m:t>
                  </m:r>
                  <m:r>
                    <a:rPr lang="en-US" sz="1400" b="0" i="1">
                      <a:latin typeface="Cambria Math"/>
                    </a:rPr>
                    <m:t>=(</m:t>
                  </m:r>
                  <m:f>
                    <m:fPr>
                      <m:ctrlPr>
                        <a:rPr lang="en-US" sz="1400" b="0" i="1">
                          <a:latin typeface="Cambria Math"/>
                        </a:rPr>
                      </m:ctrlPr>
                    </m:fPr>
                    <m:num>
                      <m:r>
                        <a:rPr lang="en-US" sz="1400" b="0" i="1">
                          <a:latin typeface="Cambria Math"/>
                        </a:rPr>
                        <m:t>𝐵𝑓</m:t>
                      </m:r>
                      <m:r>
                        <a:rPr lang="en-US" sz="1400" b="0" i="1">
                          <a:latin typeface="Cambria Math"/>
                        </a:rPr>
                        <m:t>+</m:t>
                      </m:r>
                      <m:r>
                        <a:rPr lang="en-US" sz="1400" b="0" i="1">
                          <a:latin typeface="Cambria Math"/>
                        </a:rPr>
                        <m:t>𝐵𝑚</m:t>
                      </m:r>
                    </m:num>
                    <m:den>
                      <m:r>
                        <a:rPr lang="en-US" sz="1400" b="0" i="1">
                          <a:latin typeface="Cambria Math"/>
                        </a:rPr>
                        <m:t>𝑃𝑓</m:t>
                      </m:r>
                    </m:den>
                  </m:f>
                </m:oMath>
              </a14:m>
              <a:r>
                <a:rPr lang="en-US" sz="1400"/>
                <a:t>)*1000</a:t>
              </a:r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6575424" y="4486275"/>
              <a:ext cx="1927225" cy="4290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400" b="0" i="0">
                  <a:latin typeface="Cambria Math"/>
                </a:rPr>
                <a:t>𝐺𝐹𝑅=((𝐵𝑓+𝐵𝑚)/𝑃𝑓</a:t>
              </a:r>
              <a:r>
                <a:rPr lang="en-US" sz="1400"/>
                <a:t>)*1000</a:t>
              </a:r>
            </a:p>
          </xdr:txBody>
        </xdr:sp>
      </mc:Fallback>
    </mc:AlternateContent>
    <xdr:clientData/>
  </xdr:oneCellAnchor>
  <xdr:oneCellAnchor>
    <xdr:from>
      <xdr:col>12</xdr:col>
      <xdr:colOff>73024</xdr:colOff>
      <xdr:row>24</xdr:row>
      <xdr:rowOff>180975</xdr:rowOff>
    </xdr:from>
    <xdr:ext cx="2441575" cy="42902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8601074" y="4498975"/>
              <a:ext cx="2441575" cy="4290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en-US" sz="1400" b="0" i="1">
                      <a:latin typeface="Cambria Math"/>
                    </a:rPr>
                    <m:t>𝐺𝑅𝑅</m:t>
                  </m:r>
                  <m:r>
                    <a:rPr lang="en-US" sz="1400" b="0" i="1">
                      <a:latin typeface="Cambria Math"/>
                    </a:rPr>
                    <m:t>=</m:t>
                  </m:r>
                  <m:r>
                    <a:rPr lang="en-US" sz="1400" b="0" i="1">
                      <a:latin typeface="Cambria Math"/>
                    </a:rPr>
                    <m:t>𝑇𝐹𝑅</m:t>
                  </m:r>
                  <m:r>
                    <a:rPr lang="en-US" sz="1400" b="0" i="1">
                      <a:latin typeface="Cambria Math"/>
                    </a:rPr>
                    <m:t>∗(</m:t>
                  </m:r>
                  <m:f>
                    <m:fPr>
                      <m:ctrlPr>
                        <a:rPr lang="en-US" sz="1400" b="0" i="1">
                          <a:latin typeface="Cambria Math"/>
                        </a:rPr>
                      </m:ctrlPr>
                    </m:fPr>
                    <m:num>
                      <m:r>
                        <a:rPr lang="en-US" sz="1400" b="0" i="1">
                          <a:latin typeface="Cambria Math"/>
                        </a:rPr>
                        <m:t>𝐵𝑓</m:t>
                      </m:r>
                    </m:num>
                    <m:den>
                      <m:r>
                        <a:rPr lang="en-US" sz="1400" b="0" i="1">
                          <a:latin typeface="Cambria Math"/>
                        </a:rPr>
                        <m:t>𝐵𝑓</m:t>
                      </m:r>
                      <m:r>
                        <a:rPr lang="en-US" sz="1400" b="0" i="1">
                          <a:latin typeface="Cambria Math"/>
                        </a:rPr>
                        <m:t>+</m:t>
                      </m:r>
                      <m:r>
                        <a:rPr lang="en-US" sz="1400" b="0" i="1">
                          <a:latin typeface="Cambria Math"/>
                        </a:rPr>
                        <m:t>𝐵𝑚</m:t>
                      </m:r>
                    </m:den>
                  </m:f>
                </m:oMath>
              </a14:m>
              <a:r>
                <a:rPr lang="en-US" sz="1400"/>
                <a:t>)</a:t>
              </a:r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8601074" y="4498975"/>
              <a:ext cx="2441575" cy="4290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400" b="0" i="0">
                  <a:latin typeface="Cambria Math"/>
                </a:rPr>
                <a:t>𝐺𝑅𝑅=𝑇𝐹𝑅∗(𝐵𝑓/(𝐵𝑓+𝐵𝑚)</a:t>
              </a:r>
              <a:r>
                <a:rPr lang="en-US" sz="1400"/>
                <a:t>)</a:t>
              </a:r>
            </a:p>
          </xdr:txBody>
        </xdr:sp>
      </mc:Fallback>
    </mc:AlternateContent>
    <xdr:clientData/>
  </xdr:oneCellAnchor>
  <xdr:oneCellAnchor>
    <xdr:from>
      <xdr:col>12</xdr:col>
      <xdr:colOff>25400</xdr:colOff>
      <xdr:row>27</xdr:row>
      <xdr:rowOff>161925</xdr:rowOff>
    </xdr:from>
    <xdr:ext cx="2381250" cy="77033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/>
            <xdr:cNvSpPr txBox="1"/>
          </xdr:nvSpPr>
          <xdr:spPr>
            <a:xfrm>
              <a:off x="8553450" y="5051425"/>
              <a:ext cx="2381250" cy="77033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/>
                      </a:rPr>
                      <m:t>𝑇𝐹𝑅</m:t>
                    </m:r>
                    <m:r>
                      <a:rPr lang="en-US" sz="1100" b="0" i="1">
                        <a:latin typeface="Cambria Math"/>
                      </a:rPr>
                      <m:t>=5∗</m:t>
                    </m:r>
                    <m:nary>
                      <m:naryPr>
                        <m:chr m:val="∑"/>
                        <m:subHide m:val="on"/>
                        <m:supHide m:val="on"/>
                        <m:ctrlPr>
                          <a:rPr lang="en-US" sz="1100" b="0" i="1">
                            <a:latin typeface="Cambria Math"/>
                          </a:rPr>
                        </m:ctrlPr>
                      </m:naryPr>
                      <m:sub/>
                      <m:sup/>
                      <m:e>
                        <m:r>
                          <a:rPr lang="en-US" sz="1100" b="0" i="1">
                            <a:latin typeface="Cambria Math"/>
                          </a:rPr>
                          <m:t>𝐴𝑆𝐹𝑅𝑖</m:t>
                        </m:r>
                      </m:e>
                    </m:nary>
                  </m:oMath>
                </m:oMathPara>
              </a14:m>
              <a:endParaRPr lang="en-US" sz="1100"/>
            </a:p>
            <a:p>
              <a:r>
                <a:rPr lang="en-US" sz="1100"/>
                <a:t>NRR</a:t>
              </a:r>
              <a:r>
                <a:rPr lang="en-US" sz="1100" baseline="0"/>
                <a:t> = GRR*</a:t>
              </a:r>
              <a14:m>
                <m:oMath xmlns:m="http://schemas.openxmlformats.org/officeDocument/2006/math">
                  <m:f>
                    <m:fPr>
                      <m:ctrlPr>
                        <a:rPr lang="en-US" sz="1100" i="1" baseline="0">
                          <a:latin typeface="Cambria Math"/>
                        </a:rPr>
                      </m:ctrlPr>
                    </m:fPr>
                    <m:num>
                      <m:r>
                        <a:rPr lang="en-US" sz="1100" b="0" i="1" baseline="0">
                          <a:latin typeface="Cambria Math"/>
                        </a:rPr>
                        <m:t>𝑇𝑜𝑡𝑎𝑙</m:t>
                      </m:r>
                      <m:r>
                        <a:rPr lang="en-US" sz="1100" b="0" i="1" baseline="0">
                          <a:latin typeface="Cambria Math"/>
                        </a:rPr>
                        <m:t> </m:t>
                      </m:r>
                      <m:r>
                        <a:rPr lang="en-US" sz="1100" b="0" i="1" baseline="0">
                          <a:latin typeface="Cambria Math"/>
                        </a:rPr>
                        <m:t>𝑝𝑜𝑝𝑢𝑙𝑎𝑡𝑖𝑜𝑛</m:t>
                      </m:r>
                      <m:r>
                        <a:rPr lang="en-US" sz="1100" b="0" i="1" baseline="0">
                          <a:latin typeface="Cambria Math"/>
                        </a:rPr>
                        <m:t> </m:t>
                      </m:r>
                      <m:r>
                        <a:rPr lang="en-US" sz="1100" b="0" i="1" baseline="0">
                          <a:latin typeface="Cambria Math"/>
                        </a:rPr>
                        <m:t>𝑠𝑢𝑟𝑣𝑖𝑣𝑖𝑛𝑔</m:t>
                      </m:r>
                    </m:num>
                    <m:den>
                      <m:r>
                        <a:rPr lang="en-US" sz="1100" b="0" i="1" baseline="0">
                          <a:latin typeface="Cambria Math"/>
                        </a:rPr>
                        <m:t>7 (</m:t>
                      </m:r>
                      <m:r>
                        <a:rPr lang="en-US" sz="1100" b="0" i="1" baseline="0">
                          <a:latin typeface="Cambria Math"/>
                        </a:rPr>
                        <m:t>𝑎𝑔𝑒</m:t>
                      </m:r>
                      <m:r>
                        <a:rPr lang="en-US" sz="1100" b="0" i="1" baseline="0">
                          <a:latin typeface="Cambria Math"/>
                        </a:rPr>
                        <m:t> </m:t>
                      </m:r>
                      <m:r>
                        <a:rPr lang="en-US" sz="1100" b="0" i="1" baseline="0">
                          <a:latin typeface="Cambria Math"/>
                        </a:rPr>
                        <m:t>𝑔𝑟𝑜𝑢𝑝</m:t>
                      </m:r>
                      <m:r>
                        <a:rPr lang="en-US" sz="1100" b="0" i="1" baseline="0">
                          <a:latin typeface="Cambria Math"/>
                        </a:rPr>
                        <m:t>)</m:t>
                      </m:r>
                    </m:den>
                  </m:f>
                </m:oMath>
              </a14:m>
              <a:endParaRPr lang="en-US" sz="1100"/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8553450" y="5051425"/>
              <a:ext cx="2381250" cy="77033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US" sz="1100" b="0" i="0">
                  <a:latin typeface="Cambria Math"/>
                </a:rPr>
                <a:t>𝑇𝐹𝑅=5∗∑▒𝐴𝑆𝐹𝑅𝑖</a:t>
              </a:r>
              <a:endParaRPr lang="en-US" sz="1100"/>
            </a:p>
            <a:p>
              <a:pPr/>
              <a:r>
                <a:rPr lang="en-US" sz="1100"/>
                <a:t>NRR</a:t>
              </a:r>
              <a:r>
                <a:rPr lang="en-US" sz="1100" baseline="0"/>
                <a:t> = GRR*</a:t>
              </a:r>
              <a:r>
                <a:rPr lang="en-US" sz="1100" i="0" baseline="0">
                  <a:latin typeface="Cambria Math"/>
                </a:rPr>
                <a:t>(</a:t>
              </a:r>
              <a:r>
                <a:rPr lang="en-US" sz="1100" b="0" i="0" baseline="0">
                  <a:latin typeface="Cambria Math"/>
                </a:rPr>
                <a:t>𝑇𝑜𝑡𝑎𝑙 𝑝𝑜𝑝𝑢𝑙𝑎𝑡𝑖𝑜𝑛 𝑠𝑢𝑟𝑣𝑖𝑣𝑖𝑛𝑔)/(7 (𝑎𝑔𝑒 𝑔𝑟𝑜𝑢𝑝))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327024</xdr:colOff>
      <xdr:row>14</xdr:row>
      <xdr:rowOff>28575</xdr:rowOff>
    </xdr:from>
    <xdr:ext cx="2276476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1546224" y="2701925"/>
              <a:ext cx="2276476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/>
                      </a:rPr>
                      <m:t>𝐺𝑅</m:t>
                    </m:r>
                    <m:r>
                      <a:rPr lang="en-US" sz="1100" b="0" i="1">
                        <a:latin typeface="Cambria Math"/>
                      </a:rPr>
                      <m:t>=</m:t>
                    </m:r>
                    <m:r>
                      <a:rPr lang="en-US" sz="1100" b="0" i="1">
                        <a:latin typeface="Cambria Math"/>
                      </a:rPr>
                      <m:t>𝑌</m:t>
                    </m:r>
                    <m:r>
                      <a:rPr lang="en-US" sz="1100" b="0" i="1">
                        <a:latin typeface="Cambria Math"/>
                      </a:rPr>
                      <m:t> </m:t>
                    </m:r>
                    <m:r>
                      <a:rPr lang="en-US" sz="1100" b="0" i="1" baseline="-25000">
                        <a:latin typeface="Cambria Math"/>
                      </a:rPr>
                      <m:t>𝑖</m:t>
                    </m:r>
                    <m:r>
                      <a:rPr lang="en-US" sz="1100" b="0" i="1" baseline="-25000">
                        <a:latin typeface="Cambria Math"/>
                      </a:rPr>
                      <m:t>+1</m:t>
                    </m:r>
                    <m:r>
                      <a:rPr lang="en-US" sz="1100" b="0" i="1">
                        <a:latin typeface="Cambria Math"/>
                      </a:rPr>
                      <m:t>𝑋𝑖</m:t>
                    </m:r>
                    <m:r>
                      <a:rPr lang="en-US" sz="1100" b="0" i="1">
                        <a:latin typeface="Cambria Math"/>
                      </a:rPr>
                      <m:t>−</m:t>
                    </m:r>
                    <m:r>
                      <a:rPr lang="en-US" sz="1100" b="0" i="1">
                        <a:latin typeface="Cambria Math"/>
                      </a:rPr>
                      <m:t>𝑌𝑖𝑋𝑖</m:t>
                    </m:r>
                    <m:r>
                      <a:rPr lang="en-US" sz="1100" b="0" i="1" baseline="-25000">
                        <a:latin typeface="Cambria Math"/>
                      </a:rPr>
                      <m:t>+1 </m:t>
                    </m:r>
                  </m:oMath>
                </m:oMathPara>
              </a14:m>
              <a:endParaRPr lang="en-US" sz="1100" baseline="-250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1546224" y="2701925"/>
              <a:ext cx="2276476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US" sz="1100" b="0" i="0">
                  <a:latin typeface="Cambria Math"/>
                </a:rPr>
                <a:t>𝐺𝑅=𝑌 </a:t>
              </a:r>
              <a:r>
                <a:rPr lang="en-US" sz="1100" b="0" i="0" baseline="-25000">
                  <a:latin typeface="Cambria Math"/>
                </a:rPr>
                <a:t>𝑖+1</a:t>
              </a:r>
              <a:r>
                <a:rPr lang="en-US" sz="1100" b="0" i="0">
                  <a:latin typeface="Cambria Math"/>
                </a:rPr>
                <a:t>𝑋𝑖−𝑌𝑖𝑋𝑖</a:t>
              </a:r>
              <a:r>
                <a:rPr lang="en-US" sz="1100" b="0" i="0" baseline="-25000">
                  <a:latin typeface="Cambria Math"/>
                </a:rPr>
                <a:t>+1 </a:t>
              </a:r>
              <a:endParaRPr lang="en-US" sz="1100" baseline="-25000"/>
            </a:p>
          </xdr:txBody>
        </xdr:sp>
      </mc:Fallback>
    </mc:AlternateContent>
    <xdr:clientData/>
  </xdr:oneCellAnchor>
  <xdr:twoCellAnchor>
    <xdr:from>
      <xdr:col>9</xdr:col>
      <xdr:colOff>492125</xdr:colOff>
      <xdr:row>3</xdr:row>
      <xdr:rowOff>104775</xdr:rowOff>
    </xdr:from>
    <xdr:to>
      <xdr:col>17</xdr:col>
      <xdr:colOff>187325</xdr:colOff>
      <xdr:row>18</xdr:row>
      <xdr:rowOff>79375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479424</xdr:colOff>
      <xdr:row>4</xdr:row>
      <xdr:rowOff>22225</xdr:rowOff>
    </xdr:from>
    <xdr:ext cx="1311275" cy="33175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7204074" y="866775"/>
              <a:ext cx="1311275" cy="33175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/>
                <a:t>SMAM =</a:t>
              </a:r>
              <a:r>
                <a:rPr lang="en-US" sz="1100" baseline="0"/>
                <a:t> </a:t>
              </a:r>
              <a14:m>
                <m:oMath xmlns:m="http://schemas.openxmlformats.org/officeDocument/2006/math">
                  <m:f>
                    <m:fPr>
                      <m:ctrlPr>
                        <a:rPr lang="en-US" sz="1100" i="1">
                          <a:latin typeface="Cambria Math"/>
                        </a:rPr>
                      </m:ctrlPr>
                    </m:fPr>
                    <m:num>
                      <m:r>
                        <a:rPr lang="en-US" sz="1100" b="0" i="1">
                          <a:latin typeface="Cambria Math"/>
                        </a:rPr>
                        <m:t>𝑇</m:t>
                      </m:r>
                      <m:r>
                        <a:rPr lang="en-US" sz="1100" b="0" i="1">
                          <a:latin typeface="Cambria Math"/>
                        </a:rPr>
                        <m:t>2−</m:t>
                      </m:r>
                      <m:r>
                        <a:rPr lang="en-US" sz="1100" b="0" i="1">
                          <a:latin typeface="Cambria Math"/>
                        </a:rPr>
                        <m:t>𝐵</m:t>
                      </m:r>
                    </m:num>
                    <m:den>
                      <m:r>
                        <a:rPr lang="en-US" sz="1100" b="0" i="1">
                          <a:latin typeface="Cambria Math"/>
                        </a:rPr>
                        <m:t>𝐷</m:t>
                      </m:r>
                    </m:den>
                  </m:f>
                </m:oMath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7204074" y="866775"/>
              <a:ext cx="1311275" cy="33175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/>
                <a:t>SMAM =</a:t>
              </a:r>
              <a:r>
                <a:rPr lang="en-US" sz="1100" baseline="0"/>
                <a:t> </a:t>
              </a:r>
              <a:r>
                <a:rPr lang="en-US" sz="1100" i="0">
                  <a:latin typeface="Cambria Math"/>
                </a:rPr>
                <a:t>(</a:t>
              </a:r>
              <a:r>
                <a:rPr lang="en-US" sz="1100" b="0" i="0">
                  <a:latin typeface="Cambria Math"/>
                </a:rPr>
                <a:t>𝑇2−𝐵)/𝐷</a:t>
              </a:r>
              <a:endParaRPr 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44"/>
  <sheetViews>
    <sheetView topLeftCell="A31" workbookViewId="0">
      <selection activeCell="B1" sqref="B1:D19"/>
    </sheetView>
  </sheetViews>
  <sheetFormatPr defaultRowHeight="14.5" x14ac:dyDescent="0.35"/>
  <cols>
    <col min="2" max="2" width="9.6328125" bestFit="1" customWidth="1"/>
    <col min="5" max="5" width="10.6328125" customWidth="1"/>
    <col min="6" max="6" width="14.453125" customWidth="1"/>
  </cols>
  <sheetData>
    <row r="1" spans="2:6" x14ac:dyDescent="0.35">
      <c r="B1" s="169" t="s">
        <v>19</v>
      </c>
      <c r="C1" s="169"/>
      <c r="D1" s="169"/>
      <c r="E1" s="168" t="s">
        <v>20</v>
      </c>
      <c r="F1" s="168"/>
    </row>
    <row r="2" spans="2:6" x14ac:dyDescent="0.35">
      <c r="B2" s="167" t="s">
        <v>0</v>
      </c>
      <c r="C2" s="165" t="s">
        <v>1</v>
      </c>
      <c r="D2" s="166"/>
      <c r="E2" s="168" t="s">
        <v>18</v>
      </c>
      <c r="F2" s="168"/>
    </row>
    <row r="3" spans="2:6" x14ac:dyDescent="0.35">
      <c r="B3" s="167"/>
      <c r="C3" s="3">
        <v>2001</v>
      </c>
      <c r="D3" s="8">
        <v>2011</v>
      </c>
      <c r="E3" s="10">
        <v>2001</v>
      </c>
      <c r="F3" s="10">
        <v>2011</v>
      </c>
    </row>
    <row r="4" spans="2:6" x14ac:dyDescent="0.35">
      <c r="B4" s="4" t="s">
        <v>2</v>
      </c>
      <c r="C4" s="5">
        <v>16002</v>
      </c>
      <c r="D4" s="9">
        <v>15061</v>
      </c>
      <c r="E4" s="11">
        <f>-(C4/C$20)*100</f>
        <v>-12.736693808352634</v>
      </c>
      <c r="F4" s="11">
        <f>(D4/D$20)*100</f>
        <v>10.463387522578852</v>
      </c>
    </row>
    <row r="5" spans="2:6" x14ac:dyDescent="0.35">
      <c r="B5" s="6" t="s">
        <v>3</v>
      </c>
      <c r="C5" s="5">
        <v>16696</v>
      </c>
      <c r="D5" s="9">
        <v>18173</v>
      </c>
      <c r="E5" s="11">
        <f t="shared" ref="E5:E19" si="0">-(C5/C$20)*100</f>
        <v>-13.289078854159206</v>
      </c>
      <c r="F5" s="11">
        <f t="shared" ref="F5:F19" si="1">(D5/D$20)*100</f>
        <v>12.625399472002224</v>
      </c>
    </row>
    <row r="6" spans="2:6" x14ac:dyDescent="0.35">
      <c r="B6" s="6" t="s">
        <v>4</v>
      </c>
      <c r="C6" s="5">
        <v>15872</v>
      </c>
      <c r="D6" s="9">
        <v>16645</v>
      </c>
      <c r="E6" s="11">
        <f t="shared" si="0"/>
        <v>-12.633221105247658</v>
      </c>
      <c r="F6" s="11">
        <f t="shared" si="1"/>
        <v>11.563846046964013</v>
      </c>
    </row>
    <row r="7" spans="2:6" x14ac:dyDescent="0.35">
      <c r="B7" s="5" t="s">
        <v>5</v>
      </c>
      <c r="C7" s="5">
        <v>12076</v>
      </c>
      <c r="D7" s="9">
        <v>12861</v>
      </c>
      <c r="E7" s="11">
        <f t="shared" si="0"/>
        <v>-9.6118181745823286</v>
      </c>
      <c r="F7" s="11">
        <f t="shared" si="1"/>
        <v>8.93497290537724</v>
      </c>
    </row>
    <row r="8" spans="2:6" x14ac:dyDescent="0.35">
      <c r="B8" s="5" t="s">
        <v>6</v>
      </c>
      <c r="C8" s="5">
        <v>11135</v>
      </c>
      <c r="D8" s="9">
        <v>13299</v>
      </c>
      <c r="E8" s="11">
        <f t="shared" si="0"/>
        <v>-8.8628349928763015</v>
      </c>
      <c r="F8" s="11">
        <f t="shared" si="1"/>
        <v>9.2392663609837431</v>
      </c>
    </row>
    <row r="9" spans="2:6" x14ac:dyDescent="0.35">
      <c r="B9" s="5" t="s">
        <v>7</v>
      </c>
      <c r="C9" s="5">
        <v>10982</v>
      </c>
      <c r="D9" s="9">
        <v>13479</v>
      </c>
      <c r="E9" s="11">
        <f t="shared" si="0"/>
        <v>-8.7410555807604435</v>
      </c>
      <c r="F9" s="11">
        <f t="shared" si="1"/>
        <v>9.3643184660275125</v>
      </c>
    </row>
    <row r="10" spans="2:6" x14ac:dyDescent="0.35">
      <c r="B10" s="5" t="s">
        <v>8</v>
      </c>
      <c r="C10" s="5">
        <v>8641</v>
      </c>
      <c r="D10" s="9">
        <v>10499</v>
      </c>
      <c r="E10" s="11">
        <f t="shared" si="0"/>
        <v>-6.8777509810008199</v>
      </c>
      <c r="F10" s="11">
        <f t="shared" si="1"/>
        <v>7.2940113936362376</v>
      </c>
    </row>
    <row r="11" spans="2:6" x14ac:dyDescent="0.35">
      <c r="B11" s="5" t="s">
        <v>9</v>
      </c>
      <c r="C11" s="5">
        <v>7891</v>
      </c>
      <c r="D11" s="9">
        <v>9556</v>
      </c>
      <c r="E11" s="11">
        <f t="shared" si="0"/>
        <v>-6.2807930784721062</v>
      </c>
      <c r="F11" s="11">
        <f t="shared" si="1"/>
        <v>6.6388773099902734</v>
      </c>
    </row>
    <row r="12" spans="2:6" x14ac:dyDescent="0.35">
      <c r="B12" s="5" t="s">
        <v>10</v>
      </c>
      <c r="C12" s="5">
        <v>6261</v>
      </c>
      <c r="D12" s="9">
        <v>8261</v>
      </c>
      <c r="E12" s="11">
        <f t="shared" si="0"/>
        <v>-4.9834045703097019</v>
      </c>
      <c r="F12" s="11">
        <f t="shared" si="1"/>
        <v>5.7391968875920529</v>
      </c>
    </row>
    <row r="13" spans="2:6" x14ac:dyDescent="0.35">
      <c r="B13" s="5" t="s">
        <v>11</v>
      </c>
      <c r="C13" s="5">
        <v>4676</v>
      </c>
      <c r="D13" s="9">
        <v>6380</v>
      </c>
      <c r="E13" s="11">
        <f t="shared" si="0"/>
        <v>-3.72183353629902</v>
      </c>
      <c r="F13" s="11">
        <f t="shared" si="1"/>
        <v>4.4324023898846745</v>
      </c>
    </row>
    <row r="14" spans="2:6" x14ac:dyDescent="0.35">
      <c r="B14" s="5" t="s">
        <v>12</v>
      </c>
      <c r="C14" s="5">
        <v>4005</v>
      </c>
      <c r="D14" s="9">
        <v>5552</v>
      </c>
      <c r="E14" s="11">
        <f t="shared" si="0"/>
        <v>-3.1877551995033309</v>
      </c>
      <c r="F14" s="11">
        <f t="shared" si="1"/>
        <v>3.8571627066833405</v>
      </c>
    </row>
    <row r="15" spans="2:6" x14ac:dyDescent="0.35">
      <c r="B15" s="5" t="s">
        <v>13</v>
      </c>
      <c r="C15" s="5">
        <v>2386</v>
      </c>
      <c r="D15" s="9">
        <v>3500</v>
      </c>
      <c r="E15" s="11">
        <f t="shared" si="0"/>
        <v>-1.8991220739113479</v>
      </c>
      <c r="F15" s="11">
        <f t="shared" si="1"/>
        <v>2.4315687091843823</v>
      </c>
    </row>
    <row r="16" spans="2:6" x14ac:dyDescent="0.35">
      <c r="B16" s="5" t="s">
        <v>14</v>
      </c>
      <c r="C16" s="5">
        <v>2849</v>
      </c>
      <c r="D16" s="9">
        <v>3934</v>
      </c>
      <c r="E16" s="11">
        <f t="shared" si="0"/>
        <v>-2.2676440857390738</v>
      </c>
      <c r="F16" s="11">
        <f t="shared" si="1"/>
        <v>2.7330832291232459</v>
      </c>
    </row>
    <row r="17" spans="2:16" x14ac:dyDescent="0.35">
      <c r="B17" s="5" t="s">
        <v>15</v>
      </c>
      <c r="C17" s="5">
        <v>2089</v>
      </c>
      <c r="D17" s="9">
        <v>2013</v>
      </c>
      <c r="E17" s="11">
        <f t="shared" si="0"/>
        <v>-1.6627267445099772</v>
      </c>
      <c r="F17" s="11">
        <f t="shared" si="1"/>
        <v>1.3984993747394747</v>
      </c>
    </row>
    <row r="18" spans="2:16" x14ac:dyDescent="0.35">
      <c r="B18" s="5" t="s">
        <v>16</v>
      </c>
      <c r="C18" s="5">
        <v>2122</v>
      </c>
      <c r="D18" s="9">
        <v>2231</v>
      </c>
      <c r="E18" s="11">
        <f t="shared" si="0"/>
        <v>-1.6889928922212405</v>
      </c>
      <c r="F18" s="11">
        <f t="shared" si="1"/>
        <v>1.5499513686258162</v>
      </c>
    </row>
    <row r="19" spans="2:16" x14ac:dyDescent="0.35">
      <c r="B19" s="5" t="s">
        <v>17</v>
      </c>
      <c r="C19" s="5">
        <v>1954</v>
      </c>
      <c r="D19" s="9">
        <v>2496</v>
      </c>
      <c r="E19" s="11">
        <f t="shared" si="0"/>
        <v>-1.5552743220548089</v>
      </c>
      <c r="F19" s="11">
        <f t="shared" si="1"/>
        <v>1.7340558566069193</v>
      </c>
    </row>
    <row r="20" spans="2:16" x14ac:dyDescent="0.35">
      <c r="C20" s="7">
        <f>SUM(C4:C19)</f>
        <v>125637</v>
      </c>
      <c r="D20" s="7">
        <f>SUM(D4:D19)</f>
        <v>143940</v>
      </c>
      <c r="E20" s="7">
        <f t="shared" ref="E20:F20" si="2">SUM(E4:E19)</f>
        <v>-99.999999999999986</v>
      </c>
      <c r="F20" s="7">
        <f t="shared" si="2"/>
        <v>99.999999999999986</v>
      </c>
      <c r="I20" s="163" t="s">
        <v>178</v>
      </c>
      <c r="J20" s="163"/>
      <c r="K20" s="163"/>
      <c r="L20" s="163"/>
      <c r="M20" s="163"/>
      <c r="N20" s="163"/>
      <c r="O20" s="163"/>
      <c r="P20" s="163"/>
    </row>
    <row r="21" spans="2:16" x14ac:dyDescent="0.35">
      <c r="I21" s="163"/>
      <c r="J21" s="163"/>
      <c r="K21" s="163"/>
      <c r="L21" s="163"/>
      <c r="M21" s="163"/>
      <c r="N21" s="163"/>
      <c r="O21" s="163"/>
      <c r="P21" s="163"/>
    </row>
    <row r="22" spans="2:16" x14ac:dyDescent="0.35">
      <c r="I22" s="163"/>
      <c r="J22" s="163"/>
      <c r="K22" s="163"/>
      <c r="L22" s="163"/>
      <c r="M22" s="163"/>
      <c r="N22" s="163"/>
      <c r="O22" s="163"/>
      <c r="P22" s="163"/>
    </row>
    <row r="23" spans="2:16" x14ac:dyDescent="0.35">
      <c r="B23">
        <v>2011</v>
      </c>
      <c r="C23" s="1" t="s">
        <v>21</v>
      </c>
      <c r="D23">
        <f>D20</f>
        <v>143940</v>
      </c>
      <c r="I23" s="163"/>
      <c r="J23" s="163"/>
      <c r="K23" s="163"/>
      <c r="L23" s="163"/>
      <c r="M23" s="163"/>
      <c r="N23" s="163"/>
      <c r="O23" s="163"/>
      <c r="P23" s="163"/>
    </row>
    <row r="24" spans="2:16" x14ac:dyDescent="0.35">
      <c r="B24">
        <v>2001</v>
      </c>
      <c r="C24" s="1" t="s">
        <v>22</v>
      </c>
      <c r="D24">
        <f>C20</f>
        <v>125637</v>
      </c>
      <c r="I24" s="163"/>
      <c r="J24" s="163"/>
      <c r="K24" s="163"/>
      <c r="L24" s="163"/>
      <c r="M24" s="163"/>
      <c r="N24" s="163"/>
      <c r="O24" s="163"/>
      <c r="P24" s="163"/>
    </row>
    <row r="25" spans="2:16" x14ac:dyDescent="0.35">
      <c r="C25" s="1" t="s">
        <v>24</v>
      </c>
      <c r="D25">
        <v>10</v>
      </c>
    </row>
    <row r="27" spans="2:16" x14ac:dyDescent="0.35">
      <c r="B27" s="164" t="s">
        <v>25</v>
      </c>
      <c r="C27" s="164"/>
      <c r="D27" s="164"/>
      <c r="E27" t="s">
        <v>26</v>
      </c>
      <c r="F27">
        <f>($D$23-$D$24)/($D$25*$D$24)</f>
        <v>1.4568160653310729E-2</v>
      </c>
    </row>
    <row r="28" spans="2:16" x14ac:dyDescent="0.35">
      <c r="B28" s="164" t="s">
        <v>27</v>
      </c>
      <c r="C28" s="164"/>
      <c r="D28" s="164"/>
      <c r="E28" t="s">
        <v>26</v>
      </c>
      <c r="F28">
        <f>((D23/D24)^(1/D25))-1</f>
        <v>1.3692875272912186E-2</v>
      </c>
    </row>
    <row r="29" spans="2:16" x14ac:dyDescent="0.35">
      <c r="B29" s="164" t="s">
        <v>28</v>
      </c>
      <c r="C29" s="164"/>
      <c r="D29" s="164"/>
      <c r="E29" t="s">
        <v>26</v>
      </c>
      <c r="F29">
        <f>(1/D25)*LN(D23/D24)</f>
        <v>1.3599974944023109E-2</v>
      </c>
    </row>
    <row r="31" spans="2:16" x14ac:dyDescent="0.35">
      <c r="B31" s="164" t="s">
        <v>29</v>
      </c>
      <c r="C31" s="164"/>
      <c r="D31" s="164"/>
      <c r="E31" t="s">
        <v>26</v>
      </c>
      <c r="F31" s="2">
        <f>LN(2)/F29</f>
        <v>50.966798351681398</v>
      </c>
      <c r="G31" s="164" t="s">
        <v>30</v>
      </c>
      <c r="H31" s="164"/>
    </row>
    <row r="32" spans="2:16" x14ac:dyDescent="0.35">
      <c r="B32" s="1"/>
      <c r="C32" s="1"/>
      <c r="D32" s="1"/>
      <c r="F32" s="2"/>
      <c r="G32" s="1"/>
      <c r="H32" s="1"/>
    </row>
    <row r="33" spans="2:6" ht="16.5" x14ac:dyDescent="0.45">
      <c r="C33" t="s">
        <v>31</v>
      </c>
      <c r="D33">
        <f>D23</f>
        <v>143940</v>
      </c>
    </row>
    <row r="34" spans="2:6" x14ac:dyDescent="0.35">
      <c r="C34" t="s">
        <v>23</v>
      </c>
      <c r="D34">
        <v>20</v>
      </c>
    </row>
    <row r="35" spans="2:6" x14ac:dyDescent="0.35">
      <c r="B35" s="164" t="s">
        <v>33</v>
      </c>
      <c r="C35" s="164"/>
      <c r="D35" s="164"/>
      <c r="E35" s="164"/>
    </row>
    <row r="36" spans="2:6" ht="16.5" x14ac:dyDescent="0.45">
      <c r="D36" t="s">
        <v>32</v>
      </c>
      <c r="E36">
        <f>D33*(1+F27*D34)</f>
        <v>185878.82088875092</v>
      </c>
      <c r="F36" t="s">
        <v>34</v>
      </c>
    </row>
    <row r="37" spans="2:6" x14ac:dyDescent="0.35">
      <c r="E37">
        <f>D33*((1+F28)^D34)</f>
        <v>188933.67829033974</v>
      </c>
      <c r="F37" t="s">
        <v>35</v>
      </c>
    </row>
    <row r="38" spans="2:6" x14ac:dyDescent="0.35">
      <c r="E38">
        <f>D33*EXP(F29*D34)</f>
        <v>188933.67829033965</v>
      </c>
      <c r="F38" t="s">
        <v>30</v>
      </c>
    </row>
    <row r="40" spans="2:6" x14ac:dyDescent="0.35">
      <c r="C40" t="s">
        <v>23</v>
      </c>
      <c r="D40">
        <v>40</v>
      </c>
    </row>
    <row r="41" spans="2:6" x14ac:dyDescent="0.35">
      <c r="B41" s="164" t="s">
        <v>36</v>
      </c>
      <c r="C41" s="164"/>
      <c r="D41" s="164"/>
      <c r="E41" s="164"/>
    </row>
    <row r="42" spans="2:6" ht="16.5" x14ac:dyDescent="0.45">
      <c r="D42" t="s">
        <v>37</v>
      </c>
      <c r="E42">
        <f>D33*(1+F27*D40)</f>
        <v>227817.64177750185</v>
      </c>
      <c r="F42" t="s">
        <v>34</v>
      </c>
    </row>
    <row r="43" spans="2:6" x14ac:dyDescent="0.35">
      <c r="E43">
        <f>D33*((1+F28)^D40)</f>
        <v>247991.76596024452</v>
      </c>
      <c r="F43" t="s">
        <v>35</v>
      </c>
    </row>
    <row r="44" spans="2:6" x14ac:dyDescent="0.35">
      <c r="E44">
        <f>D33*EXP(F29*D40)</f>
        <v>247991.76596024429</v>
      </c>
      <c r="F44" t="s">
        <v>30</v>
      </c>
    </row>
  </sheetData>
  <mergeCells count="13">
    <mergeCell ref="B1:D1"/>
    <mergeCell ref="E1:F1"/>
    <mergeCell ref="B27:D27"/>
    <mergeCell ref="B28:D28"/>
    <mergeCell ref="B29:D29"/>
    <mergeCell ref="I20:P24"/>
    <mergeCell ref="G31:H31"/>
    <mergeCell ref="B35:E35"/>
    <mergeCell ref="B41:E41"/>
    <mergeCell ref="C2:D2"/>
    <mergeCell ref="B2:B3"/>
    <mergeCell ref="E2:F2"/>
    <mergeCell ref="B31:D3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7"/>
  <sheetViews>
    <sheetView workbookViewId="0">
      <selection activeCell="E45" sqref="E45"/>
    </sheetView>
  </sheetViews>
  <sheetFormatPr defaultRowHeight="14.5" x14ac:dyDescent="0.35"/>
  <cols>
    <col min="2" max="2" width="7.26953125" customWidth="1"/>
    <col min="3" max="3" width="9.81640625" bestFit="1" customWidth="1"/>
    <col min="4" max="4" width="11.1796875" bestFit="1" customWidth="1"/>
    <col min="5" max="5" width="12.1796875" bestFit="1" customWidth="1"/>
    <col min="6" max="6" width="9.1796875" customWidth="1"/>
    <col min="7" max="7" width="9.81640625" bestFit="1" customWidth="1"/>
    <col min="8" max="8" width="11.1796875" bestFit="1" customWidth="1"/>
    <col min="9" max="9" width="12.1796875" bestFit="1" customWidth="1"/>
    <col min="11" max="11" width="13.08984375" customWidth="1"/>
    <col min="13" max="13" width="17.81640625" bestFit="1" customWidth="1"/>
    <col min="14" max="14" width="9.81640625" bestFit="1" customWidth="1"/>
  </cols>
  <sheetData>
    <row r="1" spans="1:16" ht="21" x14ac:dyDescent="0.5">
      <c r="A1" s="172" t="s">
        <v>113</v>
      </c>
      <c r="B1" s="172"/>
      <c r="C1" s="172"/>
      <c r="D1" s="172"/>
      <c r="E1" s="172"/>
    </row>
    <row r="2" spans="1:16" ht="15" thickBot="1" x14ac:dyDescent="0.4">
      <c r="B2" s="191" t="s">
        <v>19</v>
      </c>
      <c r="C2" s="191"/>
      <c r="D2" s="191"/>
      <c r="E2" s="191"/>
      <c r="F2" s="191"/>
      <c r="G2" s="191"/>
      <c r="H2" s="191"/>
      <c r="I2" s="191"/>
      <c r="J2" s="191"/>
      <c r="K2" s="191"/>
    </row>
    <row r="3" spans="1:16" ht="15" thickBot="1" x14ac:dyDescent="0.4">
      <c r="B3" s="189" t="s">
        <v>0</v>
      </c>
      <c r="C3" s="184" t="s">
        <v>42</v>
      </c>
      <c r="D3" s="185"/>
      <c r="E3" s="185"/>
      <c r="F3" s="186"/>
      <c r="G3" s="181" t="s">
        <v>43</v>
      </c>
      <c r="H3" s="182"/>
      <c r="I3" s="182"/>
      <c r="J3" s="183"/>
      <c r="K3" s="187" t="s">
        <v>44</v>
      </c>
    </row>
    <row r="4" spans="1:16" ht="16.5" x14ac:dyDescent="0.45">
      <c r="B4" s="190"/>
      <c r="C4" s="32" t="s">
        <v>38</v>
      </c>
      <c r="D4" s="21" t="s">
        <v>39</v>
      </c>
      <c r="E4" s="21" t="s">
        <v>40</v>
      </c>
      <c r="F4" s="30" t="s">
        <v>41</v>
      </c>
      <c r="G4" s="29" t="s">
        <v>38</v>
      </c>
      <c r="H4" s="21" t="s">
        <v>39</v>
      </c>
      <c r="I4" s="21" t="s">
        <v>40</v>
      </c>
      <c r="J4" s="30" t="s">
        <v>41</v>
      </c>
      <c r="K4" s="188"/>
      <c r="M4" s="64" t="s">
        <v>49</v>
      </c>
      <c r="N4" s="59">
        <f>C22</f>
        <v>112482</v>
      </c>
    </row>
    <row r="5" spans="1:16" x14ac:dyDescent="0.35">
      <c r="B5" s="35" t="s">
        <v>45</v>
      </c>
      <c r="C5" s="71">
        <v>3848</v>
      </c>
      <c r="D5" s="21"/>
      <c r="E5" s="21">
        <v>150</v>
      </c>
      <c r="F5" s="30">
        <v>2.1399999999999999E-2</v>
      </c>
      <c r="G5" s="73">
        <v>2774</v>
      </c>
      <c r="H5" s="22"/>
      <c r="I5" s="22">
        <v>145</v>
      </c>
      <c r="J5" s="18">
        <v>1.52E-2</v>
      </c>
      <c r="K5" s="41"/>
      <c r="M5" s="65" t="s">
        <v>50</v>
      </c>
      <c r="N5" s="60">
        <f>D22</f>
        <v>3421</v>
      </c>
    </row>
    <row r="6" spans="1:16" ht="15" thickBot="1" x14ac:dyDescent="0.4">
      <c r="B6" s="35" t="s">
        <v>2</v>
      </c>
      <c r="C6" s="71">
        <v>12029</v>
      </c>
      <c r="D6" s="21"/>
      <c r="E6" s="21">
        <v>50</v>
      </c>
      <c r="F6" s="30">
        <v>3.3999999999999998E-3</v>
      </c>
      <c r="G6" s="73">
        <v>10488</v>
      </c>
      <c r="H6" s="22"/>
      <c r="I6" s="22">
        <v>45</v>
      </c>
      <c r="J6" s="18">
        <v>2.3999999999999998E-3</v>
      </c>
      <c r="K6" s="41"/>
      <c r="M6" s="66" t="s">
        <v>51</v>
      </c>
      <c r="N6" s="61">
        <f>E22</f>
        <v>875</v>
      </c>
    </row>
    <row r="7" spans="1:16" x14ac:dyDescent="0.35">
      <c r="B7" s="35" t="s">
        <v>3</v>
      </c>
      <c r="C7" s="71">
        <v>13641</v>
      </c>
      <c r="D7" s="21"/>
      <c r="E7" s="21">
        <v>21</v>
      </c>
      <c r="F7" s="30">
        <v>2.2000000000000001E-3</v>
      </c>
      <c r="G7" s="73">
        <v>12433</v>
      </c>
      <c r="H7" s="22"/>
      <c r="I7" s="22">
        <v>20</v>
      </c>
      <c r="J7" s="18">
        <v>1.2999999999999999E-3</v>
      </c>
      <c r="K7" s="41"/>
      <c r="M7" s="67" t="s">
        <v>52</v>
      </c>
      <c r="N7" s="59">
        <f>G22</f>
        <v>116127</v>
      </c>
    </row>
    <row r="8" spans="1:16" ht="15" thickBot="1" x14ac:dyDescent="0.4">
      <c r="B8" s="47" t="s">
        <v>4</v>
      </c>
      <c r="C8" s="75">
        <v>14142</v>
      </c>
      <c r="D8" s="48"/>
      <c r="E8" s="48">
        <v>23</v>
      </c>
      <c r="F8" s="57">
        <v>1.9E-3</v>
      </c>
      <c r="G8" s="74">
        <v>13272</v>
      </c>
      <c r="H8" s="23"/>
      <c r="I8" s="23">
        <v>22</v>
      </c>
      <c r="J8" s="24">
        <v>1.1000000000000001E-3</v>
      </c>
      <c r="K8" s="41"/>
      <c r="M8" s="65" t="s">
        <v>53</v>
      </c>
      <c r="N8" s="60">
        <f>H22</f>
        <v>2993</v>
      </c>
    </row>
    <row r="9" spans="1:16" ht="15" thickBot="1" x14ac:dyDescent="0.4">
      <c r="B9" s="52" t="s">
        <v>5</v>
      </c>
      <c r="C9" s="53">
        <v>12601</v>
      </c>
      <c r="D9" s="54">
        <v>484</v>
      </c>
      <c r="E9" s="55">
        <v>26</v>
      </c>
      <c r="F9" s="58">
        <v>3.7000000000000002E-3</v>
      </c>
      <c r="G9" s="15">
        <v>12252</v>
      </c>
      <c r="H9" s="25">
        <v>450</v>
      </c>
      <c r="I9" s="25">
        <v>25</v>
      </c>
      <c r="J9" s="26">
        <v>1.8E-3</v>
      </c>
      <c r="K9" s="42">
        <v>0.77</v>
      </c>
      <c r="M9" s="66" t="s">
        <v>54</v>
      </c>
      <c r="N9" s="61">
        <f>I22</f>
        <v>859</v>
      </c>
    </row>
    <row r="10" spans="1:16" x14ac:dyDescent="0.35">
      <c r="B10" s="36" t="s">
        <v>6</v>
      </c>
      <c r="C10" s="33">
        <v>8481</v>
      </c>
      <c r="D10" s="21">
        <v>916</v>
      </c>
      <c r="E10" s="30">
        <v>21</v>
      </c>
      <c r="F10" s="46">
        <v>5.1000000000000004E-3</v>
      </c>
      <c r="G10" s="14">
        <v>10019</v>
      </c>
      <c r="H10" s="22">
        <v>950</v>
      </c>
      <c r="I10" s="22">
        <v>22</v>
      </c>
      <c r="J10" s="18">
        <v>2.5000000000000001E-3</v>
      </c>
      <c r="K10" s="43">
        <v>0.748</v>
      </c>
      <c r="M10" s="67" t="s">
        <v>46</v>
      </c>
      <c r="N10" s="59">
        <f>N4+N7</f>
        <v>228609</v>
      </c>
    </row>
    <row r="11" spans="1:16" x14ac:dyDescent="0.35">
      <c r="B11" s="36" t="s">
        <v>7</v>
      </c>
      <c r="C11" s="33">
        <v>6783</v>
      </c>
      <c r="D11" s="21">
        <v>980</v>
      </c>
      <c r="E11" s="30">
        <v>18</v>
      </c>
      <c r="F11" s="46">
        <v>5.1999999999999998E-3</v>
      </c>
      <c r="G11" s="14">
        <v>8695</v>
      </c>
      <c r="H11" s="22">
        <v>698</v>
      </c>
      <c r="I11" s="22">
        <v>20</v>
      </c>
      <c r="J11" s="18">
        <v>3.2000000000000002E-3</v>
      </c>
      <c r="K11" s="43">
        <v>0.72299999999999998</v>
      </c>
      <c r="M11" s="65" t="s">
        <v>47</v>
      </c>
      <c r="N11" s="60">
        <f>N5+N8</f>
        <v>6414</v>
      </c>
    </row>
    <row r="12" spans="1:16" ht="15" thickBot="1" x14ac:dyDescent="0.4">
      <c r="B12" s="36" t="s">
        <v>8</v>
      </c>
      <c r="C12" s="33">
        <v>6597</v>
      </c>
      <c r="D12" s="21">
        <v>638</v>
      </c>
      <c r="E12" s="30">
        <v>17</v>
      </c>
      <c r="F12" s="39">
        <v>5.7000000000000002E-3</v>
      </c>
      <c r="G12" s="14">
        <v>8270</v>
      </c>
      <c r="H12" s="22">
        <v>564</v>
      </c>
      <c r="I12" s="22">
        <v>24</v>
      </c>
      <c r="J12" s="18">
        <v>4.1000000000000003E-3</v>
      </c>
      <c r="K12" s="43">
        <v>0.69799999999999995</v>
      </c>
      <c r="M12" s="66" t="s">
        <v>48</v>
      </c>
      <c r="N12" s="61">
        <f>N6+N9</f>
        <v>1734</v>
      </c>
    </row>
    <row r="13" spans="1:16" x14ac:dyDescent="0.35">
      <c r="B13" s="36" t="s">
        <v>9</v>
      </c>
      <c r="C13" s="33">
        <v>6442</v>
      </c>
      <c r="D13" s="21">
        <v>295</v>
      </c>
      <c r="E13" s="30">
        <v>25</v>
      </c>
      <c r="F13" s="39">
        <v>7.4999999999999997E-3</v>
      </c>
      <c r="G13" s="14">
        <v>8230</v>
      </c>
      <c r="H13" s="22">
        <v>226</v>
      </c>
      <c r="I13" s="22">
        <v>25</v>
      </c>
      <c r="J13" s="18">
        <v>5.7999999999999996E-3</v>
      </c>
      <c r="K13" s="43">
        <v>0.66300000000000003</v>
      </c>
      <c r="M13" s="67" t="s">
        <v>55</v>
      </c>
      <c r="N13" s="62">
        <v>144043697</v>
      </c>
      <c r="O13" s="174" t="s">
        <v>57</v>
      </c>
    </row>
    <row r="14" spans="1:16" ht="15" thickBot="1" x14ac:dyDescent="0.4">
      <c r="B14" s="36" t="s">
        <v>10</v>
      </c>
      <c r="C14" s="33">
        <v>7180</v>
      </c>
      <c r="D14" s="21">
        <v>92</v>
      </c>
      <c r="E14" s="30">
        <v>28</v>
      </c>
      <c r="F14" s="39">
        <v>1.1599999999999999E-2</v>
      </c>
      <c r="G14" s="14">
        <v>7240</v>
      </c>
      <c r="H14" s="22">
        <v>85</v>
      </c>
      <c r="I14" s="22">
        <v>30</v>
      </c>
      <c r="J14" s="18">
        <v>8.8999999999999999E-3</v>
      </c>
      <c r="K14" s="43">
        <v>0.63500000000000001</v>
      </c>
      <c r="M14" s="66" t="s">
        <v>56</v>
      </c>
      <c r="N14" s="63">
        <v>1.03</v>
      </c>
      <c r="O14" s="174"/>
    </row>
    <row r="15" spans="1:16" ht="15" thickBot="1" x14ac:dyDescent="0.4">
      <c r="B15" s="37" t="s">
        <v>11</v>
      </c>
      <c r="C15" s="34">
        <v>5247</v>
      </c>
      <c r="D15" s="31">
        <v>16</v>
      </c>
      <c r="E15" s="56">
        <v>30</v>
      </c>
      <c r="F15" s="40">
        <v>0.19900000000000001</v>
      </c>
      <c r="G15" s="16">
        <v>5225</v>
      </c>
      <c r="H15" s="27">
        <v>20</v>
      </c>
      <c r="I15" s="27">
        <v>25</v>
      </c>
      <c r="J15" s="19">
        <v>1.46E-2</v>
      </c>
      <c r="K15" s="44">
        <v>0.60499999999999998</v>
      </c>
    </row>
    <row r="16" spans="1:16" x14ac:dyDescent="0.35">
      <c r="B16" s="49" t="s">
        <v>12</v>
      </c>
      <c r="C16" s="50">
        <v>3855</v>
      </c>
      <c r="D16" s="51"/>
      <c r="E16" s="51">
        <v>26</v>
      </c>
      <c r="F16" s="20">
        <v>3.3399999999999999E-2</v>
      </c>
      <c r="G16" s="17">
        <v>4006</v>
      </c>
      <c r="H16" s="28"/>
      <c r="I16" s="28">
        <v>28</v>
      </c>
      <c r="J16" s="20">
        <v>2.2800000000000001E-2</v>
      </c>
      <c r="K16" s="41"/>
      <c r="N16" t="s">
        <v>42</v>
      </c>
      <c r="O16" t="s">
        <v>43</v>
      </c>
      <c r="P16" t="s">
        <v>59</v>
      </c>
    </row>
    <row r="17" spans="2:16" x14ac:dyDescent="0.35">
      <c r="B17" s="36" t="s">
        <v>13</v>
      </c>
      <c r="C17" s="33">
        <v>3278</v>
      </c>
      <c r="D17" s="21"/>
      <c r="E17" s="21">
        <v>50</v>
      </c>
      <c r="F17" s="18">
        <v>5.6399999999999999E-2</v>
      </c>
      <c r="G17" s="14">
        <v>3828</v>
      </c>
      <c r="H17" s="22"/>
      <c r="I17" s="22">
        <v>51</v>
      </c>
      <c r="J17" s="18">
        <v>3.5999999999999997E-2</v>
      </c>
      <c r="K17" s="41"/>
      <c r="L17" t="s">
        <v>68</v>
      </c>
      <c r="M17" s="68" t="s">
        <v>58</v>
      </c>
      <c r="N17">
        <f>($N5/$N$13)*1000</f>
        <v>2.374973755359806E-2</v>
      </c>
      <c r="O17">
        <f>(N8/$N$13)*1000</f>
        <v>2.0778416982729898E-2</v>
      </c>
      <c r="P17">
        <f>(N11/$N$13)*1000</f>
        <v>4.4528154536327962E-2</v>
      </c>
    </row>
    <row r="18" spans="2:16" x14ac:dyDescent="0.35">
      <c r="B18" s="36" t="s">
        <v>14</v>
      </c>
      <c r="C18" s="33">
        <v>2956</v>
      </c>
      <c r="D18" s="21"/>
      <c r="E18" s="21">
        <v>60</v>
      </c>
      <c r="F18" s="18">
        <v>0.9</v>
      </c>
      <c r="G18" s="14">
        <v>3670</v>
      </c>
      <c r="H18" s="22"/>
      <c r="I18" s="22">
        <v>62</v>
      </c>
      <c r="J18" s="18">
        <v>5.8200000000000002E-2</v>
      </c>
      <c r="K18" s="41"/>
      <c r="M18" s="68" t="s">
        <v>60</v>
      </c>
      <c r="N18">
        <f>($N6/$N$13)*1000</f>
        <v>6.0745455596019592E-3</v>
      </c>
      <c r="O18">
        <f>(N9/$N$13)*1000</f>
        <v>5.9634681550835228E-3</v>
      </c>
      <c r="P18">
        <f>(N12/$N$13)*1000</f>
        <v>1.2038013714685481E-2</v>
      </c>
    </row>
    <row r="19" spans="2:16" x14ac:dyDescent="0.35">
      <c r="B19" s="36" t="s">
        <v>15</v>
      </c>
      <c r="C19" s="71">
        <v>2529</v>
      </c>
      <c r="D19" s="21"/>
      <c r="E19" s="21">
        <v>120</v>
      </c>
      <c r="F19" s="18">
        <v>0.14269999999999999</v>
      </c>
      <c r="G19" s="73">
        <v>2875</v>
      </c>
      <c r="H19" s="22"/>
      <c r="I19" s="22">
        <v>122</v>
      </c>
      <c r="J19" s="18">
        <v>0.1008</v>
      </c>
      <c r="K19" s="41"/>
      <c r="M19" s="68" t="s">
        <v>61</v>
      </c>
      <c r="N19">
        <f>(E5/N5)*1000</f>
        <v>43.846828412744813</v>
      </c>
      <c r="O19">
        <f>(I5/N8)*1000</f>
        <v>48.446374874707651</v>
      </c>
      <c r="P19">
        <f>((E5+I5)/N11)*1000</f>
        <v>45.993140006236359</v>
      </c>
    </row>
    <row r="20" spans="2:16" x14ac:dyDescent="0.35">
      <c r="B20" s="36" t="s">
        <v>16</v>
      </c>
      <c r="C20" s="71">
        <v>1863</v>
      </c>
      <c r="D20" s="21"/>
      <c r="E20" s="21">
        <v>100</v>
      </c>
      <c r="F20" s="18">
        <v>0.33939999999999998</v>
      </c>
      <c r="G20" s="73">
        <v>1825</v>
      </c>
      <c r="H20" s="22"/>
      <c r="I20" s="22">
        <v>98</v>
      </c>
      <c r="J20" s="18">
        <v>0.28620000000000001</v>
      </c>
      <c r="K20" s="41"/>
    </row>
    <row r="21" spans="2:16" ht="15" thickBot="1" x14ac:dyDescent="0.4">
      <c r="B21" s="37" t="s">
        <v>17</v>
      </c>
      <c r="C21" s="72">
        <v>1010</v>
      </c>
      <c r="D21" s="31"/>
      <c r="E21" s="31">
        <v>110</v>
      </c>
      <c r="F21" s="19">
        <v>1</v>
      </c>
      <c r="G21" s="76">
        <v>1025</v>
      </c>
      <c r="H21" s="27"/>
      <c r="I21" s="27">
        <v>95</v>
      </c>
      <c r="J21" s="19">
        <v>1</v>
      </c>
      <c r="K21" s="45"/>
    </row>
    <row r="22" spans="2:16" x14ac:dyDescent="0.35">
      <c r="B22" s="13"/>
      <c r="C22">
        <f>SUM(C5:C21)</f>
        <v>112482</v>
      </c>
      <c r="D22">
        <f t="shared" ref="D22:K22" si="0">SUM(D5:D21)</f>
        <v>3421</v>
      </c>
      <c r="E22">
        <f t="shared" si="0"/>
        <v>875</v>
      </c>
      <c r="F22">
        <f t="shared" si="0"/>
        <v>2.7385999999999999</v>
      </c>
      <c r="G22">
        <f t="shared" si="0"/>
        <v>116127</v>
      </c>
      <c r="H22">
        <f t="shared" si="0"/>
        <v>2993</v>
      </c>
      <c r="I22">
        <f t="shared" si="0"/>
        <v>859</v>
      </c>
      <c r="J22">
        <f t="shared" si="0"/>
        <v>1.5649</v>
      </c>
      <c r="K22">
        <f t="shared" si="0"/>
        <v>4.8420000000000005</v>
      </c>
    </row>
    <row r="23" spans="2:16" x14ac:dyDescent="0.35">
      <c r="B23" s="13"/>
    </row>
    <row r="24" spans="2:16" x14ac:dyDescent="0.35">
      <c r="B24" s="175" t="s">
        <v>0</v>
      </c>
      <c r="C24" s="179" t="s">
        <v>42</v>
      </c>
      <c r="D24" s="179"/>
      <c r="E24" s="180" t="s">
        <v>43</v>
      </c>
      <c r="F24" s="180"/>
      <c r="H24" s="177" t="s">
        <v>44</v>
      </c>
    </row>
    <row r="25" spans="2:16" ht="15" thickBot="1" x14ac:dyDescent="0.4">
      <c r="B25" s="176"/>
      <c r="C25" t="s">
        <v>62</v>
      </c>
      <c r="D25" t="s">
        <v>63</v>
      </c>
      <c r="E25" t="s">
        <v>62</v>
      </c>
      <c r="F25" t="s">
        <v>63</v>
      </c>
      <c r="G25" t="s">
        <v>64</v>
      </c>
      <c r="H25" s="178"/>
    </row>
    <row r="26" spans="2:16" ht="15" thickBot="1" x14ac:dyDescent="0.4">
      <c r="B26" s="52" t="s">
        <v>5</v>
      </c>
      <c r="C26" s="53">
        <v>12601</v>
      </c>
      <c r="D26" s="54">
        <v>484</v>
      </c>
      <c r="E26" s="15">
        <v>12252</v>
      </c>
      <c r="F26" s="26">
        <v>450</v>
      </c>
      <c r="G26" s="38">
        <f>F26/E26</f>
        <v>3.6728697355533788E-2</v>
      </c>
      <c r="H26" s="42">
        <v>0.77</v>
      </c>
      <c r="J26" s="164"/>
      <c r="K26" s="164"/>
      <c r="L26" s="164"/>
      <c r="M26" s="164"/>
      <c r="N26" s="164"/>
      <c r="O26" s="164"/>
    </row>
    <row r="27" spans="2:16" ht="15" thickBot="1" x14ac:dyDescent="0.4">
      <c r="B27" s="36" t="s">
        <v>6</v>
      </c>
      <c r="C27" s="33">
        <v>8481</v>
      </c>
      <c r="D27" s="21">
        <v>916</v>
      </c>
      <c r="E27" s="14">
        <v>10019</v>
      </c>
      <c r="F27" s="18">
        <v>950</v>
      </c>
      <c r="G27" s="38">
        <f t="shared" ref="G27:G32" si="1">F27/E27</f>
        <v>9.4819842299630697E-2</v>
      </c>
      <c r="H27" s="43">
        <v>0.748</v>
      </c>
      <c r="J27" s="164"/>
      <c r="K27" s="164"/>
      <c r="L27" s="164"/>
      <c r="M27" s="164"/>
      <c r="N27" s="164"/>
      <c r="O27" s="164"/>
    </row>
    <row r="28" spans="2:16" ht="15" thickBot="1" x14ac:dyDescent="0.4">
      <c r="B28" s="36" t="s">
        <v>7</v>
      </c>
      <c r="C28" s="33">
        <v>6783</v>
      </c>
      <c r="D28" s="21">
        <v>980</v>
      </c>
      <c r="E28" s="14">
        <v>8695</v>
      </c>
      <c r="F28" s="18">
        <v>698</v>
      </c>
      <c r="G28" s="38">
        <f t="shared" si="1"/>
        <v>8.0276020701552611E-2</v>
      </c>
      <c r="H28" s="43">
        <v>0.72299999999999998</v>
      </c>
      <c r="J28" s="164"/>
      <c r="K28" s="164"/>
      <c r="L28" s="164"/>
      <c r="M28" s="164"/>
      <c r="N28" s="164"/>
      <c r="O28" s="164"/>
    </row>
    <row r="29" spans="2:16" ht="15" thickBot="1" x14ac:dyDescent="0.4">
      <c r="B29" s="36" t="s">
        <v>8</v>
      </c>
      <c r="C29" s="33">
        <v>6597</v>
      </c>
      <c r="D29" s="21">
        <v>638</v>
      </c>
      <c r="E29" s="14">
        <v>8270</v>
      </c>
      <c r="F29" s="18">
        <v>564</v>
      </c>
      <c r="G29" s="38">
        <f t="shared" si="1"/>
        <v>6.8198307134220079E-2</v>
      </c>
      <c r="H29" s="43">
        <v>0.69799999999999995</v>
      </c>
      <c r="I29" t="s">
        <v>69</v>
      </c>
      <c r="J29" s="70" t="s">
        <v>65</v>
      </c>
      <c r="K29" s="69">
        <f>((F33+D33)/E33)*1000</f>
        <v>107.02307653801873</v>
      </c>
      <c r="M29" s="164"/>
      <c r="N29" s="164"/>
      <c r="O29" s="164"/>
    </row>
    <row r="30" spans="2:16" ht="15" thickBot="1" x14ac:dyDescent="0.4">
      <c r="B30" s="36" t="s">
        <v>9</v>
      </c>
      <c r="C30" s="33">
        <v>6442</v>
      </c>
      <c r="D30" s="21">
        <v>295</v>
      </c>
      <c r="E30" s="14">
        <v>8230</v>
      </c>
      <c r="F30" s="18">
        <v>226</v>
      </c>
      <c r="G30" s="38">
        <f t="shared" si="1"/>
        <v>2.7460510328068045E-2</v>
      </c>
      <c r="H30" s="43">
        <v>0.66300000000000003</v>
      </c>
      <c r="J30" s="70" t="s">
        <v>66</v>
      </c>
      <c r="K30" s="69">
        <f>5*G33</f>
        <v>1.615257302534451</v>
      </c>
      <c r="M30" s="164"/>
      <c r="N30" s="164"/>
      <c r="O30" s="164"/>
    </row>
    <row r="31" spans="2:16" ht="15" thickBot="1" x14ac:dyDescent="0.4">
      <c r="B31" s="36" t="s">
        <v>10</v>
      </c>
      <c r="C31" s="33">
        <v>7180</v>
      </c>
      <c r="D31" s="21">
        <v>92</v>
      </c>
      <c r="E31" s="14">
        <v>7240</v>
      </c>
      <c r="F31" s="18">
        <v>85</v>
      </c>
      <c r="G31" s="38">
        <f t="shared" si="1"/>
        <v>1.1740331491712707E-2</v>
      </c>
      <c r="H31" s="43">
        <v>0.63500000000000001</v>
      </c>
      <c r="J31" s="70" t="s">
        <v>67</v>
      </c>
      <c r="K31" s="69">
        <f>K30*(F33/(F33+D33))</f>
        <v>0.75373637456900711</v>
      </c>
      <c r="M31" s="164"/>
      <c r="N31" s="164"/>
      <c r="O31" s="164"/>
    </row>
    <row r="32" spans="2:16" ht="15" thickBot="1" x14ac:dyDescent="0.4">
      <c r="B32" s="37" t="s">
        <v>11</v>
      </c>
      <c r="C32" s="34">
        <v>5247</v>
      </c>
      <c r="D32" s="31">
        <v>16</v>
      </c>
      <c r="E32" s="16">
        <v>5225</v>
      </c>
      <c r="F32" s="19">
        <v>20</v>
      </c>
      <c r="G32" s="38">
        <f t="shared" si="1"/>
        <v>3.8277511961722489E-3</v>
      </c>
      <c r="H32" s="44">
        <v>0.60499999999999998</v>
      </c>
      <c r="J32" s="70" t="s">
        <v>70</v>
      </c>
      <c r="K32" s="69">
        <f>K31*(H33/7)</f>
        <v>0.5213702179518761</v>
      </c>
    </row>
    <row r="33" spans="3:14" x14ac:dyDescent="0.35">
      <c r="C33">
        <f>SUM(C26:C32)</f>
        <v>53331</v>
      </c>
      <c r="D33">
        <f t="shared" ref="D33:H33" si="2">SUM(D26:D32)</f>
        <v>3421</v>
      </c>
      <c r="E33">
        <f t="shared" si="2"/>
        <v>59931</v>
      </c>
      <c r="F33">
        <f t="shared" si="2"/>
        <v>2993</v>
      </c>
      <c r="G33">
        <f t="shared" si="2"/>
        <v>0.32305146050689021</v>
      </c>
      <c r="H33">
        <f t="shared" si="2"/>
        <v>4.8420000000000005</v>
      </c>
    </row>
    <row r="34" spans="3:14" x14ac:dyDescent="0.35">
      <c r="I34" t="s">
        <v>71</v>
      </c>
      <c r="J34" s="173" t="s">
        <v>72</v>
      </c>
      <c r="K34" s="173"/>
      <c r="L34">
        <f>SUM(C5:C8,C19:C21)/SUM(C9:C18)</f>
        <v>0.77360454115421007</v>
      </c>
    </row>
    <row r="35" spans="3:14" x14ac:dyDescent="0.35">
      <c r="J35" s="173" t="s">
        <v>73</v>
      </c>
      <c r="K35" s="173"/>
      <c r="L35">
        <f>SUM(G5:G8,G19:G21)/SUM(G9:G18)</f>
        <v>0.62563169314761669</v>
      </c>
    </row>
    <row r="39" spans="3:14" x14ac:dyDescent="0.35">
      <c r="J39" s="163" t="s">
        <v>179</v>
      </c>
      <c r="K39" s="163"/>
      <c r="L39" s="163"/>
      <c r="M39" s="163"/>
      <c r="N39" s="163"/>
    </row>
    <row r="40" spans="3:14" x14ac:dyDescent="0.35">
      <c r="F40" s="171" t="s">
        <v>181</v>
      </c>
      <c r="G40" s="171"/>
      <c r="H40" s="171"/>
      <c r="I40" s="171"/>
      <c r="J40" s="163"/>
      <c r="K40" s="163"/>
      <c r="L40" s="163"/>
      <c r="M40" s="163"/>
      <c r="N40" s="163"/>
    </row>
    <row r="41" spans="3:14" x14ac:dyDescent="0.35">
      <c r="F41" s="171"/>
      <c r="G41" s="171"/>
      <c r="H41" s="171"/>
      <c r="I41" s="171"/>
      <c r="J41" s="163"/>
      <c r="K41" s="163"/>
      <c r="L41" s="163"/>
      <c r="M41" s="163"/>
      <c r="N41" s="163"/>
    </row>
    <row r="42" spans="3:14" x14ac:dyDescent="0.35">
      <c r="F42" s="171"/>
      <c r="G42" s="171"/>
      <c r="H42" s="171"/>
      <c r="I42" s="171"/>
      <c r="J42" s="163"/>
      <c r="K42" s="163"/>
      <c r="L42" s="163"/>
      <c r="M42" s="163"/>
      <c r="N42" s="163"/>
    </row>
    <row r="43" spans="3:14" x14ac:dyDescent="0.35">
      <c r="F43" s="171"/>
      <c r="G43" s="171"/>
      <c r="H43" s="171"/>
      <c r="I43" s="171"/>
      <c r="J43" s="163"/>
      <c r="K43" s="163"/>
      <c r="L43" s="163"/>
      <c r="M43" s="163"/>
      <c r="N43" s="163"/>
    </row>
    <row r="44" spans="3:14" x14ac:dyDescent="0.35">
      <c r="F44" s="171"/>
      <c r="G44" s="171"/>
      <c r="H44" s="171"/>
      <c r="I44" s="171"/>
      <c r="J44" s="170" t="s">
        <v>180</v>
      </c>
      <c r="K44" s="170"/>
      <c r="L44" s="170"/>
      <c r="M44" s="170"/>
    </row>
    <row r="45" spans="3:14" x14ac:dyDescent="0.35">
      <c r="F45" s="171"/>
      <c r="G45" s="171"/>
      <c r="H45" s="171"/>
      <c r="I45" s="171"/>
      <c r="J45" s="170"/>
      <c r="K45" s="170"/>
      <c r="L45" s="170"/>
      <c r="M45" s="170"/>
    </row>
    <row r="46" spans="3:14" x14ac:dyDescent="0.35">
      <c r="J46" s="170"/>
      <c r="K46" s="170"/>
      <c r="L46" s="170"/>
      <c r="M46" s="170"/>
    </row>
    <row r="47" spans="3:14" x14ac:dyDescent="0.35">
      <c r="J47" s="170"/>
      <c r="K47" s="170"/>
      <c r="L47" s="170"/>
      <c r="M47" s="170"/>
    </row>
  </sheetData>
  <mergeCells count="19">
    <mergeCell ref="K3:K4"/>
    <mergeCell ref="B3:B4"/>
    <mergeCell ref="B2:K2"/>
    <mergeCell ref="J39:N43"/>
    <mergeCell ref="J44:M47"/>
    <mergeCell ref="F40:I45"/>
    <mergeCell ref="A1:E1"/>
    <mergeCell ref="M29:O31"/>
    <mergeCell ref="J34:K34"/>
    <mergeCell ref="J35:K35"/>
    <mergeCell ref="O13:O14"/>
    <mergeCell ref="B24:B25"/>
    <mergeCell ref="H24:H25"/>
    <mergeCell ref="C24:D24"/>
    <mergeCell ref="E24:F24"/>
    <mergeCell ref="J26:L28"/>
    <mergeCell ref="M26:O28"/>
    <mergeCell ref="G3:J3"/>
    <mergeCell ref="C3:F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30"/>
  <sheetViews>
    <sheetView topLeftCell="A13" workbookViewId="0">
      <selection activeCell="G31" sqref="G31"/>
    </sheetView>
  </sheetViews>
  <sheetFormatPr defaultRowHeight="14.5" x14ac:dyDescent="0.35"/>
  <cols>
    <col min="4" max="4" width="10" bestFit="1" customWidth="1"/>
    <col min="6" max="6" width="12.54296875" bestFit="1" customWidth="1"/>
    <col min="12" max="12" width="1.36328125" customWidth="1"/>
  </cols>
  <sheetData>
    <row r="1" spans="2:22" ht="31" x14ac:dyDescent="0.7">
      <c r="B1" s="196" t="s">
        <v>85</v>
      </c>
      <c r="C1" s="196"/>
      <c r="D1" s="196"/>
      <c r="E1" s="196"/>
      <c r="F1" s="196"/>
      <c r="G1" s="196"/>
      <c r="H1" s="196"/>
      <c r="I1" s="196"/>
      <c r="J1" s="196"/>
      <c r="K1" s="196"/>
      <c r="L1" s="196"/>
      <c r="M1" s="196"/>
      <c r="N1" s="196"/>
      <c r="O1" s="196"/>
      <c r="P1" s="196"/>
      <c r="Q1" s="196"/>
      <c r="R1" s="196"/>
      <c r="S1" s="196"/>
      <c r="T1" s="196"/>
      <c r="U1" s="196"/>
      <c r="V1" s="196"/>
    </row>
    <row r="2" spans="2:22" ht="24" thickBot="1" x14ac:dyDescent="0.6">
      <c r="B2" s="192" t="s">
        <v>42</v>
      </c>
      <c r="C2" s="193"/>
      <c r="D2" s="193"/>
      <c r="E2" s="193"/>
      <c r="F2" s="193"/>
      <c r="G2" s="193"/>
      <c r="H2" s="193"/>
      <c r="I2" s="193"/>
      <c r="J2" s="193"/>
      <c r="K2" s="193"/>
      <c r="L2" s="90"/>
      <c r="M2" s="194" t="s">
        <v>43</v>
      </c>
      <c r="N2" s="195"/>
      <c r="O2" s="195"/>
      <c r="P2" s="195"/>
      <c r="Q2" s="195"/>
      <c r="R2" s="195"/>
      <c r="S2" s="195"/>
      <c r="T2" s="195"/>
      <c r="U2" s="195"/>
      <c r="V2" s="195"/>
    </row>
    <row r="3" spans="2:22" ht="17.5" x14ac:dyDescent="0.45">
      <c r="B3" s="78" t="s">
        <v>74</v>
      </c>
      <c r="C3" s="79" t="s">
        <v>75</v>
      </c>
      <c r="D3" s="79" t="s">
        <v>77</v>
      </c>
      <c r="E3" s="79" t="s">
        <v>84</v>
      </c>
      <c r="F3" s="79" t="s">
        <v>83</v>
      </c>
      <c r="G3" s="79" t="s">
        <v>82</v>
      </c>
      <c r="H3" s="79" t="s">
        <v>79</v>
      </c>
      <c r="I3" s="79" t="s">
        <v>80</v>
      </c>
      <c r="J3" s="79" t="s">
        <v>81</v>
      </c>
      <c r="K3" s="80" t="s">
        <v>88</v>
      </c>
      <c r="L3" s="90"/>
      <c r="M3" s="78" t="s">
        <v>74</v>
      </c>
      <c r="N3" s="79" t="s">
        <v>75</v>
      </c>
      <c r="O3" s="79" t="s">
        <v>77</v>
      </c>
      <c r="P3" s="79" t="s">
        <v>78</v>
      </c>
      <c r="Q3" s="79" t="s">
        <v>83</v>
      </c>
      <c r="R3" s="79" t="s">
        <v>82</v>
      </c>
      <c r="S3" s="79" t="s">
        <v>79</v>
      </c>
      <c r="T3" s="79" t="s">
        <v>80</v>
      </c>
      <c r="U3" s="79" t="s">
        <v>81</v>
      </c>
      <c r="V3" s="80" t="s">
        <v>88</v>
      </c>
    </row>
    <row r="4" spans="2:22" ht="15.5" x14ac:dyDescent="0.35">
      <c r="B4" s="29" t="s">
        <v>45</v>
      </c>
      <c r="C4" s="21">
        <v>3848</v>
      </c>
      <c r="D4" s="21">
        <v>150</v>
      </c>
      <c r="E4" s="21">
        <v>2.1399999999999999E-2</v>
      </c>
      <c r="F4" s="77">
        <f>D4/C4</f>
        <v>3.8981288981288983E-2</v>
      </c>
      <c r="G4" s="77">
        <f>1-E4</f>
        <v>0.97860000000000003</v>
      </c>
      <c r="H4" s="92">
        <v>100000</v>
      </c>
      <c r="I4" s="94">
        <f>0.3*H4+0.7*H5</f>
        <v>98502</v>
      </c>
      <c r="J4" s="77">
        <f>I4+J5</f>
        <v>5848438.9446993712</v>
      </c>
      <c r="K4" s="81">
        <f>J4/H4</f>
        <v>58.48438944699371</v>
      </c>
      <c r="L4" s="90"/>
      <c r="M4" s="29" t="s">
        <v>45</v>
      </c>
      <c r="N4" s="21">
        <v>2774</v>
      </c>
      <c r="O4" s="21">
        <v>145</v>
      </c>
      <c r="P4" s="89">
        <v>1.52E-2</v>
      </c>
      <c r="Q4" s="77">
        <f>O4/N4</f>
        <v>5.2271088680605621E-2</v>
      </c>
      <c r="R4" s="77">
        <f>1-P4</f>
        <v>0.98480000000000001</v>
      </c>
      <c r="S4" s="92">
        <v>100000</v>
      </c>
      <c r="T4" s="93">
        <f>0.3*S4+0.7*S5</f>
        <v>98936</v>
      </c>
      <c r="U4" s="77">
        <f>T4+U5</f>
        <v>7600928.9428778505</v>
      </c>
      <c r="V4" s="81">
        <f>U4/S4</f>
        <v>76.009289428778501</v>
      </c>
    </row>
    <row r="5" spans="2:22" x14ac:dyDescent="0.35">
      <c r="B5" s="29" t="s">
        <v>76</v>
      </c>
      <c r="C5" s="21">
        <v>12029</v>
      </c>
      <c r="D5" s="21">
        <v>50</v>
      </c>
      <c r="E5" s="21">
        <v>3.3999999999999998E-3</v>
      </c>
      <c r="F5" s="77">
        <f>D5/C5</f>
        <v>4.1566214980463881E-3</v>
      </c>
      <c r="G5" s="77">
        <f t="shared" ref="G5:G20" si="0">1-E5</f>
        <v>0.99660000000000004</v>
      </c>
      <c r="H5" s="77">
        <f>H4*G4</f>
        <v>97860</v>
      </c>
      <c r="I5" s="77">
        <f>5/2*(H5+H6)</f>
        <v>488468.19000000006</v>
      </c>
      <c r="J5" s="77">
        <f t="shared" ref="J5:J18" si="1">I5+J6</f>
        <v>5749936.9446993712</v>
      </c>
      <c r="K5" s="81">
        <f t="shared" ref="K5:K18" si="2">J5/H5</f>
        <v>58.756764200892817</v>
      </c>
      <c r="L5" s="90"/>
      <c r="M5" s="29" t="s">
        <v>76</v>
      </c>
      <c r="N5" s="21">
        <v>10488</v>
      </c>
      <c r="O5" s="21">
        <v>45</v>
      </c>
      <c r="P5" s="21">
        <v>2.3999999999999998E-3</v>
      </c>
      <c r="Q5" s="77">
        <f t="shared" ref="Q5:Q20" si="3">O5/N5</f>
        <v>4.2906178489702518E-3</v>
      </c>
      <c r="R5" s="77">
        <f t="shared" ref="R5:R20" si="4">1-P5</f>
        <v>0.99760000000000004</v>
      </c>
      <c r="S5" s="77">
        <f>S4*R4</f>
        <v>98480</v>
      </c>
      <c r="T5" s="77">
        <f>5/2*(S5+S6)</f>
        <v>491809.12</v>
      </c>
      <c r="U5" s="77">
        <f t="shared" ref="U5:U19" si="5">T5+U6</f>
        <v>7501992.9428778505</v>
      </c>
      <c r="V5" s="81">
        <f t="shared" ref="V5:V20" si="6">U5/S5</f>
        <v>76.177832482512699</v>
      </c>
    </row>
    <row r="6" spans="2:22" x14ac:dyDescent="0.35">
      <c r="B6" s="29" t="s">
        <v>3</v>
      </c>
      <c r="C6" s="21">
        <v>13641</v>
      </c>
      <c r="D6" s="21">
        <v>21</v>
      </c>
      <c r="E6" s="21">
        <v>2.2000000000000001E-3</v>
      </c>
      <c r="F6" s="77">
        <f t="shared" ref="F6:F20" si="7">D6/C6</f>
        <v>1.5394765779634925E-3</v>
      </c>
      <c r="G6" s="77">
        <f t="shared" si="0"/>
        <v>0.99780000000000002</v>
      </c>
      <c r="H6" s="77">
        <f>H5*G5</f>
        <v>97527.275999999998</v>
      </c>
      <c r="I6" s="77">
        <f t="shared" ref="I6:I18" si="8">5/2*(H6+H7)</f>
        <v>487099.97998200002</v>
      </c>
      <c r="J6" s="77">
        <f t="shared" si="1"/>
        <v>5261468.7546993708</v>
      </c>
      <c r="K6" s="81">
        <f t="shared" si="2"/>
        <v>53.948689746029316</v>
      </c>
      <c r="L6" s="90"/>
      <c r="M6" s="29" t="s">
        <v>3</v>
      </c>
      <c r="N6" s="21">
        <v>12433</v>
      </c>
      <c r="O6" s="21">
        <v>20</v>
      </c>
      <c r="P6" s="21">
        <v>1.2999999999999999E-3</v>
      </c>
      <c r="Q6" s="77">
        <f t="shared" si="3"/>
        <v>1.6086222150727902E-3</v>
      </c>
      <c r="R6" s="77">
        <f t="shared" si="4"/>
        <v>0.99870000000000003</v>
      </c>
      <c r="S6" s="77">
        <f t="shared" ref="S6:S19" si="9">S5*R5</f>
        <v>98243.648000000001</v>
      </c>
      <c r="T6" s="77">
        <f t="shared" ref="T6:T19" si="10">5/2*(S6+S7)</f>
        <v>490898.94814400002</v>
      </c>
      <c r="U6" s="77">
        <f t="shared" si="5"/>
        <v>7010183.8228778504</v>
      </c>
      <c r="V6" s="81">
        <f t="shared" si="6"/>
        <v>71.355084685758513</v>
      </c>
    </row>
    <row r="7" spans="2:22" x14ac:dyDescent="0.35">
      <c r="B7" s="29" t="s">
        <v>4</v>
      </c>
      <c r="C7" s="21">
        <v>14142</v>
      </c>
      <c r="D7" s="21">
        <v>23</v>
      </c>
      <c r="E7" s="21">
        <v>1.9E-3</v>
      </c>
      <c r="F7" s="77">
        <f t="shared" si="7"/>
        <v>1.6263611936076935E-3</v>
      </c>
      <c r="G7" s="77">
        <f t="shared" si="0"/>
        <v>0.99809999999999999</v>
      </c>
      <c r="H7" s="77">
        <f t="shared" ref="H7:H20" si="11">H6*G6</f>
        <v>97312.715992800004</v>
      </c>
      <c r="I7" s="77">
        <f t="shared" si="8"/>
        <v>486101.34456303425</v>
      </c>
      <c r="J7" s="77">
        <f t="shared" si="1"/>
        <v>4774368.774717371</v>
      </c>
      <c r="K7" s="81">
        <f t="shared" si="2"/>
        <v>49.062126424162471</v>
      </c>
      <c r="L7" s="90"/>
      <c r="M7" s="29" t="s">
        <v>4</v>
      </c>
      <c r="N7" s="21">
        <v>13272</v>
      </c>
      <c r="O7" s="21">
        <v>22</v>
      </c>
      <c r="P7" s="21">
        <v>1.1000000000000001E-3</v>
      </c>
      <c r="Q7" s="77">
        <f t="shared" si="3"/>
        <v>1.6576250753465944E-3</v>
      </c>
      <c r="R7" s="77">
        <f t="shared" si="4"/>
        <v>0.99890000000000001</v>
      </c>
      <c r="S7" s="77">
        <f t="shared" si="9"/>
        <v>98115.931257600008</v>
      </c>
      <c r="T7" s="77">
        <f t="shared" si="10"/>
        <v>490309.83747704164</v>
      </c>
      <c r="U7" s="77">
        <f t="shared" si="5"/>
        <v>6519284.8747338504</v>
      </c>
      <c r="V7" s="81">
        <f t="shared" si="6"/>
        <v>66.44471281241465</v>
      </c>
    </row>
    <row r="8" spans="2:22" x14ac:dyDescent="0.35">
      <c r="B8" s="29" t="s">
        <v>5</v>
      </c>
      <c r="C8" s="21">
        <v>12601</v>
      </c>
      <c r="D8" s="21">
        <v>26</v>
      </c>
      <c r="E8" s="21">
        <v>3.7000000000000002E-3</v>
      </c>
      <c r="F8" s="77">
        <f t="shared" si="7"/>
        <v>2.0633283072772003E-3</v>
      </c>
      <c r="G8" s="77">
        <f t="shared" si="0"/>
        <v>0.99629999999999996</v>
      </c>
      <c r="H8" s="77">
        <f t="shared" si="11"/>
        <v>97127.821832413683</v>
      </c>
      <c r="I8" s="77">
        <f t="shared" si="8"/>
        <v>484740.6768101186</v>
      </c>
      <c r="J8" s="77">
        <f t="shared" si="1"/>
        <v>4288267.4301543366</v>
      </c>
      <c r="K8" s="81">
        <f t="shared" si="2"/>
        <v>44.150762873622355</v>
      </c>
      <c r="L8" s="90"/>
      <c r="M8" s="29" t="s">
        <v>5</v>
      </c>
      <c r="N8" s="21">
        <v>12252</v>
      </c>
      <c r="O8" s="21">
        <v>25</v>
      </c>
      <c r="P8" s="21">
        <v>1.8E-3</v>
      </c>
      <c r="Q8" s="77">
        <f t="shared" si="3"/>
        <v>2.0404831864185438E-3</v>
      </c>
      <c r="R8" s="77">
        <f t="shared" si="4"/>
        <v>0.99819999999999998</v>
      </c>
      <c r="S8" s="77">
        <f t="shared" si="9"/>
        <v>98008.003733216654</v>
      </c>
      <c r="T8" s="77">
        <f t="shared" si="10"/>
        <v>489598.98264928377</v>
      </c>
      <c r="U8" s="77">
        <f t="shared" si="5"/>
        <v>6028975.037256809</v>
      </c>
      <c r="V8" s="81">
        <f t="shared" si="6"/>
        <v>61.515129454814947</v>
      </c>
    </row>
    <row r="9" spans="2:22" x14ac:dyDescent="0.35">
      <c r="B9" s="29" t="s">
        <v>6</v>
      </c>
      <c r="C9" s="21">
        <v>8481</v>
      </c>
      <c r="D9" s="21">
        <v>21</v>
      </c>
      <c r="E9" s="21">
        <v>5.1000000000000004E-3</v>
      </c>
      <c r="F9" s="77">
        <f t="shared" si="7"/>
        <v>2.4761230986911922E-3</v>
      </c>
      <c r="G9" s="77">
        <f t="shared" si="0"/>
        <v>0.99490000000000001</v>
      </c>
      <c r="H9" s="77">
        <f t="shared" si="11"/>
        <v>96768.448891633743</v>
      </c>
      <c r="I9" s="77">
        <f t="shared" si="8"/>
        <v>482608.44673480035</v>
      </c>
      <c r="J9" s="77">
        <f t="shared" si="1"/>
        <v>3803526.7533442178</v>
      </c>
      <c r="K9" s="81">
        <f t="shared" si="2"/>
        <v>39.305443012769601</v>
      </c>
      <c r="L9" s="90"/>
      <c r="M9" s="29" t="s">
        <v>6</v>
      </c>
      <c r="N9" s="21">
        <v>10019</v>
      </c>
      <c r="O9" s="21">
        <v>22</v>
      </c>
      <c r="P9" s="21">
        <v>2.5000000000000001E-3</v>
      </c>
      <c r="Q9" s="77">
        <f t="shared" si="3"/>
        <v>2.1958279269388161E-3</v>
      </c>
      <c r="R9" s="77">
        <f t="shared" si="4"/>
        <v>0.99750000000000005</v>
      </c>
      <c r="S9" s="77">
        <f t="shared" si="9"/>
        <v>97831.589326496862</v>
      </c>
      <c r="T9" s="77">
        <f t="shared" si="10"/>
        <v>488546.49919919373</v>
      </c>
      <c r="U9" s="77">
        <f t="shared" si="5"/>
        <v>5539376.0546075255</v>
      </c>
      <c r="V9" s="81">
        <f t="shared" si="6"/>
        <v>56.621548241649919</v>
      </c>
    </row>
    <row r="10" spans="2:22" x14ac:dyDescent="0.35">
      <c r="B10" s="29" t="s">
        <v>7</v>
      </c>
      <c r="C10" s="21">
        <v>6783</v>
      </c>
      <c r="D10" s="21">
        <v>18</v>
      </c>
      <c r="E10" s="21">
        <v>5.1999999999999998E-3</v>
      </c>
      <c r="F10" s="77">
        <f t="shared" si="7"/>
        <v>2.6536930561698365E-3</v>
      </c>
      <c r="G10" s="77">
        <f t="shared" si="0"/>
        <v>0.99480000000000002</v>
      </c>
      <c r="H10" s="77">
        <f t="shared" si="11"/>
        <v>96274.92980228641</v>
      </c>
      <c r="I10" s="77">
        <f t="shared" si="8"/>
        <v>480123.07492400229</v>
      </c>
      <c r="J10" s="77">
        <f t="shared" si="1"/>
        <v>3320918.3066094173</v>
      </c>
      <c r="K10" s="81">
        <f t="shared" si="2"/>
        <v>34.494112989013573</v>
      </c>
      <c r="L10" s="90"/>
      <c r="M10" s="29" t="s">
        <v>7</v>
      </c>
      <c r="N10" s="21">
        <v>8695</v>
      </c>
      <c r="O10" s="21">
        <v>20</v>
      </c>
      <c r="P10" s="21">
        <v>3.2000000000000002E-3</v>
      </c>
      <c r="Q10" s="77">
        <f t="shared" si="3"/>
        <v>2.3001725129384704E-3</v>
      </c>
      <c r="R10" s="77">
        <f t="shared" si="4"/>
        <v>0.99680000000000002</v>
      </c>
      <c r="S10" s="77">
        <f t="shared" si="9"/>
        <v>97587.010353180623</v>
      </c>
      <c r="T10" s="77">
        <f t="shared" si="10"/>
        <v>487154.35568307765</v>
      </c>
      <c r="U10" s="77">
        <f t="shared" si="5"/>
        <v>5050829.5554083316</v>
      </c>
      <c r="V10" s="81">
        <f t="shared" si="6"/>
        <v>51.757191219699166</v>
      </c>
    </row>
    <row r="11" spans="2:22" x14ac:dyDescent="0.35">
      <c r="B11" s="29" t="s">
        <v>8</v>
      </c>
      <c r="C11" s="21">
        <v>6597</v>
      </c>
      <c r="D11" s="21">
        <v>17</v>
      </c>
      <c r="E11" s="22">
        <v>5.7000000000000002E-3</v>
      </c>
      <c r="F11" s="77">
        <f t="shared" si="7"/>
        <v>2.5769289070789753E-3</v>
      </c>
      <c r="G11" s="77">
        <f t="shared" si="0"/>
        <v>0.99429999999999996</v>
      </c>
      <c r="H11" s="77">
        <f t="shared" si="11"/>
        <v>95774.300167314519</v>
      </c>
      <c r="I11" s="77">
        <f t="shared" si="8"/>
        <v>477506.71705918841</v>
      </c>
      <c r="J11" s="77">
        <f t="shared" si="1"/>
        <v>2840795.2316854149</v>
      </c>
      <c r="K11" s="81">
        <f t="shared" si="2"/>
        <v>29.661352019515046</v>
      </c>
      <c r="L11" s="90"/>
      <c r="M11" s="29" t="s">
        <v>8</v>
      </c>
      <c r="N11" s="21">
        <v>8270</v>
      </c>
      <c r="O11" s="21">
        <v>24</v>
      </c>
      <c r="P11" s="21">
        <v>4.1000000000000003E-3</v>
      </c>
      <c r="Q11" s="77">
        <f t="shared" si="3"/>
        <v>2.9020556227327692E-3</v>
      </c>
      <c r="R11" s="77">
        <f t="shared" si="4"/>
        <v>0.99590000000000001</v>
      </c>
      <c r="S11" s="77">
        <f t="shared" si="9"/>
        <v>97274.731920050443</v>
      </c>
      <c r="T11" s="77">
        <f t="shared" si="10"/>
        <v>485376.59359807172</v>
      </c>
      <c r="U11" s="77">
        <f t="shared" si="5"/>
        <v>4563675.1997252535</v>
      </c>
      <c r="V11" s="81">
        <f t="shared" si="6"/>
        <v>46.915320244481499</v>
      </c>
    </row>
    <row r="12" spans="2:22" x14ac:dyDescent="0.35">
      <c r="B12" s="29" t="s">
        <v>9</v>
      </c>
      <c r="C12" s="21">
        <v>6442</v>
      </c>
      <c r="D12" s="21">
        <v>25</v>
      </c>
      <c r="E12" s="22">
        <v>7.4999999999999997E-3</v>
      </c>
      <c r="F12" s="77">
        <f t="shared" si="7"/>
        <v>3.8807823657249301E-3</v>
      </c>
      <c r="G12" s="77">
        <f t="shared" si="0"/>
        <v>0.99250000000000005</v>
      </c>
      <c r="H12" s="77">
        <f t="shared" si="11"/>
        <v>95228.386656360817</v>
      </c>
      <c r="I12" s="77">
        <f t="shared" si="8"/>
        <v>474356.4010319974</v>
      </c>
      <c r="J12" s="77">
        <f t="shared" si="1"/>
        <v>2363288.5146262264</v>
      </c>
      <c r="K12" s="81">
        <f t="shared" si="2"/>
        <v>24.817059257281553</v>
      </c>
      <c r="L12" s="90"/>
      <c r="M12" s="29" t="s">
        <v>9</v>
      </c>
      <c r="N12" s="21">
        <v>8230</v>
      </c>
      <c r="O12" s="21">
        <v>25</v>
      </c>
      <c r="P12" s="21">
        <v>5.7999999999999996E-3</v>
      </c>
      <c r="Q12" s="77">
        <f t="shared" si="3"/>
        <v>3.0376670716889429E-3</v>
      </c>
      <c r="R12" s="77">
        <f t="shared" si="4"/>
        <v>0.99419999999999997</v>
      </c>
      <c r="S12" s="77">
        <f t="shared" si="9"/>
        <v>96875.905519178239</v>
      </c>
      <c r="T12" s="77">
        <f t="shared" si="10"/>
        <v>482974.82696586312</v>
      </c>
      <c r="U12" s="77">
        <f t="shared" si="5"/>
        <v>4078298.606127182</v>
      </c>
      <c r="V12" s="81">
        <f t="shared" si="6"/>
        <v>42.098172752767852</v>
      </c>
    </row>
    <row r="13" spans="2:22" x14ac:dyDescent="0.35">
      <c r="B13" s="29" t="s">
        <v>10</v>
      </c>
      <c r="C13" s="21">
        <v>7180</v>
      </c>
      <c r="D13" s="21">
        <v>28</v>
      </c>
      <c r="E13" s="22">
        <v>1.1599999999999999E-2</v>
      </c>
      <c r="F13" s="77">
        <f t="shared" si="7"/>
        <v>3.8997214484679664E-3</v>
      </c>
      <c r="G13" s="77">
        <f t="shared" si="0"/>
        <v>0.98839999999999995</v>
      </c>
      <c r="H13" s="77">
        <f t="shared" si="11"/>
        <v>94514.173756438118</v>
      </c>
      <c r="I13" s="77">
        <f t="shared" si="8"/>
        <v>469829.95774325391</v>
      </c>
      <c r="J13" s="77">
        <f t="shared" si="1"/>
        <v>1888932.1135942289</v>
      </c>
      <c r="K13" s="81">
        <f t="shared" si="2"/>
        <v>19.985702022449924</v>
      </c>
      <c r="L13" s="90"/>
      <c r="M13" s="29" t="s">
        <v>10</v>
      </c>
      <c r="N13" s="21">
        <v>7240</v>
      </c>
      <c r="O13" s="21">
        <v>30</v>
      </c>
      <c r="P13" s="21">
        <v>8.8999999999999999E-3</v>
      </c>
      <c r="Q13" s="77">
        <f t="shared" si="3"/>
        <v>4.1436464088397788E-3</v>
      </c>
      <c r="R13" s="77">
        <f t="shared" si="4"/>
        <v>0.99109999999999998</v>
      </c>
      <c r="S13" s="77">
        <f t="shared" si="9"/>
        <v>96314.025267167002</v>
      </c>
      <c r="T13" s="77">
        <f t="shared" si="10"/>
        <v>479427.13927364047</v>
      </c>
      <c r="U13" s="77">
        <f t="shared" si="5"/>
        <v>3595323.7791613191</v>
      </c>
      <c r="V13" s="81">
        <f t="shared" si="6"/>
        <v>37.329182008416673</v>
      </c>
    </row>
    <row r="14" spans="2:22" x14ac:dyDescent="0.35">
      <c r="B14" s="29" t="s">
        <v>11</v>
      </c>
      <c r="C14" s="21">
        <v>5247</v>
      </c>
      <c r="D14" s="21">
        <v>30</v>
      </c>
      <c r="E14" s="22">
        <v>0.19900000000000001</v>
      </c>
      <c r="F14" s="77">
        <f t="shared" si="7"/>
        <v>5.717552887364208E-3</v>
      </c>
      <c r="G14" s="77">
        <f t="shared" si="0"/>
        <v>0.80099999999999993</v>
      </c>
      <c r="H14" s="77">
        <f t="shared" si="11"/>
        <v>93417.80934086343</v>
      </c>
      <c r="I14" s="77">
        <f t="shared" si="8"/>
        <v>420613.68655723758</v>
      </c>
      <c r="J14" s="77">
        <f t="shared" si="1"/>
        <v>1419102.1558509748</v>
      </c>
      <c r="K14" s="81">
        <f t="shared" si="2"/>
        <v>15.190916655655528</v>
      </c>
      <c r="L14" s="90"/>
      <c r="M14" s="29" t="s">
        <v>11</v>
      </c>
      <c r="N14" s="21">
        <v>5225</v>
      </c>
      <c r="O14" s="21">
        <v>25</v>
      </c>
      <c r="P14" s="21">
        <v>1.46E-2</v>
      </c>
      <c r="Q14" s="77">
        <f t="shared" si="3"/>
        <v>4.7846889952153108E-3</v>
      </c>
      <c r="R14" s="77">
        <f t="shared" si="4"/>
        <v>0.98540000000000005</v>
      </c>
      <c r="S14" s="77">
        <f t="shared" si="9"/>
        <v>95456.830442289211</v>
      </c>
      <c r="T14" s="77">
        <f t="shared" si="10"/>
        <v>473799.9779003025</v>
      </c>
      <c r="U14" s="77">
        <f t="shared" si="5"/>
        <v>3115896.6398876784</v>
      </c>
      <c r="V14" s="81">
        <f t="shared" si="6"/>
        <v>32.641945321780518</v>
      </c>
    </row>
    <row r="15" spans="2:22" x14ac:dyDescent="0.35">
      <c r="B15" s="29" t="s">
        <v>12</v>
      </c>
      <c r="C15" s="21">
        <v>3855</v>
      </c>
      <c r="D15" s="21">
        <v>26</v>
      </c>
      <c r="E15" s="22">
        <v>3.3399999999999999E-2</v>
      </c>
      <c r="F15" s="77">
        <f t="shared" si="7"/>
        <v>6.7444876783398187E-3</v>
      </c>
      <c r="G15" s="77">
        <f t="shared" si="0"/>
        <v>0.96660000000000001</v>
      </c>
      <c r="H15" s="77">
        <f t="shared" si="11"/>
        <v>74827.665282031609</v>
      </c>
      <c r="I15" s="77">
        <f t="shared" si="8"/>
        <v>367890.21635910845</v>
      </c>
      <c r="J15" s="77">
        <f t="shared" si="1"/>
        <v>998488.46929373732</v>
      </c>
      <c r="K15" s="81">
        <f t="shared" si="2"/>
        <v>13.343841018296541</v>
      </c>
      <c r="L15" s="90"/>
      <c r="M15" s="29" t="s">
        <v>12</v>
      </c>
      <c r="N15" s="21">
        <v>4006</v>
      </c>
      <c r="O15" s="21">
        <v>28</v>
      </c>
      <c r="P15" s="21">
        <v>2.2800000000000001E-2</v>
      </c>
      <c r="Q15" s="77">
        <f t="shared" si="3"/>
        <v>6.9895157264103841E-3</v>
      </c>
      <c r="R15" s="77">
        <f t="shared" si="4"/>
        <v>0.97719999999999996</v>
      </c>
      <c r="S15" s="77">
        <f t="shared" si="9"/>
        <v>94063.160717831794</v>
      </c>
      <c r="T15" s="77">
        <f t="shared" si="10"/>
        <v>464954.20342824253</v>
      </c>
      <c r="U15" s="77">
        <f t="shared" si="5"/>
        <v>2642096.6619873759</v>
      </c>
      <c r="V15" s="81">
        <f t="shared" si="6"/>
        <v>28.088537976233525</v>
      </c>
    </row>
    <row r="16" spans="2:22" x14ac:dyDescent="0.35">
      <c r="B16" s="29" t="s">
        <v>13</v>
      </c>
      <c r="C16" s="21">
        <v>3278</v>
      </c>
      <c r="D16" s="21">
        <v>50</v>
      </c>
      <c r="E16" s="22">
        <v>5.6399999999999999E-2</v>
      </c>
      <c r="F16" s="77">
        <f t="shared" si="7"/>
        <v>1.525320317266626E-2</v>
      </c>
      <c r="G16" s="77">
        <f t="shared" si="0"/>
        <v>0.94359999999999999</v>
      </c>
      <c r="H16" s="77">
        <f t="shared" si="11"/>
        <v>72328.421261611758</v>
      </c>
      <c r="I16" s="77">
        <f t="shared" si="8"/>
        <v>351443.79891017155</v>
      </c>
      <c r="J16" s="77">
        <f t="shared" si="1"/>
        <v>630598.25293462886</v>
      </c>
      <c r="K16" s="81">
        <f t="shared" si="2"/>
        <v>8.7185402630835291</v>
      </c>
      <c r="L16" s="90"/>
      <c r="M16" s="29" t="s">
        <v>13</v>
      </c>
      <c r="N16" s="21">
        <v>3828</v>
      </c>
      <c r="O16" s="21">
        <v>51</v>
      </c>
      <c r="P16" s="21">
        <v>3.5999999999999997E-2</v>
      </c>
      <c r="Q16" s="77">
        <f t="shared" si="3"/>
        <v>1.3322884012539185E-2</v>
      </c>
      <c r="R16" s="77">
        <f t="shared" si="4"/>
        <v>0.96399999999999997</v>
      </c>
      <c r="S16" s="77">
        <f t="shared" si="9"/>
        <v>91918.520653465224</v>
      </c>
      <c r="T16" s="77">
        <f t="shared" si="10"/>
        <v>451319.93640851427</v>
      </c>
      <c r="U16" s="77">
        <f t="shared" si="5"/>
        <v>2177142.4585591336</v>
      </c>
      <c r="V16" s="81">
        <f t="shared" si="6"/>
        <v>23.685568948253714</v>
      </c>
    </row>
    <row r="17" spans="2:22" x14ac:dyDescent="0.35">
      <c r="B17" s="29" t="s">
        <v>14</v>
      </c>
      <c r="C17" s="21">
        <v>2956</v>
      </c>
      <c r="D17" s="21">
        <v>60</v>
      </c>
      <c r="E17" s="22">
        <v>0.9</v>
      </c>
      <c r="F17" s="77">
        <f t="shared" si="7"/>
        <v>2.0297699594046009E-2</v>
      </c>
      <c r="G17" s="77">
        <f t="shared" si="0"/>
        <v>9.9999999999999978E-2</v>
      </c>
      <c r="H17" s="77">
        <f t="shared" si="11"/>
        <v>68249.098302456856</v>
      </c>
      <c r="I17" s="77">
        <f>5/2*(H17+H18)</f>
        <v>187685.02033175636</v>
      </c>
      <c r="J17" s="77">
        <f t="shared" si="1"/>
        <v>279154.45402445726</v>
      </c>
      <c r="K17" s="81">
        <f t="shared" si="2"/>
        <v>4.0902291893636367</v>
      </c>
      <c r="L17" s="90"/>
      <c r="M17" s="29" t="s">
        <v>14</v>
      </c>
      <c r="N17" s="21">
        <v>3670</v>
      </c>
      <c r="O17" s="21">
        <v>62</v>
      </c>
      <c r="P17" s="21">
        <v>5.8200000000000002E-2</v>
      </c>
      <c r="Q17" s="77">
        <f t="shared" si="3"/>
        <v>1.6893732970027248E-2</v>
      </c>
      <c r="R17" s="77">
        <f t="shared" si="4"/>
        <v>0.94179999999999997</v>
      </c>
      <c r="S17" s="77">
        <f t="shared" si="9"/>
        <v>88609.453909940479</v>
      </c>
      <c r="T17" s="77">
        <f t="shared" si="10"/>
        <v>430154.59400580608</v>
      </c>
      <c r="U17" s="77">
        <f t="shared" si="5"/>
        <v>1725822.5221506192</v>
      </c>
      <c r="V17" s="81">
        <f t="shared" si="6"/>
        <v>19.476731274122109</v>
      </c>
    </row>
    <row r="18" spans="2:22" x14ac:dyDescent="0.35">
      <c r="B18" s="29" t="s">
        <v>15</v>
      </c>
      <c r="C18" s="21">
        <v>2529</v>
      </c>
      <c r="D18" s="21">
        <v>120</v>
      </c>
      <c r="E18" s="22">
        <v>0.14269999999999999</v>
      </c>
      <c r="F18" s="77">
        <f t="shared" si="7"/>
        <v>4.7449584816132859E-2</v>
      </c>
      <c r="G18" s="77">
        <f t="shared" si="0"/>
        <v>0.85729999999999995</v>
      </c>
      <c r="H18" s="77">
        <f t="shared" si="11"/>
        <v>6824.9098302456841</v>
      </c>
      <c r="I18" s="77">
        <f t="shared" si="8"/>
        <v>31689.762569288272</v>
      </c>
      <c r="J18" s="77">
        <f t="shared" si="1"/>
        <v>91469.43369270087</v>
      </c>
      <c r="K18" s="81">
        <f t="shared" si="2"/>
        <v>13.402291893636365</v>
      </c>
      <c r="L18" s="90"/>
      <c r="M18" s="29" t="s">
        <v>15</v>
      </c>
      <c r="N18" s="21">
        <v>2875</v>
      </c>
      <c r="O18" s="21">
        <v>122</v>
      </c>
      <c r="P18" s="21">
        <v>0.1008</v>
      </c>
      <c r="Q18" s="77">
        <f t="shared" si="3"/>
        <v>4.2434782608695654E-2</v>
      </c>
      <c r="R18" s="77">
        <f t="shared" si="4"/>
        <v>0.8992</v>
      </c>
      <c r="S18" s="77">
        <f t="shared" si="9"/>
        <v>83452.383692381947</v>
      </c>
      <c r="T18" s="77">
        <f t="shared" si="10"/>
        <v>396231.91777142941</v>
      </c>
      <c r="U18" s="77">
        <f t="shared" si="5"/>
        <v>1295667.928144813</v>
      </c>
      <c r="V18" s="81">
        <f t="shared" si="6"/>
        <v>15.525834863157895</v>
      </c>
    </row>
    <row r="19" spans="2:22" x14ac:dyDescent="0.35">
      <c r="B19" s="29" t="s">
        <v>16</v>
      </c>
      <c r="C19" s="21">
        <v>1863</v>
      </c>
      <c r="D19" s="21">
        <v>100</v>
      </c>
      <c r="E19" s="22">
        <v>0.33939999999999998</v>
      </c>
      <c r="F19" s="77">
        <f t="shared" si="7"/>
        <v>5.3676865271068172E-2</v>
      </c>
      <c r="G19" s="77">
        <f t="shared" si="0"/>
        <v>0.66060000000000008</v>
      </c>
      <c r="H19" s="77">
        <f>H18*G18</f>
        <v>5850.9951974696251</v>
      </c>
      <c r="I19" s="77">
        <f>5/2*(H19+H20)</f>
        <v>24290.406562295146</v>
      </c>
      <c r="J19" s="77">
        <f>I19+J20</f>
        <v>59779.671123412591</v>
      </c>
      <c r="K19" s="81">
        <f>J19/H19</f>
        <v>10.217009090909091</v>
      </c>
      <c r="L19" s="90"/>
      <c r="M19" s="29" t="s">
        <v>16</v>
      </c>
      <c r="N19" s="21">
        <v>1825</v>
      </c>
      <c r="O19" s="21">
        <v>98</v>
      </c>
      <c r="P19" s="21">
        <v>0.28620000000000001</v>
      </c>
      <c r="Q19" s="77">
        <f t="shared" si="3"/>
        <v>5.3698630136986301E-2</v>
      </c>
      <c r="R19" s="77">
        <f t="shared" si="4"/>
        <v>0.71379999999999999</v>
      </c>
      <c r="S19" s="77">
        <f t="shared" si="9"/>
        <v>75040.383416189841</v>
      </c>
      <c r="T19" s="77">
        <f t="shared" si="10"/>
        <v>321510.5227466654</v>
      </c>
      <c r="U19" s="77">
        <f t="shared" si="5"/>
        <v>899436.01037338353</v>
      </c>
      <c r="V19" s="81">
        <f t="shared" si="6"/>
        <v>11.986026315789475</v>
      </c>
    </row>
    <row r="20" spans="2:22" ht="15" thickBot="1" x14ac:dyDescent="0.4">
      <c r="B20" s="82" t="s">
        <v>17</v>
      </c>
      <c r="C20" s="31">
        <v>1010</v>
      </c>
      <c r="D20" s="31">
        <v>110</v>
      </c>
      <c r="E20" s="27">
        <v>1</v>
      </c>
      <c r="F20" s="86">
        <f t="shared" si="7"/>
        <v>0.10891089108910891</v>
      </c>
      <c r="G20" s="83">
        <f t="shared" si="0"/>
        <v>0</v>
      </c>
      <c r="H20" s="85">
        <f t="shared" si="11"/>
        <v>3865.1674274484349</v>
      </c>
      <c r="I20" s="87">
        <f>H20/F20</f>
        <v>35489.264561117445</v>
      </c>
      <c r="J20" s="88">
        <f>I20</f>
        <v>35489.264561117445</v>
      </c>
      <c r="K20" s="81">
        <f>J20/H20</f>
        <v>9.1818181818181817</v>
      </c>
      <c r="L20" s="90"/>
      <c r="M20" s="82" t="s">
        <v>17</v>
      </c>
      <c r="N20" s="31">
        <v>1025</v>
      </c>
      <c r="O20" s="31">
        <v>95</v>
      </c>
      <c r="P20" s="31">
        <v>1</v>
      </c>
      <c r="Q20" s="95">
        <f t="shared" si="3"/>
        <v>9.2682926829268292E-2</v>
      </c>
      <c r="R20" s="77">
        <f t="shared" si="4"/>
        <v>0</v>
      </c>
      <c r="S20" s="96">
        <f>S19*R19</f>
        <v>53563.825682476308</v>
      </c>
      <c r="T20" s="91">
        <f>S20/Q20</f>
        <v>577925.48762671812</v>
      </c>
      <c r="U20" s="91">
        <f>T20</f>
        <v>577925.48762671812</v>
      </c>
      <c r="V20" s="81">
        <f t="shared" si="6"/>
        <v>10.789473684210527</v>
      </c>
    </row>
    <row r="21" spans="2:22" x14ac:dyDescent="0.35">
      <c r="C21">
        <f>SUM(C4:C20)</f>
        <v>112482</v>
      </c>
      <c r="D21">
        <f t="shared" ref="D21:I21" si="12">SUM(D4:D20)</f>
        <v>875</v>
      </c>
      <c r="E21">
        <f t="shared" si="12"/>
        <v>2.7385999999999999</v>
      </c>
      <c r="F21">
        <f t="shared" si="12"/>
        <v>0.32190460994304287</v>
      </c>
      <c r="G21">
        <f t="shared" si="12"/>
        <v>14.2614</v>
      </c>
      <c r="H21">
        <f t="shared" si="12"/>
        <v>1293752.1197413744</v>
      </c>
      <c r="I21">
        <f t="shared" si="12"/>
        <v>5848438.9446993712</v>
      </c>
      <c r="J21">
        <f t="shared" ref="J21" si="13">SUM(J4:J20)</f>
        <v>43654023.47031036</v>
      </c>
      <c r="K21">
        <f t="shared" ref="K21" si="14">SUM(K4:K20)</f>
        <v>486.8110482854932</v>
      </c>
      <c r="L21">
        <f t="shared" ref="L21" si="15">SUM(L4:L20)</f>
        <v>0</v>
      </c>
      <c r="N21">
        <f t="shared" ref="N21" si="16">SUM(N4:N20)</f>
        <v>116127</v>
      </c>
      <c r="O21">
        <f t="shared" ref="O21" si="17">SUM(O4:O20)</f>
        <v>859</v>
      </c>
      <c r="P21">
        <f t="shared" ref="P21" si="18">SUM(P4:P20)</f>
        <v>1.5649</v>
      </c>
      <c r="Q21">
        <f t="shared" ref="Q21" si="19">SUM(Q4:Q20)</f>
        <v>0.30725496782869494</v>
      </c>
      <c r="R21">
        <f t="shared" ref="R21" si="20">SUM(R4:R20)</f>
        <v>15.435100000000002</v>
      </c>
      <c r="S21">
        <f t="shared" ref="S21" si="21">SUM(S4:S20)</f>
        <v>1560835.4038914647</v>
      </c>
      <c r="T21">
        <f t="shared" ref="T21" si="22">SUM(T4:T20)</f>
        <v>7600928.9428778505</v>
      </c>
      <c r="U21">
        <f t="shared" ref="U21" si="23">SUM(U4:U20)</f>
        <v>69922856.52438353</v>
      </c>
      <c r="V21">
        <f t="shared" ref="V21" si="24">SUM(V4:V20)</f>
        <v>728.41758171484219</v>
      </c>
    </row>
    <row r="23" spans="2:22" x14ac:dyDescent="0.35">
      <c r="G23" t="s">
        <v>42</v>
      </c>
      <c r="H23" t="s">
        <v>43</v>
      </c>
    </row>
    <row r="24" spans="2:22" x14ac:dyDescent="0.35">
      <c r="C24" s="164" t="s">
        <v>86</v>
      </c>
      <c r="D24" s="164"/>
      <c r="E24" s="164"/>
      <c r="F24" s="164"/>
      <c r="G24">
        <f>H19/H17</f>
        <v>8.5729999999999987E-2</v>
      </c>
      <c r="H24">
        <f>S19/S17</f>
        <v>0.84686655999999993</v>
      </c>
    </row>
    <row r="25" spans="2:22" x14ac:dyDescent="0.35">
      <c r="C25" s="164" t="s">
        <v>87</v>
      </c>
      <c r="D25" s="164"/>
      <c r="E25" s="164"/>
      <c r="F25" s="164"/>
      <c r="G25">
        <f>1/K4</f>
        <v>1.7098579799765753E-2</v>
      </c>
      <c r="H25">
        <f>1/V4</f>
        <v>1.3156286652791439E-2</v>
      </c>
    </row>
    <row r="26" spans="2:22" x14ac:dyDescent="0.35">
      <c r="C26" s="164" t="s">
        <v>89</v>
      </c>
      <c r="D26" s="164"/>
      <c r="E26" s="164"/>
      <c r="F26" s="164"/>
      <c r="G26">
        <f>1-(H16/H13)</f>
        <v>0.23473466056000003</v>
      </c>
      <c r="H26">
        <f>1-(S16/S13)</f>
        <v>4.5637222632000096E-2</v>
      </c>
    </row>
    <row r="27" spans="2:22" x14ac:dyDescent="0.35">
      <c r="C27" s="164" t="s">
        <v>90</v>
      </c>
      <c r="D27" s="164"/>
      <c r="E27" s="164"/>
      <c r="F27" s="164"/>
      <c r="G27">
        <f>H15/H4</f>
        <v>0.74827665282031608</v>
      </c>
      <c r="H27">
        <f>S15/S4</f>
        <v>0.94063160717831795</v>
      </c>
    </row>
    <row r="28" spans="2:22" x14ac:dyDescent="0.35">
      <c r="C28" s="12"/>
      <c r="D28" s="12"/>
      <c r="E28" s="12"/>
      <c r="F28" s="12"/>
    </row>
    <row r="29" spans="2:22" x14ac:dyDescent="0.35">
      <c r="D29" t="s">
        <v>92</v>
      </c>
      <c r="E29">
        <v>20</v>
      </c>
    </row>
    <row r="30" spans="2:22" x14ac:dyDescent="0.35">
      <c r="C30" s="164" t="s">
        <v>91</v>
      </c>
      <c r="D30" s="164"/>
      <c r="E30" s="164"/>
      <c r="F30" s="164"/>
      <c r="G30">
        <f>E29+(((C21/2)-(SUM(C4:C8)))/C9)*5</f>
        <v>19.988208937625281</v>
      </c>
      <c r="H30">
        <f>E29+(((N21/2)-SUM(N4:N8))/N9)*5</f>
        <v>23.415760055893802</v>
      </c>
    </row>
  </sheetData>
  <mergeCells count="8">
    <mergeCell ref="C27:F27"/>
    <mergeCell ref="C30:F30"/>
    <mergeCell ref="B2:K2"/>
    <mergeCell ref="M2:V2"/>
    <mergeCell ref="B1:V1"/>
    <mergeCell ref="C24:F24"/>
    <mergeCell ref="C25:F25"/>
    <mergeCell ref="C26:F2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workbookViewId="0">
      <selection activeCell="L16" sqref="L16"/>
    </sheetView>
  </sheetViews>
  <sheetFormatPr defaultRowHeight="14.5" x14ac:dyDescent="0.35"/>
  <cols>
    <col min="3" max="3" width="17" customWidth="1"/>
    <col min="4" max="4" width="12.1796875" bestFit="1" customWidth="1"/>
    <col min="5" max="5" width="9.81640625" bestFit="1" customWidth="1"/>
    <col min="6" max="6" width="8.7265625" customWidth="1"/>
    <col min="7" max="7" width="9.90625" bestFit="1" customWidth="1"/>
    <col min="8" max="8" width="9.36328125" bestFit="1" customWidth="1"/>
    <col min="9" max="9" width="12.6328125" bestFit="1" customWidth="1"/>
  </cols>
  <sheetData>
    <row r="1" spans="1:11" ht="24" thickBot="1" x14ac:dyDescent="0.6">
      <c r="A1" s="201" t="s">
        <v>112</v>
      </c>
      <c r="B1" s="201"/>
      <c r="C1" s="201"/>
    </row>
    <row r="2" spans="1:11" ht="19" thickBot="1" x14ac:dyDescent="0.5">
      <c r="C2" s="197" t="s">
        <v>19</v>
      </c>
      <c r="D2" s="197"/>
      <c r="E2" s="197"/>
      <c r="F2" s="198" t="s">
        <v>106</v>
      </c>
      <c r="G2" s="199"/>
      <c r="H2" s="198" t="s">
        <v>107</v>
      </c>
      <c r="I2" s="200"/>
    </row>
    <row r="3" spans="1:11" ht="16.5" x14ac:dyDescent="0.45">
      <c r="C3" s="97" t="s">
        <v>93</v>
      </c>
      <c r="D3" s="54" t="s">
        <v>94</v>
      </c>
      <c r="E3" s="99" t="s">
        <v>38</v>
      </c>
      <c r="F3" s="102" t="s">
        <v>103</v>
      </c>
      <c r="G3" s="105" t="s">
        <v>104</v>
      </c>
      <c r="H3" s="102" t="s">
        <v>109</v>
      </c>
      <c r="I3" s="105" t="s">
        <v>110</v>
      </c>
      <c r="J3" s="109" t="s">
        <v>108</v>
      </c>
      <c r="K3" s="108" t="s">
        <v>105</v>
      </c>
    </row>
    <row r="4" spans="1:11" x14ac:dyDescent="0.35">
      <c r="C4" s="29" t="s">
        <v>95</v>
      </c>
      <c r="D4" s="21">
        <v>1</v>
      </c>
      <c r="E4" s="100">
        <v>1101148</v>
      </c>
      <c r="F4" s="103">
        <f>D4/$D$12</f>
        <v>1.5649452269170579E-3</v>
      </c>
      <c r="G4" s="106">
        <f>E4/$E$12</f>
        <v>0.20810648176846702</v>
      </c>
      <c r="H4" s="103">
        <f>F4</f>
        <v>1.5649452269170579E-3</v>
      </c>
      <c r="I4" s="106">
        <f>G4</f>
        <v>0.20810648176846702</v>
      </c>
      <c r="J4" s="103">
        <f>H4*I5</f>
        <v>6.1920850524752665E-4</v>
      </c>
      <c r="K4" s="81">
        <f>I4*H5</f>
        <v>1.9540514720043853E-3</v>
      </c>
    </row>
    <row r="5" spans="1:11" x14ac:dyDescent="0.35">
      <c r="C5" s="29" t="s">
        <v>96</v>
      </c>
      <c r="D5" s="21">
        <v>5</v>
      </c>
      <c r="E5" s="100">
        <v>992472</v>
      </c>
      <c r="F5" s="103">
        <f t="shared" ref="F5:F11" si="0">D5/$D$12</f>
        <v>7.8247261345852897E-3</v>
      </c>
      <c r="G5" s="106">
        <f t="shared" ref="G5:G11" si="1">E5/$E$12</f>
        <v>0.1875677530847025</v>
      </c>
      <c r="H5" s="103">
        <f>H4+F5</f>
        <v>9.3896713615023476E-3</v>
      </c>
      <c r="I5" s="106">
        <f>I4+G5</f>
        <v>0.39567423485316955</v>
      </c>
      <c r="J5" s="103">
        <f t="shared" ref="J5:J9" si="2">H5*I6</f>
        <v>5.1222345307961378E-3</v>
      </c>
      <c r="K5" s="81">
        <f t="shared" ref="K5:K10" si="3">I5*H6</f>
        <v>1.1145753094455481E-2</v>
      </c>
    </row>
    <row r="6" spans="1:11" x14ac:dyDescent="0.35">
      <c r="C6" s="29" t="s">
        <v>97</v>
      </c>
      <c r="D6" s="21">
        <v>12</v>
      </c>
      <c r="E6" s="100">
        <v>792864</v>
      </c>
      <c r="F6" s="103">
        <f t="shared" si="0"/>
        <v>1.8779342723004695E-2</v>
      </c>
      <c r="G6" s="106">
        <f t="shared" si="1"/>
        <v>0.14984374267661915</v>
      </c>
      <c r="H6" s="103">
        <f t="shared" ref="H6:H11" si="4">H5+F6</f>
        <v>2.8169014084507043E-2</v>
      </c>
      <c r="I6" s="106">
        <f t="shared" ref="I6:I11" si="5">I5+G6</f>
        <v>0.5455179775297887</v>
      </c>
      <c r="J6" s="103">
        <f t="shared" si="2"/>
        <v>1.9388133387197571E-2</v>
      </c>
      <c r="K6" s="81">
        <f t="shared" si="3"/>
        <v>3.756305322583834E-2</v>
      </c>
    </row>
    <row r="7" spans="1:11" x14ac:dyDescent="0.35">
      <c r="C7" s="29" t="s">
        <v>98</v>
      </c>
      <c r="D7" s="21">
        <v>26</v>
      </c>
      <c r="E7" s="100">
        <v>755386</v>
      </c>
      <c r="F7" s="103">
        <f t="shared" si="0"/>
        <v>4.0688575899843503E-2</v>
      </c>
      <c r="G7" s="106">
        <f t="shared" si="1"/>
        <v>0.14276075771572508</v>
      </c>
      <c r="H7" s="103">
        <f t="shared" si="4"/>
        <v>6.8857589984350542E-2</v>
      </c>
      <c r="I7" s="106">
        <f t="shared" si="5"/>
        <v>0.68827873524551375</v>
      </c>
      <c r="J7" s="103">
        <f t="shared" si="2"/>
        <v>5.3089843283799468E-2</v>
      </c>
      <c r="K7" s="81">
        <f t="shared" si="3"/>
        <v>8.6169481720878099E-2</v>
      </c>
    </row>
    <row r="8" spans="1:11" x14ac:dyDescent="0.35">
      <c r="C8" s="29" t="s">
        <v>99</v>
      </c>
      <c r="D8" s="21">
        <v>36</v>
      </c>
      <c r="E8" s="100">
        <v>437750</v>
      </c>
      <c r="F8" s="103">
        <f t="shared" si="0"/>
        <v>5.6338028169014086E-2</v>
      </c>
      <c r="G8" s="106">
        <f t="shared" si="1"/>
        <v>8.2730579716937633E-2</v>
      </c>
      <c r="H8" s="103">
        <f t="shared" si="4"/>
        <v>0.12519561815336464</v>
      </c>
      <c r="I8" s="106">
        <f t="shared" si="5"/>
        <v>0.7710093149624514</v>
      </c>
      <c r="J8" s="103">
        <f t="shared" si="2"/>
        <v>0.10557960188709006</v>
      </c>
      <c r="K8" s="81">
        <f t="shared" si="3"/>
        <v>0.16771564128291197</v>
      </c>
    </row>
    <row r="9" spans="1:11" x14ac:dyDescent="0.35">
      <c r="C9" s="29" t="s">
        <v>100</v>
      </c>
      <c r="D9" s="21">
        <v>59</v>
      </c>
      <c r="E9" s="100">
        <v>382600</v>
      </c>
      <c r="F9" s="103">
        <f t="shared" si="0"/>
        <v>9.2331768388106417E-2</v>
      </c>
      <c r="G9" s="106">
        <f t="shared" si="1"/>
        <v>7.2307755110680383E-2</v>
      </c>
      <c r="H9" s="103">
        <f t="shared" si="4"/>
        <v>0.21752738654147105</v>
      </c>
      <c r="I9" s="106">
        <f t="shared" si="5"/>
        <v>0.84331707007313184</v>
      </c>
      <c r="J9" s="103">
        <f t="shared" si="2"/>
        <v>0.20240271319952602</v>
      </c>
      <c r="K9" s="81">
        <f t="shared" si="3"/>
        <v>0.38140631181711282</v>
      </c>
    </row>
    <row r="10" spans="1:11" x14ac:dyDescent="0.35">
      <c r="C10" s="29" t="s">
        <v>101</v>
      </c>
      <c r="D10" s="21">
        <v>150</v>
      </c>
      <c r="E10" s="100">
        <v>461150</v>
      </c>
      <c r="F10" s="103">
        <f t="shared" si="0"/>
        <v>0.23474178403755869</v>
      </c>
      <c r="G10" s="106">
        <f t="shared" si="1"/>
        <v>8.7152956793753941E-2</v>
      </c>
      <c r="H10" s="103">
        <f t="shared" si="4"/>
        <v>0.45226917057902971</v>
      </c>
      <c r="I10" s="106">
        <f t="shared" si="5"/>
        <v>0.93047002686688574</v>
      </c>
      <c r="J10" s="103">
        <f>H10*I11</f>
        <v>0.45226917057902971</v>
      </c>
      <c r="K10" s="81">
        <f t="shared" si="3"/>
        <v>0.93047002686688574</v>
      </c>
    </row>
    <row r="11" spans="1:11" ht="15" thickBot="1" x14ac:dyDescent="0.4">
      <c r="C11" s="82" t="s">
        <v>102</v>
      </c>
      <c r="D11" s="31">
        <v>350</v>
      </c>
      <c r="E11" s="101">
        <v>367902</v>
      </c>
      <c r="F11" s="104">
        <f t="shared" si="0"/>
        <v>0.54773082942097029</v>
      </c>
      <c r="G11" s="107">
        <f t="shared" si="1"/>
        <v>6.9529973133114306E-2</v>
      </c>
      <c r="H11" s="104">
        <f t="shared" si="4"/>
        <v>1</v>
      </c>
      <c r="I11" s="107">
        <f t="shared" si="5"/>
        <v>1</v>
      </c>
      <c r="J11" s="104"/>
      <c r="K11" s="84"/>
    </row>
    <row r="12" spans="1:11" x14ac:dyDescent="0.35">
      <c r="C12" s="98" t="s">
        <v>59</v>
      </c>
      <c r="D12">
        <f>SUM(D4:D11)</f>
        <v>639</v>
      </c>
      <c r="E12">
        <f>SUM(E4:E11)</f>
        <v>5291272</v>
      </c>
      <c r="J12">
        <f t="shared" ref="J12:K12" si="6">SUM(J4:J11)</f>
        <v>0.83847090537268643</v>
      </c>
      <c r="K12">
        <f t="shared" si="6"/>
        <v>1.6164243194800867</v>
      </c>
    </row>
    <row r="15" spans="1:11" x14ac:dyDescent="0.35">
      <c r="C15" s="164"/>
      <c r="D15" s="164"/>
      <c r="E15" s="164"/>
      <c r="H15">
        <v>0</v>
      </c>
      <c r="I15">
        <v>0</v>
      </c>
    </row>
    <row r="16" spans="1:11" x14ac:dyDescent="0.35">
      <c r="C16" s="164"/>
      <c r="D16" s="164"/>
      <c r="E16" s="164"/>
      <c r="H16">
        <v>1.5649452269170579E-3</v>
      </c>
      <c r="I16">
        <v>0.20810648176846702</v>
      </c>
    </row>
    <row r="17" spans="4:9" x14ac:dyDescent="0.35">
      <c r="H17">
        <v>9.3896713615023476E-3</v>
      </c>
      <c r="I17">
        <v>0.39567423485316955</v>
      </c>
    </row>
    <row r="18" spans="4:9" x14ac:dyDescent="0.35">
      <c r="D18" t="s">
        <v>111</v>
      </c>
      <c r="E18">
        <f>K12-J12</f>
        <v>0.77795341410740027</v>
      </c>
      <c r="H18">
        <v>2.8169014084507043E-2</v>
      </c>
      <c r="I18">
        <v>0.5455179775297887</v>
      </c>
    </row>
    <row r="19" spans="4:9" x14ac:dyDescent="0.35">
      <c r="H19">
        <v>6.8857589984350542E-2</v>
      </c>
      <c r="I19">
        <v>0.68827873524551375</v>
      </c>
    </row>
    <row r="20" spans="4:9" x14ac:dyDescent="0.35">
      <c r="H20">
        <v>0.12519561815336464</v>
      </c>
      <c r="I20">
        <v>0.7710093149624514</v>
      </c>
    </row>
    <row r="21" spans="4:9" x14ac:dyDescent="0.35">
      <c r="H21">
        <v>0.21752738654147105</v>
      </c>
      <c r="I21">
        <v>0.84331707007313184</v>
      </c>
    </row>
    <row r="22" spans="4:9" x14ac:dyDescent="0.35">
      <c r="H22">
        <v>0.45226917057902971</v>
      </c>
      <c r="I22">
        <v>0.93047002686688574</v>
      </c>
    </row>
    <row r="23" spans="4:9" x14ac:dyDescent="0.35">
      <c r="H23">
        <v>1</v>
      </c>
      <c r="I23">
        <v>1</v>
      </c>
    </row>
  </sheetData>
  <mergeCells count="5">
    <mergeCell ref="C2:E2"/>
    <mergeCell ref="F2:G2"/>
    <mergeCell ref="H2:I2"/>
    <mergeCell ref="C15:E16"/>
    <mergeCell ref="A1:C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4"/>
  <sheetViews>
    <sheetView workbookViewId="0">
      <selection activeCell="P10" sqref="P10"/>
    </sheetView>
  </sheetViews>
  <sheetFormatPr defaultRowHeight="14.5" x14ac:dyDescent="0.35"/>
  <cols>
    <col min="2" max="2" width="12.08984375" bestFit="1" customWidth="1"/>
    <col min="3" max="3" width="10.36328125" bestFit="1" customWidth="1"/>
    <col min="4" max="4" width="12.7265625" bestFit="1" customWidth="1"/>
    <col min="6" max="6" width="8.7265625" customWidth="1"/>
  </cols>
  <sheetData>
    <row r="1" spans="2:16" x14ac:dyDescent="0.35">
      <c r="B1" s="207" t="s">
        <v>131</v>
      </c>
      <c r="C1" s="207"/>
      <c r="D1" s="207"/>
      <c r="E1" s="207"/>
      <c r="F1" s="207"/>
      <c r="G1" s="207"/>
      <c r="H1" s="111"/>
      <c r="I1" s="111"/>
      <c r="J1" s="121"/>
    </row>
    <row r="2" spans="2:16" ht="15" thickBot="1" x14ac:dyDescent="0.4">
      <c r="B2" s="206" t="s">
        <v>19</v>
      </c>
      <c r="C2" s="206"/>
      <c r="D2" s="206"/>
    </row>
    <row r="3" spans="2:16" ht="18.5" x14ac:dyDescent="0.35">
      <c r="B3" s="202" t="s">
        <v>0</v>
      </c>
      <c r="C3" s="204" t="s">
        <v>114</v>
      </c>
      <c r="D3" s="205"/>
      <c r="H3" t="s">
        <v>42</v>
      </c>
      <c r="I3" t="s">
        <v>43</v>
      </c>
      <c r="L3" s="209" t="s">
        <v>139</v>
      </c>
      <c r="M3" s="209"/>
    </row>
    <row r="4" spans="2:16" ht="18.5" x14ac:dyDescent="0.35">
      <c r="B4" s="203"/>
      <c r="C4" s="112" t="s">
        <v>115</v>
      </c>
      <c r="D4" s="113" t="s">
        <v>116</v>
      </c>
      <c r="G4" t="s">
        <v>117</v>
      </c>
      <c r="H4">
        <f>5*SUM(C5:C12)</f>
        <v>1423.5000000000002</v>
      </c>
      <c r="I4">
        <f>5*SUM(D5:D12)</f>
        <v>774</v>
      </c>
      <c r="L4" s="209"/>
      <c r="M4" s="209"/>
      <c r="O4" s="164" t="s">
        <v>142</v>
      </c>
      <c r="P4" s="164"/>
    </row>
    <row r="5" spans="2:16" ht="18.5" x14ac:dyDescent="0.45">
      <c r="B5" s="114" t="s">
        <v>4</v>
      </c>
      <c r="C5" s="115">
        <v>100</v>
      </c>
      <c r="D5" s="116">
        <v>94.8</v>
      </c>
      <c r="E5" t="s">
        <v>120</v>
      </c>
      <c r="G5" t="s">
        <v>118</v>
      </c>
      <c r="H5">
        <f>1500+H4</f>
        <v>2923.5</v>
      </c>
      <c r="I5">
        <f>1500+I4</f>
        <v>2274</v>
      </c>
      <c r="K5" s="164"/>
      <c r="L5" s="164"/>
      <c r="M5" s="164"/>
      <c r="N5" s="164"/>
      <c r="O5" s="164" t="s">
        <v>140</v>
      </c>
      <c r="P5" s="164"/>
    </row>
    <row r="6" spans="2:16" ht="18.5" x14ac:dyDescent="0.45">
      <c r="B6" s="114" t="s">
        <v>5</v>
      </c>
      <c r="C6" s="115">
        <v>92</v>
      </c>
      <c r="D6" s="116">
        <v>42.4</v>
      </c>
      <c r="E6" t="s">
        <v>121</v>
      </c>
      <c r="G6" t="s">
        <v>119</v>
      </c>
      <c r="H6">
        <f>(50/2)*(C12+C13)</f>
        <v>30</v>
      </c>
      <c r="I6">
        <f>(50/2)*(D12+D13)</f>
        <v>10</v>
      </c>
      <c r="K6" s="164"/>
      <c r="L6" s="164"/>
      <c r="M6" s="164"/>
      <c r="N6" s="164"/>
      <c r="O6" s="164" t="s">
        <v>141</v>
      </c>
      <c r="P6" s="164"/>
    </row>
    <row r="7" spans="2:16" ht="18.5" x14ac:dyDescent="0.45">
      <c r="B7" s="114" t="s">
        <v>6</v>
      </c>
      <c r="C7" s="115">
        <v>63.5</v>
      </c>
      <c r="D7" s="116">
        <v>10.199999999999999</v>
      </c>
      <c r="E7" t="s">
        <v>122</v>
      </c>
      <c r="G7" t="s">
        <v>129</v>
      </c>
      <c r="H7">
        <f>100-(C12+C13)/2</f>
        <v>99.4</v>
      </c>
      <c r="I7">
        <f>100-(D12+D13)/2</f>
        <v>99.8</v>
      </c>
      <c r="K7" s="164" t="s">
        <v>133</v>
      </c>
      <c r="L7" s="164"/>
      <c r="M7" s="164" t="s">
        <v>134</v>
      </c>
      <c r="N7" s="164"/>
    </row>
    <row r="8" spans="2:16" ht="18.5" x14ac:dyDescent="0.45">
      <c r="B8" s="114" t="s">
        <v>7</v>
      </c>
      <c r="C8" s="115">
        <v>20.6</v>
      </c>
      <c r="D8" s="116">
        <v>4.3</v>
      </c>
      <c r="E8" t="s">
        <v>123</v>
      </c>
      <c r="K8" s="164" t="s">
        <v>135</v>
      </c>
      <c r="L8" s="164"/>
      <c r="M8" s="164" t="s">
        <v>136</v>
      </c>
      <c r="N8" s="164"/>
    </row>
    <row r="9" spans="2:16" ht="18.5" x14ac:dyDescent="0.45">
      <c r="B9" s="114" t="s">
        <v>8</v>
      </c>
      <c r="C9" s="115">
        <v>4.5</v>
      </c>
      <c r="D9" s="116">
        <v>1.8</v>
      </c>
      <c r="E9" t="s">
        <v>124</v>
      </c>
      <c r="G9" t="s">
        <v>130</v>
      </c>
      <c r="H9">
        <f>(H5-H6)/H7</f>
        <v>29.109657947686117</v>
      </c>
      <c r="I9">
        <f>(I5-I6)/I7</f>
        <v>22.685370741482966</v>
      </c>
      <c r="K9" s="164" t="s">
        <v>137</v>
      </c>
      <c r="L9" s="164"/>
      <c r="M9" s="164" t="s">
        <v>138</v>
      </c>
      <c r="N9" s="164"/>
    </row>
    <row r="10" spans="2:16" ht="18.5" x14ac:dyDescent="0.45">
      <c r="B10" s="114" t="s">
        <v>9</v>
      </c>
      <c r="C10" s="115">
        <v>1.8</v>
      </c>
      <c r="D10" s="116">
        <v>0.6</v>
      </c>
      <c r="E10" t="s">
        <v>125</v>
      </c>
    </row>
    <row r="11" spans="2:16" ht="18.5" x14ac:dyDescent="0.45">
      <c r="B11" s="114" t="s">
        <v>10</v>
      </c>
      <c r="C11" s="115">
        <v>1.3</v>
      </c>
      <c r="D11" s="116">
        <v>0.4</v>
      </c>
      <c r="E11" t="s">
        <v>126</v>
      </c>
      <c r="H11" s="208" t="s">
        <v>132</v>
      </c>
      <c r="I11" s="208"/>
      <c r="J11" s="208"/>
      <c r="K11" s="208"/>
      <c r="L11" s="208"/>
      <c r="M11" s="208"/>
      <c r="N11" s="208"/>
    </row>
    <row r="12" spans="2:16" ht="18.5" x14ac:dyDescent="0.45">
      <c r="B12" s="114" t="s">
        <v>11</v>
      </c>
      <c r="C12" s="115">
        <v>1</v>
      </c>
      <c r="D12" s="116">
        <v>0.3</v>
      </c>
      <c r="E12" t="s">
        <v>127</v>
      </c>
      <c r="H12" s="208"/>
      <c r="I12" s="208"/>
      <c r="J12" s="208"/>
      <c r="K12" s="208"/>
      <c r="L12" s="208"/>
      <c r="M12" s="208"/>
      <c r="N12" s="208"/>
    </row>
    <row r="13" spans="2:16" ht="19" thickBot="1" x14ac:dyDescent="0.5">
      <c r="B13" s="117" t="s">
        <v>12</v>
      </c>
      <c r="C13" s="118">
        <v>0.2</v>
      </c>
      <c r="D13" s="119">
        <v>0.1</v>
      </c>
      <c r="E13" t="s">
        <v>128</v>
      </c>
      <c r="H13" s="208"/>
      <c r="I13" s="208"/>
      <c r="J13" s="208"/>
      <c r="K13" s="208"/>
      <c r="L13" s="208"/>
      <c r="M13" s="208"/>
      <c r="N13" s="208"/>
    </row>
    <row r="14" spans="2:16" ht="18.5" x14ac:dyDescent="0.45">
      <c r="B14" s="120"/>
      <c r="H14" s="208"/>
      <c r="I14" s="208"/>
      <c r="J14" s="208"/>
      <c r="K14" s="208"/>
      <c r="L14" s="208"/>
      <c r="M14" s="208"/>
      <c r="N14" s="208"/>
    </row>
  </sheetData>
  <mergeCells count="16">
    <mergeCell ref="O5:P5"/>
    <mergeCell ref="O6:P6"/>
    <mergeCell ref="O4:P4"/>
    <mergeCell ref="K5:N6"/>
    <mergeCell ref="B3:B4"/>
    <mergeCell ref="C3:D3"/>
    <mergeCell ref="B2:D2"/>
    <mergeCell ref="B1:G1"/>
    <mergeCell ref="H11:N14"/>
    <mergeCell ref="K7:L7"/>
    <mergeCell ref="M7:N7"/>
    <mergeCell ref="K8:L8"/>
    <mergeCell ref="M8:N8"/>
    <mergeCell ref="K9:L9"/>
    <mergeCell ref="M9:N9"/>
    <mergeCell ref="L3:M4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6"/>
  <sheetViews>
    <sheetView topLeftCell="A4" workbookViewId="0">
      <selection activeCell="H11" sqref="H11"/>
    </sheetView>
  </sheetViews>
  <sheetFormatPr defaultRowHeight="14.5" x14ac:dyDescent="0.35"/>
  <cols>
    <col min="2" max="2" width="19.7265625" customWidth="1"/>
    <col min="3" max="7" width="14.36328125" bestFit="1" customWidth="1"/>
  </cols>
  <sheetData>
    <row r="1" spans="2:13" ht="15" thickBot="1" x14ac:dyDescent="0.4"/>
    <row r="2" spans="2:13" ht="24" thickBot="1" x14ac:dyDescent="0.6">
      <c r="B2" s="214" t="s">
        <v>143</v>
      </c>
      <c r="C2" s="216" t="s">
        <v>148</v>
      </c>
      <c r="D2" s="216"/>
      <c r="E2" s="216"/>
      <c r="F2" s="217"/>
      <c r="G2" s="218" t="s">
        <v>59</v>
      </c>
    </row>
    <row r="3" spans="2:13" ht="23.5" x14ac:dyDescent="0.55000000000000004">
      <c r="B3" s="215"/>
      <c r="C3" s="124" t="s">
        <v>144</v>
      </c>
      <c r="D3" s="125" t="s">
        <v>145</v>
      </c>
      <c r="E3" s="126" t="s">
        <v>146</v>
      </c>
      <c r="F3" s="127" t="s">
        <v>147</v>
      </c>
      <c r="G3" s="219"/>
      <c r="I3" s="220" t="s">
        <v>144</v>
      </c>
      <c r="J3" s="221"/>
      <c r="L3" s="222" t="s">
        <v>145</v>
      </c>
      <c r="M3" s="223"/>
    </row>
    <row r="4" spans="2:13" ht="23.5" x14ac:dyDescent="0.55000000000000004">
      <c r="B4" s="128" t="s">
        <v>144</v>
      </c>
      <c r="C4" s="129">
        <v>18363975</v>
      </c>
      <c r="D4" s="130">
        <v>134513</v>
      </c>
      <c r="E4" s="130">
        <v>21809</v>
      </c>
      <c r="F4" s="131">
        <v>11666</v>
      </c>
      <c r="G4" s="141">
        <f>SUM(C4:F4)</f>
        <v>18531963</v>
      </c>
      <c r="I4" s="122" t="s">
        <v>61</v>
      </c>
      <c r="J4" s="60">
        <f>((G4-C4)/G4)*100</f>
        <v>0.90647709581548386</v>
      </c>
      <c r="L4" s="122" t="s">
        <v>61</v>
      </c>
      <c r="M4" s="60">
        <f>((G5-D5)/G5)*100</f>
        <v>2.3099102925304251</v>
      </c>
    </row>
    <row r="5" spans="2:13" ht="23.5" x14ac:dyDescent="0.55000000000000004">
      <c r="B5" s="132" t="s">
        <v>145</v>
      </c>
      <c r="C5" s="130">
        <v>311324</v>
      </c>
      <c r="D5" s="133">
        <v>20719900</v>
      </c>
      <c r="E5" s="130">
        <v>112689</v>
      </c>
      <c r="F5" s="131">
        <v>65915</v>
      </c>
      <c r="G5" s="143">
        <f t="shared" ref="G5:G7" si="0">SUM(C5:F5)</f>
        <v>21209828</v>
      </c>
      <c r="I5" s="122" t="s">
        <v>149</v>
      </c>
      <c r="J5" s="60">
        <f>((C8-C4)/G4)*100</f>
        <v>2.3342643194355612</v>
      </c>
      <c r="L5" s="122" t="s">
        <v>149</v>
      </c>
      <c r="M5" s="60">
        <f>((D8-D5)/G5)*100</f>
        <v>1.5534590850996057</v>
      </c>
    </row>
    <row r="6" spans="2:13" ht="23.5" x14ac:dyDescent="0.55000000000000004">
      <c r="B6" s="134" t="s">
        <v>146</v>
      </c>
      <c r="C6" s="130">
        <v>75784</v>
      </c>
      <c r="D6" s="130">
        <v>15622</v>
      </c>
      <c r="E6" s="135">
        <v>13719526</v>
      </c>
      <c r="F6" s="131">
        <v>32701</v>
      </c>
      <c r="G6" s="146">
        <f t="shared" si="0"/>
        <v>13843633</v>
      </c>
      <c r="I6" s="122" t="s">
        <v>150</v>
      </c>
      <c r="J6" s="60">
        <f>J4-J5</f>
        <v>-1.4277872236200775</v>
      </c>
      <c r="L6" s="122" t="s">
        <v>150</v>
      </c>
      <c r="M6" s="60">
        <f>M4-M5</f>
        <v>0.75645120743081939</v>
      </c>
    </row>
    <row r="7" spans="2:13" ht="24" thickBot="1" x14ac:dyDescent="0.6">
      <c r="B7" s="136" t="s">
        <v>147</v>
      </c>
      <c r="C7" s="137">
        <v>45477</v>
      </c>
      <c r="D7" s="137">
        <v>179351</v>
      </c>
      <c r="E7" s="137">
        <v>26150</v>
      </c>
      <c r="F7" s="138">
        <v>16761125</v>
      </c>
      <c r="G7" s="148">
        <f t="shared" si="0"/>
        <v>17012103</v>
      </c>
      <c r="I7" s="122" t="s">
        <v>151</v>
      </c>
      <c r="J7" s="60">
        <f>J4+J5</f>
        <v>3.240741415251045</v>
      </c>
      <c r="L7" s="122" t="s">
        <v>151</v>
      </c>
      <c r="M7" s="60">
        <f>M4+M5</f>
        <v>3.8633693776300309</v>
      </c>
    </row>
    <row r="8" spans="2:13" ht="24" thickBot="1" x14ac:dyDescent="0.6">
      <c r="B8" s="139" t="s">
        <v>59</v>
      </c>
      <c r="C8" s="142">
        <f>SUM(C4:C7)</f>
        <v>18796560</v>
      </c>
      <c r="D8" s="144">
        <f t="shared" ref="D8:F8" si="1">SUM(D4:D7)</f>
        <v>21049386</v>
      </c>
      <c r="E8" s="145">
        <f t="shared" si="1"/>
        <v>13880174</v>
      </c>
      <c r="F8" s="147">
        <f t="shared" si="1"/>
        <v>16871407</v>
      </c>
      <c r="G8" s="140">
        <f>SUM(G4:G7)</f>
        <v>70597527</v>
      </c>
      <c r="I8" s="123" t="s">
        <v>152</v>
      </c>
      <c r="J8" s="61">
        <f>(ABS(J6)/J7)*100</f>
        <v>44.057425158973182</v>
      </c>
      <c r="L8" s="123" t="s">
        <v>152</v>
      </c>
      <c r="M8" s="61">
        <f>(ABS(M6)/M7)*100</f>
        <v>19.580090161993816</v>
      </c>
    </row>
    <row r="10" spans="2:13" ht="15" thickBot="1" x14ac:dyDescent="0.4"/>
    <row r="11" spans="2:13" x14ac:dyDescent="0.35">
      <c r="C11" s="210" t="s">
        <v>146</v>
      </c>
      <c r="D11" s="211"/>
      <c r="E11" s="212" t="s">
        <v>147</v>
      </c>
      <c r="F11" s="213"/>
    </row>
    <row r="12" spans="2:13" x14ac:dyDescent="0.35">
      <c r="C12" s="122" t="s">
        <v>61</v>
      </c>
      <c r="D12" s="60">
        <f>((G6-E6)/G6)*100</f>
        <v>0.89649154958095167</v>
      </c>
      <c r="E12" s="122" t="s">
        <v>61</v>
      </c>
      <c r="F12" s="60">
        <f>((G7-F7)/G7)*100</f>
        <v>1.4752908561628153</v>
      </c>
    </row>
    <row r="13" spans="2:13" x14ac:dyDescent="0.35">
      <c r="C13" s="122" t="s">
        <v>149</v>
      </c>
      <c r="D13" s="60">
        <f>((E8-E6)/G6)*100</f>
        <v>1.1604468277944091</v>
      </c>
      <c r="E13" s="122" t="s">
        <v>149</v>
      </c>
      <c r="F13" s="60">
        <f>((F8-F7)/G7)*100</f>
        <v>0.64825612682923439</v>
      </c>
    </row>
    <row r="14" spans="2:13" x14ac:dyDescent="0.35">
      <c r="C14" s="122" t="s">
        <v>150</v>
      </c>
      <c r="D14" s="60">
        <f>D12-D13</f>
        <v>-0.26395527821345743</v>
      </c>
      <c r="E14" s="122" t="s">
        <v>150</v>
      </c>
      <c r="F14" s="60">
        <f>F12-F13</f>
        <v>0.82703472933358091</v>
      </c>
    </row>
    <row r="15" spans="2:13" x14ac:dyDescent="0.35">
      <c r="C15" s="122" t="s">
        <v>151</v>
      </c>
      <c r="D15" s="60">
        <f>D12+D13</f>
        <v>2.0569383773753609</v>
      </c>
      <c r="E15" s="122" t="s">
        <v>151</v>
      </c>
      <c r="F15" s="60">
        <f>F12+F13</f>
        <v>2.1235469829920497</v>
      </c>
    </row>
    <row r="16" spans="2:13" ht="15" thickBot="1" x14ac:dyDescent="0.4">
      <c r="C16" s="123" t="s">
        <v>152</v>
      </c>
      <c r="D16" s="61">
        <f>(ABS(D14)/D15)*100</f>
        <v>12.832434900177347</v>
      </c>
      <c r="E16" s="123" t="s">
        <v>152</v>
      </c>
      <c r="F16" s="61">
        <f>(ABS(F14)/F15)*100</f>
        <v>38.945911531860709</v>
      </c>
    </row>
  </sheetData>
  <mergeCells count="7">
    <mergeCell ref="I3:J3"/>
    <mergeCell ref="L3:M3"/>
    <mergeCell ref="C11:D11"/>
    <mergeCell ref="E11:F11"/>
    <mergeCell ref="B2:B3"/>
    <mergeCell ref="C2:F2"/>
    <mergeCell ref="G2:G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27"/>
  <sheetViews>
    <sheetView topLeftCell="A13" workbookViewId="0">
      <selection activeCell="G31" sqref="G31"/>
    </sheetView>
  </sheetViews>
  <sheetFormatPr defaultRowHeight="14.5" x14ac:dyDescent="0.35"/>
  <cols>
    <col min="1" max="1" width="6.90625" customWidth="1"/>
    <col min="2" max="2" width="10.54296875" customWidth="1"/>
    <col min="6" max="6" width="13.36328125" customWidth="1"/>
    <col min="7" max="7" width="10.54296875" customWidth="1"/>
    <col min="8" max="8" width="14.1796875" customWidth="1"/>
    <col min="9" max="9" width="11" customWidth="1"/>
    <col min="10" max="10" width="15.54296875" customWidth="1"/>
  </cols>
  <sheetData>
    <row r="3" spans="2:10" ht="22.5" customHeight="1" thickBot="1" x14ac:dyDescent="0.4">
      <c r="C3" s="224" t="s">
        <v>38</v>
      </c>
      <c r="D3" s="225"/>
    </row>
    <row r="4" spans="2:10" ht="29" customHeight="1" x14ac:dyDescent="0.35">
      <c r="B4" s="151" t="s">
        <v>0</v>
      </c>
      <c r="C4" s="152" t="s">
        <v>42</v>
      </c>
      <c r="D4" s="153" t="s">
        <v>43</v>
      </c>
      <c r="E4" s="154" t="s">
        <v>153</v>
      </c>
      <c r="F4" s="155" t="s">
        <v>154</v>
      </c>
      <c r="G4" s="156" t="s">
        <v>155</v>
      </c>
      <c r="H4" s="155" t="s">
        <v>156</v>
      </c>
      <c r="I4" s="156" t="s">
        <v>157</v>
      </c>
      <c r="J4" s="157" t="s">
        <v>158</v>
      </c>
    </row>
    <row r="5" spans="2:10" x14ac:dyDescent="0.35">
      <c r="B5" s="29" t="s">
        <v>2</v>
      </c>
      <c r="C5" s="21">
        <v>1022001</v>
      </c>
      <c r="D5" s="21">
        <v>965554</v>
      </c>
      <c r="E5" s="77">
        <f>(C5/D5)*100</f>
        <v>105.84607386018803</v>
      </c>
      <c r="F5" s="77"/>
      <c r="G5" s="77"/>
      <c r="H5" s="77"/>
      <c r="I5" s="77"/>
      <c r="J5" s="81"/>
    </row>
    <row r="6" spans="2:10" x14ac:dyDescent="0.35">
      <c r="B6" s="29" t="s">
        <v>3</v>
      </c>
      <c r="C6" s="21">
        <v>964956</v>
      </c>
      <c r="D6" s="21">
        <v>916269</v>
      </c>
      <c r="E6" s="77">
        <f t="shared" ref="E6:E19" si="0">(C6/D6)*100</f>
        <v>105.31361423337469</v>
      </c>
      <c r="F6" s="77">
        <f>ABS(E6-E5)</f>
        <v>0.53245962681333481</v>
      </c>
      <c r="G6" s="77">
        <f>(C6/(0.5*(C5+C7)))*100</f>
        <v>103.58345315748032</v>
      </c>
      <c r="H6" s="77">
        <f>ABS(100-G6)</f>
        <v>3.5834531574803208</v>
      </c>
      <c r="I6" s="77">
        <f>(D6/(0.5*(D5+D7)))*100</f>
        <v>103.84104744403324</v>
      </c>
      <c r="J6" s="81">
        <f>ABS(100-I6)</f>
        <v>3.8410474440332365</v>
      </c>
    </row>
    <row r="7" spans="2:10" x14ac:dyDescent="0.35">
      <c r="B7" s="29" t="s">
        <v>4</v>
      </c>
      <c r="C7" s="21">
        <v>841146</v>
      </c>
      <c r="D7" s="21">
        <v>799199</v>
      </c>
      <c r="E7" s="77">
        <f t="shared" si="0"/>
        <v>105.24863019097872</v>
      </c>
      <c r="F7" s="77">
        <f t="shared" ref="F7:F18" si="1">ABS(E7-E6)</f>
        <v>6.4984042395977326E-2</v>
      </c>
      <c r="G7" s="77">
        <f>(C7/(0.5*(C6+C8)))*100</f>
        <v>112.4238163466062</v>
      </c>
      <c r="H7" s="77">
        <f t="shared" ref="H7:H18" si="2">ABS(100-G7)</f>
        <v>12.423816346606202</v>
      </c>
      <c r="I7" s="77">
        <f t="shared" ref="I7:I17" si="3">(D7/(0.5*(D6+D8)))*100</f>
        <v>112.61399504001804</v>
      </c>
      <c r="J7" s="81">
        <f t="shared" ref="J7:J18" si="4">ABS(100-I7)</f>
        <v>12.61399504001804</v>
      </c>
    </row>
    <row r="8" spans="2:10" x14ac:dyDescent="0.35">
      <c r="B8" s="29" t="s">
        <v>5</v>
      </c>
      <c r="C8" s="21">
        <v>531428</v>
      </c>
      <c r="D8" s="21">
        <v>503091</v>
      </c>
      <c r="E8" s="77">
        <f t="shared" si="0"/>
        <v>105.63257939418516</v>
      </c>
      <c r="F8" s="77">
        <f t="shared" si="1"/>
        <v>0.38394920320644133</v>
      </c>
      <c r="G8" s="77">
        <f t="shared" ref="G8:G18" si="5">(C8/(0.5*(C7+C9)))*100</f>
        <v>91.627728945181431</v>
      </c>
      <c r="H8" s="77">
        <f t="shared" si="2"/>
        <v>8.3722710548185688</v>
      </c>
      <c r="I8" s="77">
        <f t="shared" si="3"/>
        <v>79.267374219286694</v>
      </c>
      <c r="J8" s="81">
        <f t="shared" si="4"/>
        <v>20.732625780713306</v>
      </c>
    </row>
    <row r="9" spans="2:10" x14ac:dyDescent="0.35">
      <c r="B9" s="29" t="s">
        <v>6</v>
      </c>
      <c r="C9" s="21">
        <v>318826</v>
      </c>
      <c r="D9" s="21">
        <v>470153</v>
      </c>
      <c r="E9" s="77">
        <f t="shared" si="0"/>
        <v>67.813243773835325</v>
      </c>
      <c r="F9" s="77">
        <f t="shared" si="1"/>
        <v>37.819335620349833</v>
      </c>
      <c r="G9" s="77">
        <f t="shared" si="5"/>
        <v>65.297470441377357</v>
      </c>
      <c r="H9" s="77">
        <f t="shared" si="2"/>
        <v>34.702529558622643</v>
      </c>
      <c r="I9" s="77">
        <f t="shared" si="3"/>
        <v>100.86133290999662</v>
      </c>
      <c r="J9" s="81">
        <f t="shared" si="4"/>
        <v>0.86133290999661938</v>
      </c>
    </row>
    <row r="10" spans="2:10" x14ac:dyDescent="0.35">
      <c r="B10" s="29" t="s">
        <v>7</v>
      </c>
      <c r="C10" s="21">
        <v>445106</v>
      </c>
      <c r="D10" s="21">
        <v>429185</v>
      </c>
      <c r="E10" s="77">
        <f t="shared" si="0"/>
        <v>103.70958910493144</v>
      </c>
      <c r="F10" s="77">
        <f t="shared" si="1"/>
        <v>35.896345331096114</v>
      </c>
      <c r="G10" s="77">
        <f t="shared" si="5"/>
        <v>119.95639478084874</v>
      </c>
      <c r="H10" s="77">
        <f t="shared" si="2"/>
        <v>19.95639478084874</v>
      </c>
      <c r="I10" s="77">
        <f t="shared" si="3"/>
        <v>101.2469951568652</v>
      </c>
      <c r="J10" s="81">
        <f t="shared" si="4"/>
        <v>1.2469951568651965</v>
      </c>
    </row>
    <row r="11" spans="2:10" x14ac:dyDescent="0.35">
      <c r="B11" s="29" t="s">
        <v>8</v>
      </c>
      <c r="C11" s="21">
        <v>423287</v>
      </c>
      <c r="D11" s="21">
        <v>377645</v>
      </c>
      <c r="E11" s="77">
        <f t="shared" si="0"/>
        <v>112.08595373962321</v>
      </c>
      <c r="F11" s="77">
        <f t="shared" si="1"/>
        <v>8.3763646346917682</v>
      </c>
      <c r="G11" s="77">
        <f t="shared" si="5"/>
        <v>100.09553469872282</v>
      </c>
      <c r="H11" s="77">
        <f t="shared" si="2"/>
        <v>9.5534698722815392E-2</v>
      </c>
      <c r="I11" s="77">
        <f t="shared" si="3"/>
        <v>100.0557712662727</v>
      </c>
      <c r="J11" s="81">
        <f t="shared" si="4"/>
        <v>5.5771266272699904E-2</v>
      </c>
    </row>
    <row r="12" spans="2:10" x14ac:dyDescent="0.35">
      <c r="B12" s="29" t="s">
        <v>9</v>
      </c>
      <c r="C12" s="21">
        <v>400660</v>
      </c>
      <c r="D12" s="21">
        <v>325684</v>
      </c>
      <c r="E12" s="77">
        <f t="shared" si="0"/>
        <v>123.02108792571941</v>
      </c>
      <c r="F12" s="77">
        <f t="shared" si="1"/>
        <v>10.935134186096207</v>
      </c>
      <c r="G12" s="77">
        <f t="shared" si="5"/>
        <v>105.52209284869618</v>
      </c>
      <c r="H12" s="77">
        <f t="shared" si="2"/>
        <v>5.5220928486961753</v>
      </c>
      <c r="I12" s="77">
        <f t="shared" si="3"/>
        <v>101.24172532830571</v>
      </c>
      <c r="J12" s="81">
        <f t="shared" si="4"/>
        <v>1.241725328305705</v>
      </c>
    </row>
    <row r="13" spans="2:10" x14ac:dyDescent="0.35">
      <c r="B13" s="29" t="s">
        <v>10</v>
      </c>
      <c r="C13" s="21">
        <v>336099</v>
      </c>
      <c r="D13" s="21">
        <v>265734</v>
      </c>
      <c r="E13" s="77">
        <f t="shared" si="0"/>
        <v>126.47948700580281</v>
      </c>
      <c r="F13" s="77">
        <f t="shared" si="1"/>
        <v>3.4583990800833959</v>
      </c>
      <c r="G13" s="77">
        <f t="shared" si="5"/>
        <v>100.17988318770297</v>
      </c>
      <c r="H13" s="77">
        <f t="shared" si="2"/>
        <v>0.17988318770296985</v>
      </c>
      <c r="I13" s="77">
        <f t="shared" si="3"/>
        <v>99.382538287488075</v>
      </c>
      <c r="J13" s="81">
        <f t="shared" si="4"/>
        <v>0.6174617125119255</v>
      </c>
    </row>
    <row r="14" spans="2:10" x14ac:dyDescent="0.35">
      <c r="B14" s="29" t="s">
        <v>11</v>
      </c>
      <c r="C14" s="21">
        <v>270331</v>
      </c>
      <c r="D14" s="21">
        <v>209086</v>
      </c>
      <c r="E14" s="77">
        <f t="shared" si="0"/>
        <v>129.29177467644891</v>
      </c>
      <c r="F14" s="77">
        <f t="shared" si="1"/>
        <v>2.8122876706461</v>
      </c>
      <c r="G14" s="77">
        <f t="shared" si="5"/>
        <v>94.342045797583964</v>
      </c>
      <c r="H14" s="77">
        <f t="shared" si="2"/>
        <v>5.6579542024160361</v>
      </c>
      <c r="I14" s="77">
        <f t="shared" si="3"/>
        <v>92.522479467572921</v>
      </c>
      <c r="J14" s="81">
        <f t="shared" si="4"/>
        <v>7.4775205324270786</v>
      </c>
    </row>
    <row r="15" spans="2:10" x14ac:dyDescent="0.35">
      <c r="B15" s="29" t="s">
        <v>12</v>
      </c>
      <c r="C15" s="21">
        <v>236988</v>
      </c>
      <c r="D15" s="21">
        <v>186234</v>
      </c>
      <c r="E15" s="77">
        <f t="shared" si="0"/>
        <v>127.25281097973517</v>
      </c>
      <c r="F15" s="77">
        <f t="shared" si="1"/>
        <v>2.0389636967137363</v>
      </c>
      <c r="G15" s="77">
        <f t="shared" si="5"/>
        <v>109.25335152778032</v>
      </c>
      <c r="H15" s="77">
        <f t="shared" si="2"/>
        <v>9.2533515277803247</v>
      </c>
      <c r="I15" s="77">
        <f>(D15/(0.5*(D14+D16)))*100</f>
        <v>105.67697235706848</v>
      </c>
      <c r="J15" s="81">
        <f t="shared" si="4"/>
        <v>5.6769723570684789</v>
      </c>
    </row>
    <row r="16" spans="2:10" x14ac:dyDescent="0.35">
      <c r="B16" s="29" t="s">
        <v>13</v>
      </c>
      <c r="C16" s="21">
        <v>163501</v>
      </c>
      <c r="D16" s="21">
        <v>143373</v>
      </c>
      <c r="E16" s="77">
        <f t="shared" si="0"/>
        <v>114.03890551219547</v>
      </c>
      <c r="F16" s="77">
        <f t="shared" si="1"/>
        <v>13.213905467539703</v>
      </c>
      <c r="G16" s="77">
        <f t="shared" si="5"/>
        <v>94.537117878681002</v>
      </c>
      <c r="H16" s="77">
        <f t="shared" si="2"/>
        <v>5.462882121318998</v>
      </c>
      <c r="I16" s="77">
        <f t="shared" si="3"/>
        <v>98.319880951564571</v>
      </c>
      <c r="J16" s="81">
        <f t="shared" si="4"/>
        <v>1.6801190484354294</v>
      </c>
    </row>
    <row r="17" spans="2:10" x14ac:dyDescent="0.35">
      <c r="B17" s="29" t="s">
        <v>14</v>
      </c>
      <c r="C17" s="21">
        <v>108910</v>
      </c>
      <c r="D17" s="21">
        <v>105412</v>
      </c>
      <c r="E17" s="77">
        <f t="shared" si="0"/>
        <v>103.31840777141122</v>
      </c>
      <c r="F17" s="77">
        <f t="shared" si="1"/>
        <v>10.720497740784253</v>
      </c>
      <c r="G17" s="77">
        <f t="shared" si="5"/>
        <v>94.354824736194615</v>
      </c>
      <c r="H17" s="77">
        <f t="shared" si="2"/>
        <v>5.6451752638053847</v>
      </c>
      <c r="I17" s="77">
        <f t="shared" si="3"/>
        <v>96.668791181581838</v>
      </c>
      <c r="J17" s="81">
        <f t="shared" si="4"/>
        <v>3.3312088184181619</v>
      </c>
    </row>
    <row r="18" spans="2:10" x14ac:dyDescent="0.35">
      <c r="B18" s="29" t="s">
        <v>15</v>
      </c>
      <c r="C18" s="21">
        <v>67351</v>
      </c>
      <c r="D18" s="21">
        <v>74716</v>
      </c>
      <c r="E18" s="77">
        <f t="shared" si="0"/>
        <v>90.142673590663307</v>
      </c>
      <c r="F18" s="77">
        <f t="shared" si="1"/>
        <v>13.175734180747909</v>
      </c>
      <c r="G18" s="77">
        <f t="shared" si="5"/>
        <v>92.580603036488725</v>
      </c>
      <c r="H18" s="77">
        <f t="shared" si="2"/>
        <v>7.4193969635112751</v>
      </c>
      <c r="I18" s="77">
        <f>(D18/(0.5*(D17+D19)))*100</f>
        <v>97.215571978765482</v>
      </c>
      <c r="J18" s="81">
        <f t="shared" si="4"/>
        <v>2.7844280212345183</v>
      </c>
    </row>
    <row r="19" spans="2:10" ht="15" thickBot="1" x14ac:dyDescent="0.4">
      <c r="B19" s="82" t="s">
        <v>16</v>
      </c>
      <c r="C19" s="31">
        <v>36587</v>
      </c>
      <c r="D19" s="31">
        <v>48300</v>
      </c>
      <c r="E19" s="83">
        <f t="shared" si="0"/>
        <v>75.749482401656309</v>
      </c>
      <c r="F19" s="83">
        <f>ABS(E19-E18)</f>
        <v>14.393191189006998</v>
      </c>
      <c r="G19" s="83"/>
      <c r="H19" s="83"/>
      <c r="I19" s="83"/>
      <c r="J19" s="84"/>
    </row>
    <row r="20" spans="2:10" x14ac:dyDescent="0.35">
      <c r="B20" s="150" t="s">
        <v>59</v>
      </c>
      <c r="C20">
        <f>SUM(C5:C19)</f>
        <v>6167177</v>
      </c>
      <c r="D20">
        <f t="shared" ref="D20:J20" si="6">SUM(D5:D19)</f>
        <v>5819635</v>
      </c>
      <c r="E20">
        <f t="shared" si="6"/>
        <v>1594.9443141607492</v>
      </c>
      <c r="F20">
        <f t="shared" si="6"/>
        <v>153.82155167017174</v>
      </c>
      <c r="G20">
        <f t="shared" si="6"/>
        <v>1283.7543173833449</v>
      </c>
      <c r="H20">
        <f t="shared" si="6"/>
        <v>118.27473571233045</v>
      </c>
      <c r="I20">
        <f t="shared" si="6"/>
        <v>1288.9144755888194</v>
      </c>
      <c r="J20">
        <f t="shared" si="6"/>
        <v>62.161203416300395</v>
      </c>
    </row>
    <row r="21" spans="2:10" x14ac:dyDescent="0.35">
      <c r="B21" s="150" t="s">
        <v>159</v>
      </c>
      <c r="F21" s="149">
        <f>AVERAGE(F6:F19)</f>
        <v>10.987253690726552</v>
      </c>
      <c r="G21" s="110"/>
      <c r="H21" s="149">
        <f>AVERAGE(H6:H18)</f>
        <v>9.0980565932561888</v>
      </c>
      <c r="I21" s="110"/>
      <c r="J21" s="149">
        <f>AVERAGE(J6:J18)</f>
        <v>4.7816310320231077</v>
      </c>
    </row>
    <row r="22" spans="2:10" x14ac:dyDescent="0.35">
      <c r="F22" s="149" t="s">
        <v>160</v>
      </c>
      <c r="G22" s="110"/>
      <c r="H22" s="149" t="s">
        <v>161</v>
      </c>
      <c r="I22" s="110"/>
      <c r="J22" s="149" t="s">
        <v>162</v>
      </c>
    </row>
    <row r="25" spans="2:10" x14ac:dyDescent="0.35">
      <c r="E25" s="226" t="s">
        <v>163</v>
      </c>
      <c r="F25" s="164"/>
      <c r="G25" s="164"/>
    </row>
    <row r="27" spans="2:10" x14ac:dyDescent="0.35">
      <c r="F27">
        <f>3*F21+H21+J21</f>
        <v>46.841448697458951</v>
      </c>
    </row>
  </sheetData>
  <mergeCells count="2">
    <mergeCell ref="C3:D3"/>
    <mergeCell ref="E25:G25"/>
  </mergeCells>
  <pageMargins left="0.7" right="0.7" top="0.75" bottom="0.75" header="0.3" footer="0.3"/>
  <ignoredErrors>
    <ignoredError sqref="I6:I18" 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2"/>
  <sheetViews>
    <sheetView tabSelected="1" topLeftCell="A4" workbookViewId="0">
      <selection activeCell="K22" sqref="K22"/>
    </sheetView>
  </sheetViews>
  <sheetFormatPr defaultRowHeight="14.5" x14ac:dyDescent="0.35"/>
  <cols>
    <col min="2" max="2" width="9.6328125" bestFit="1" customWidth="1"/>
    <col min="3" max="3" width="14.26953125" customWidth="1"/>
    <col min="4" max="4" width="16.54296875" customWidth="1"/>
    <col min="5" max="5" width="13.90625" customWidth="1"/>
    <col min="6" max="6" width="14.26953125" bestFit="1" customWidth="1"/>
    <col min="7" max="8" width="9.81640625" bestFit="1" customWidth="1"/>
  </cols>
  <sheetData>
    <row r="2" spans="2:13" ht="15" thickBot="1" x14ac:dyDescent="0.4"/>
    <row r="3" spans="2:13" ht="29" customHeight="1" x14ac:dyDescent="0.35">
      <c r="B3" s="158" t="s">
        <v>0</v>
      </c>
      <c r="C3" s="159" t="s">
        <v>167</v>
      </c>
      <c r="D3" s="159" t="s">
        <v>166</v>
      </c>
      <c r="E3" s="159" t="s">
        <v>165</v>
      </c>
      <c r="F3" s="160" t="s">
        <v>164</v>
      </c>
      <c r="G3" s="110" t="s">
        <v>168</v>
      </c>
      <c r="H3" s="110" t="s">
        <v>169</v>
      </c>
    </row>
    <row r="4" spans="2:13" x14ac:dyDescent="0.35">
      <c r="B4" s="29" t="s">
        <v>45</v>
      </c>
      <c r="C4" s="21">
        <v>5112</v>
      </c>
      <c r="D4" s="21">
        <v>9.5</v>
      </c>
      <c r="E4" s="21">
        <v>10419</v>
      </c>
      <c r="F4" s="30">
        <v>31.3</v>
      </c>
      <c r="G4">
        <f>F4*C4</f>
        <v>160005.6</v>
      </c>
      <c r="H4">
        <f>D4*E4</f>
        <v>98980.5</v>
      </c>
      <c r="J4" s="164" t="s">
        <v>172</v>
      </c>
      <c r="K4" s="164"/>
    </row>
    <row r="5" spans="2:13" x14ac:dyDescent="0.35">
      <c r="B5" s="29" t="s">
        <v>76</v>
      </c>
      <c r="C5" s="21">
        <v>17209</v>
      </c>
      <c r="D5" s="21">
        <v>27</v>
      </c>
      <c r="E5" s="21">
        <v>16770</v>
      </c>
      <c r="F5" s="30">
        <v>2.5</v>
      </c>
      <c r="G5">
        <f t="shared" ref="G5:G20" si="0">F5*C5</f>
        <v>43022.5</v>
      </c>
      <c r="H5">
        <f t="shared" ref="H5:H20" si="1">D5*E5</f>
        <v>452790</v>
      </c>
      <c r="J5" t="s">
        <v>173</v>
      </c>
      <c r="K5">
        <v>706599</v>
      </c>
    </row>
    <row r="6" spans="2:13" x14ac:dyDescent="0.35">
      <c r="B6" s="29" t="s">
        <v>3</v>
      </c>
      <c r="C6" s="21">
        <v>19692</v>
      </c>
      <c r="D6" s="21">
        <v>1.1000000000000001</v>
      </c>
      <c r="E6" s="21">
        <v>6268</v>
      </c>
      <c r="F6" s="30">
        <v>0.9</v>
      </c>
      <c r="G6">
        <f t="shared" si="0"/>
        <v>17722.8</v>
      </c>
      <c r="H6">
        <f t="shared" si="1"/>
        <v>6894.8</v>
      </c>
      <c r="J6" t="s">
        <v>174</v>
      </c>
      <c r="K6">
        <v>9.5</v>
      </c>
    </row>
    <row r="7" spans="2:13" x14ac:dyDescent="0.35">
      <c r="B7" s="29" t="s">
        <v>4</v>
      </c>
      <c r="C7" s="21">
        <v>17773</v>
      </c>
      <c r="D7" s="21">
        <v>0.5</v>
      </c>
      <c r="E7" s="21">
        <v>9502</v>
      </c>
      <c r="F7" s="30">
        <v>0.5</v>
      </c>
      <c r="G7">
        <f t="shared" si="0"/>
        <v>8886.5</v>
      </c>
      <c r="H7">
        <f t="shared" si="1"/>
        <v>4751</v>
      </c>
    </row>
    <row r="8" spans="2:13" x14ac:dyDescent="0.35">
      <c r="B8" s="29" t="s">
        <v>5</v>
      </c>
      <c r="C8" s="21">
        <v>14219</v>
      </c>
      <c r="D8" s="21">
        <v>0.4</v>
      </c>
      <c r="E8" s="21">
        <v>11018</v>
      </c>
      <c r="F8" s="30">
        <v>1.1000000000000001</v>
      </c>
      <c r="G8">
        <f t="shared" si="0"/>
        <v>15640.900000000001</v>
      </c>
      <c r="H8">
        <f t="shared" si="1"/>
        <v>4407.2</v>
      </c>
      <c r="J8" s="164" t="s">
        <v>175</v>
      </c>
      <c r="K8" s="164"/>
      <c r="L8" s="164"/>
      <c r="M8">
        <f>(G21/C21)*100</f>
        <v>1121.0374096857881</v>
      </c>
    </row>
    <row r="9" spans="2:13" x14ac:dyDescent="0.35">
      <c r="B9" s="29" t="s">
        <v>6</v>
      </c>
      <c r="C9" s="21">
        <v>11801</v>
      </c>
      <c r="D9" s="21">
        <v>0.9</v>
      </c>
      <c r="E9" s="21">
        <v>9503</v>
      </c>
      <c r="F9" s="30">
        <v>1.7</v>
      </c>
      <c r="G9">
        <f t="shared" si="0"/>
        <v>20061.7</v>
      </c>
      <c r="H9">
        <f t="shared" si="1"/>
        <v>8552.7000000000007</v>
      </c>
      <c r="J9" s="164" t="s">
        <v>176</v>
      </c>
      <c r="K9" s="164"/>
      <c r="L9" s="164"/>
      <c r="M9">
        <f>(K5/H21)*K6</f>
        <v>5.0123028475493756</v>
      </c>
    </row>
    <row r="10" spans="2:13" x14ac:dyDescent="0.35">
      <c r="B10" s="29" t="s">
        <v>7</v>
      </c>
      <c r="C10" s="21">
        <v>11896</v>
      </c>
      <c r="D10" s="21">
        <v>1.2</v>
      </c>
      <c r="E10" s="21">
        <v>8320</v>
      </c>
      <c r="F10" s="30">
        <v>1.9</v>
      </c>
      <c r="G10">
        <f t="shared" si="0"/>
        <v>22602.399999999998</v>
      </c>
      <c r="H10">
        <f t="shared" si="1"/>
        <v>9984</v>
      </c>
      <c r="J10" s="177" t="s">
        <v>177</v>
      </c>
      <c r="K10" s="177"/>
      <c r="L10" s="177"/>
      <c r="M10" s="164">
        <f>(2*ABS(C21-E21)*100)/(C21+E21)</f>
        <v>44.625237344318215</v>
      </c>
    </row>
    <row r="11" spans="2:13" x14ac:dyDescent="0.35">
      <c r="B11" s="29" t="s">
        <v>8</v>
      </c>
      <c r="C11" s="21">
        <v>12949</v>
      </c>
      <c r="D11" s="21">
        <v>1.3</v>
      </c>
      <c r="E11" s="21">
        <v>8510</v>
      </c>
      <c r="F11" s="30">
        <v>2.1</v>
      </c>
      <c r="G11">
        <f t="shared" si="0"/>
        <v>27192.9</v>
      </c>
      <c r="H11">
        <f t="shared" si="1"/>
        <v>11063</v>
      </c>
      <c r="J11" s="177"/>
      <c r="K11" s="177"/>
      <c r="L11" s="177"/>
      <c r="M11" s="164"/>
    </row>
    <row r="12" spans="2:13" x14ac:dyDescent="0.35">
      <c r="B12" s="29" t="s">
        <v>9</v>
      </c>
      <c r="C12" s="21">
        <v>13481</v>
      </c>
      <c r="D12" s="21">
        <v>1.6</v>
      </c>
      <c r="E12" s="21">
        <v>7618</v>
      </c>
      <c r="F12" s="30">
        <v>2.6</v>
      </c>
      <c r="G12">
        <f t="shared" si="0"/>
        <v>35050.6</v>
      </c>
      <c r="H12">
        <f t="shared" si="1"/>
        <v>12188.800000000001</v>
      </c>
    </row>
    <row r="13" spans="2:13" x14ac:dyDescent="0.35">
      <c r="B13" s="29" t="s">
        <v>10</v>
      </c>
      <c r="C13" s="21">
        <v>12601</v>
      </c>
      <c r="D13" s="21">
        <v>2.2999999999999998</v>
      </c>
      <c r="E13" s="21">
        <v>7308</v>
      </c>
      <c r="F13" s="30">
        <v>3.5</v>
      </c>
      <c r="G13">
        <f t="shared" si="0"/>
        <v>44103.5</v>
      </c>
      <c r="H13">
        <f t="shared" si="1"/>
        <v>16808.399999999998</v>
      </c>
    </row>
    <row r="14" spans="2:13" x14ac:dyDescent="0.35">
      <c r="B14" s="29" t="s">
        <v>11</v>
      </c>
      <c r="C14" s="21">
        <v>11879</v>
      </c>
      <c r="D14" s="21">
        <v>3.7</v>
      </c>
      <c r="E14" s="21">
        <v>6015</v>
      </c>
      <c r="F14" s="30">
        <v>5.3</v>
      </c>
      <c r="G14">
        <f t="shared" si="0"/>
        <v>62958.7</v>
      </c>
      <c r="H14">
        <f t="shared" si="1"/>
        <v>22255.5</v>
      </c>
    </row>
    <row r="15" spans="2:13" x14ac:dyDescent="0.35">
      <c r="B15" s="29" t="s">
        <v>12</v>
      </c>
      <c r="C15" s="21">
        <v>10600</v>
      </c>
      <c r="D15" s="21">
        <v>5.9</v>
      </c>
      <c r="E15" s="21">
        <v>4817</v>
      </c>
      <c r="F15" s="30">
        <v>18.399999999999999</v>
      </c>
      <c r="G15">
        <f t="shared" si="0"/>
        <v>195039.99999999997</v>
      </c>
      <c r="H15">
        <f t="shared" si="1"/>
        <v>28420.300000000003</v>
      </c>
    </row>
    <row r="16" spans="2:13" x14ac:dyDescent="0.35">
      <c r="B16" s="29" t="s">
        <v>13</v>
      </c>
      <c r="C16" s="21">
        <v>8530</v>
      </c>
      <c r="D16" s="21">
        <v>9.4</v>
      </c>
      <c r="E16" s="21">
        <v>4201</v>
      </c>
      <c r="F16" s="30">
        <v>23.4</v>
      </c>
      <c r="G16">
        <f t="shared" si="0"/>
        <v>199602</v>
      </c>
      <c r="H16">
        <f t="shared" si="1"/>
        <v>39489.4</v>
      </c>
    </row>
    <row r="17" spans="2:8" x14ac:dyDescent="0.35">
      <c r="B17" s="29" t="s">
        <v>14</v>
      </c>
      <c r="C17" s="21">
        <v>7245</v>
      </c>
      <c r="D17" s="21">
        <v>113.8</v>
      </c>
      <c r="E17" s="21">
        <v>3641</v>
      </c>
      <c r="F17" s="30">
        <v>35.1</v>
      </c>
      <c r="G17">
        <f t="shared" si="0"/>
        <v>254299.5</v>
      </c>
      <c r="H17">
        <f t="shared" si="1"/>
        <v>414345.8</v>
      </c>
    </row>
    <row r="18" spans="2:8" x14ac:dyDescent="0.35">
      <c r="B18" s="29" t="s">
        <v>15</v>
      </c>
      <c r="C18" s="21">
        <v>6558</v>
      </c>
      <c r="D18" s="21">
        <v>21.5</v>
      </c>
      <c r="E18" s="21">
        <v>3032</v>
      </c>
      <c r="F18" s="30">
        <v>54.4</v>
      </c>
      <c r="G18">
        <f t="shared" si="0"/>
        <v>356755.20000000001</v>
      </c>
      <c r="H18">
        <f t="shared" si="1"/>
        <v>65188</v>
      </c>
    </row>
    <row r="19" spans="2:8" x14ac:dyDescent="0.35">
      <c r="B19" s="29" t="s">
        <v>16</v>
      </c>
      <c r="C19" s="21">
        <v>4832</v>
      </c>
      <c r="D19" s="21">
        <v>31.4</v>
      </c>
      <c r="E19" s="21">
        <v>2165</v>
      </c>
      <c r="F19" s="30">
        <v>66.2</v>
      </c>
      <c r="G19">
        <f t="shared" si="0"/>
        <v>319878.40000000002</v>
      </c>
      <c r="H19">
        <f t="shared" si="1"/>
        <v>67981</v>
      </c>
    </row>
    <row r="20" spans="2:8" ht="15" thickBot="1" x14ac:dyDescent="0.4">
      <c r="B20" s="82" t="s">
        <v>17</v>
      </c>
      <c r="C20" s="31">
        <v>3654</v>
      </c>
      <c r="D20" s="31">
        <v>47.2</v>
      </c>
      <c r="E20" s="31">
        <v>1592</v>
      </c>
      <c r="F20" s="56">
        <v>95.1</v>
      </c>
      <c r="G20">
        <f t="shared" si="0"/>
        <v>347495.39999999997</v>
      </c>
      <c r="H20">
        <f t="shared" si="1"/>
        <v>75142.400000000009</v>
      </c>
    </row>
    <row r="21" spans="2:8" x14ac:dyDescent="0.35">
      <c r="B21" s="98" t="s">
        <v>59</v>
      </c>
      <c r="C21">
        <f>SUM(C4:C20)</f>
        <v>190031</v>
      </c>
      <c r="E21">
        <f t="shared" ref="E21" si="2">SUM(E4:E20)</f>
        <v>120699</v>
      </c>
      <c r="G21" s="161">
        <f t="shared" ref="G21:H21" si="3">SUM(G4:G20)</f>
        <v>2130318.6</v>
      </c>
      <c r="H21" s="161">
        <f t="shared" si="3"/>
        <v>1339242.8</v>
      </c>
    </row>
    <row r="22" spans="2:8" x14ac:dyDescent="0.35">
      <c r="G22" s="162" t="s">
        <v>170</v>
      </c>
      <c r="H22" t="s">
        <v>171</v>
      </c>
    </row>
  </sheetData>
  <mergeCells count="5">
    <mergeCell ref="J8:L8"/>
    <mergeCell ref="J9:L9"/>
    <mergeCell ref="J10:L11"/>
    <mergeCell ref="M10:M11"/>
    <mergeCell ref="J4:K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Pyramid</vt:lpstr>
      <vt:lpstr>CBR, CDR</vt:lpstr>
      <vt:lpstr>Life Table</vt:lpstr>
      <vt:lpstr>Gini Ratio</vt:lpstr>
      <vt:lpstr>SMAM</vt:lpstr>
      <vt:lpstr>Migration</vt:lpstr>
      <vt:lpstr>UN age sex</vt:lpstr>
      <vt:lpstr>Standardization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Sujaul</dc:creator>
  <cp:lastModifiedBy>Sujaul</cp:lastModifiedBy>
  <dcterms:created xsi:type="dcterms:W3CDTF">2022-12-04T12:26:12Z</dcterms:created>
  <dcterms:modified xsi:type="dcterms:W3CDTF">2023-02-28T17:48:10Z</dcterms:modified>
</cp:coreProperties>
</file>