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/Documents/CFRM 462/HW7/"/>
    </mc:Choice>
  </mc:AlternateContent>
  <bookViews>
    <workbookView xWindow="0" yWindow="460" windowWidth="25600" windowHeight="14560" tabRatio="500" activeTab="1"/>
  </bookViews>
  <sheets>
    <sheet name="Data" sheetId="1" r:id="rId1"/>
    <sheet name="Sheet1" sheetId="2" r:id="rId2"/>
  </sheets>
  <definedNames>
    <definedName name="solver_adj" localSheetId="1" hidden="1">Sheet1!$C$95:$C$98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100</definedName>
    <definedName name="solver_lhs1" localSheetId="1" hidden="1">Sheet1!$D$95</definedName>
    <definedName name="solver_lhs2" localSheetId="1" hidden="1">Sheet1!$F$95</definedName>
    <definedName name="solver_lhs3" localSheetId="1" hidden="1">Sheet1!$F$95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opt" localSheetId="1" hidden="1">Sheet1!$G$95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hs1" localSheetId="1" hidden="1">1</definedName>
    <definedName name="solver_rhs2" localSheetId="1" hidden="1">Sheet1!$E$95</definedName>
    <definedName name="solver_rhs3" localSheetId="1" hidden="1">Sheet1!$E$95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5" i="2"/>
  <c r="D202" i="2"/>
  <c r="F3" i="2"/>
  <c r="F5" i="2"/>
  <c r="E202" i="2"/>
  <c r="G3" i="2"/>
  <c r="G5" i="2"/>
  <c r="F202" i="2"/>
  <c r="D3" i="2"/>
  <c r="D5" i="2"/>
  <c r="C202" i="2"/>
  <c r="C201" i="2"/>
  <c r="D201" i="2"/>
  <c r="E201" i="2"/>
  <c r="F201" i="2"/>
  <c r="D191" i="2"/>
  <c r="G151" i="2" a="1"/>
  <c r="G151" i="2"/>
  <c r="B191" i="2"/>
  <c r="C191" i="2"/>
  <c r="B171" i="2"/>
  <c r="B172" i="2"/>
  <c r="D172" i="2"/>
  <c r="B173" i="2"/>
  <c r="D173" i="2"/>
  <c r="B174" i="2"/>
  <c r="D174" i="2"/>
  <c r="B175" i="2"/>
  <c r="D175" i="2"/>
  <c r="B176" i="2"/>
  <c r="D176" i="2"/>
  <c r="B177" i="2"/>
  <c r="D177" i="2"/>
  <c r="B178" i="2"/>
  <c r="D178" i="2"/>
  <c r="B179" i="2"/>
  <c r="D179" i="2"/>
  <c r="B180" i="2"/>
  <c r="D180" i="2"/>
  <c r="B181" i="2"/>
  <c r="D181" i="2"/>
  <c r="B182" i="2"/>
  <c r="D182" i="2"/>
  <c r="B183" i="2"/>
  <c r="D183" i="2"/>
  <c r="B184" i="2"/>
  <c r="D184" i="2"/>
  <c r="B185" i="2"/>
  <c r="D185" i="2"/>
  <c r="B186" i="2"/>
  <c r="D186" i="2"/>
  <c r="B187" i="2"/>
  <c r="D187" i="2"/>
  <c r="D171" i="2"/>
  <c r="D170" i="2"/>
  <c r="G161" i="2" a="1"/>
  <c r="G161" i="2"/>
  <c r="E165" i="2"/>
  <c r="E155" i="2"/>
  <c r="B106" i="2"/>
  <c r="E85" i="2" a="1"/>
  <c r="E85" i="2"/>
  <c r="C106" i="2"/>
  <c r="G69" i="2" a="1"/>
  <c r="G69" i="2"/>
  <c r="C75" i="2" a="1"/>
  <c r="C75" i="2"/>
  <c r="E106" i="2"/>
  <c r="F106" i="2"/>
  <c r="B107" i="2"/>
  <c r="C107" i="2"/>
  <c r="E107" i="2"/>
  <c r="F107" i="2"/>
  <c r="B108" i="2"/>
  <c r="C108" i="2"/>
  <c r="E108" i="2"/>
  <c r="F108" i="2"/>
  <c r="B109" i="2"/>
  <c r="C109" i="2"/>
  <c r="E109" i="2"/>
  <c r="F109" i="2"/>
  <c r="B110" i="2"/>
  <c r="C110" i="2"/>
  <c r="E110" i="2"/>
  <c r="F110" i="2"/>
  <c r="B111" i="2"/>
  <c r="C111" i="2"/>
  <c r="E111" i="2"/>
  <c r="F111" i="2"/>
  <c r="B112" i="2"/>
  <c r="C112" i="2"/>
  <c r="E112" i="2"/>
  <c r="F112" i="2"/>
  <c r="B113" i="2"/>
  <c r="C113" i="2"/>
  <c r="E113" i="2"/>
  <c r="F113" i="2"/>
  <c r="B114" i="2"/>
  <c r="C114" i="2"/>
  <c r="E114" i="2"/>
  <c r="F114" i="2"/>
  <c r="C115" i="2"/>
  <c r="E115" i="2"/>
  <c r="F115" i="2"/>
  <c r="B116" i="2"/>
  <c r="C116" i="2"/>
  <c r="E116" i="2"/>
  <c r="F116" i="2"/>
  <c r="B117" i="2"/>
  <c r="C117" i="2"/>
  <c r="E117" i="2"/>
  <c r="F117" i="2"/>
  <c r="B118" i="2"/>
  <c r="C118" i="2"/>
  <c r="E118" i="2"/>
  <c r="F118" i="2"/>
  <c r="B119" i="2"/>
  <c r="C119" i="2"/>
  <c r="E119" i="2"/>
  <c r="F119" i="2"/>
  <c r="B120" i="2"/>
  <c r="C120" i="2"/>
  <c r="E120" i="2"/>
  <c r="F120" i="2"/>
  <c r="B121" i="2"/>
  <c r="C121" i="2"/>
  <c r="E121" i="2"/>
  <c r="F121" i="2"/>
  <c r="B122" i="2"/>
  <c r="C122" i="2"/>
  <c r="E122" i="2"/>
  <c r="F122" i="2"/>
  <c r="B123" i="2"/>
  <c r="C123" i="2"/>
  <c r="E123" i="2"/>
  <c r="F123" i="2"/>
  <c r="B124" i="2"/>
  <c r="C124" i="2"/>
  <c r="E124" i="2"/>
  <c r="F124" i="2"/>
  <c r="B125" i="2"/>
  <c r="C125" i="2"/>
  <c r="E125" i="2"/>
  <c r="F125" i="2"/>
  <c r="C105" i="2"/>
  <c r="E105" i="2"/>
  <c r="F105" i="2"/>
  <c r="G105" i="2" a="1"/>
  <c r="I105" i="2"/>
  <c r="H105" i="2"/>
  <c r="G105" i="2"/>
  <c r="J105" i="2"/>
  <c r="G106" i="2" a="1"/>
  <c r="I106" i="2"/>
  <c r="H106" i="2"/>
  <c r="G106" i="2"/>
  <c r="J106" i="2"/>
  <c r="G107" i="2" a="1"/>
  <c r="I107" i="2"/>
  <c r="H107" i="2"/>
  <c r="G107" i="2"/>
  <c r="J107" i="2"/>
  <c r="G108" i="2" a="1"/>
  <c r="I108" i="2"/>
  <c r="H108" i="2"/>
  <c r="G108" i="2"/>
  <c r="J108" i="2"/>
  <c r="G109" i="2" a="1"/>
  <c r="I109" i="2"/>
  <c r="H109" i="2"/>
  <c r="G109" i="2"/>
  <c r="J109" i="2"/>
  <c r="G110" i="2" a="1"/>
  <c r="I110" i="2"/>
  <c r="H110" i="2"/>
  <c r="G110" i="2"/>
  <c r="J110" i="2"/>
  <c r="G111" i="2" a="1"/>
  <c r="I111" i="2"/>
  <c r="H111" i="2"/>
  <c r="G111" i="2"/>
  <c r="J111" i="2"/>
  <c r="G112" i="2" a="1"/>
  <c r="I112" i="2"/>
  <c r="H112" i="2"/>
  <c r="G112" i="2"/>
  <c r="J112" i="2"/>
  <c r="G113" i="2" a="1"/>
  <c r="I113" i="2"/>
  <c r="H113" i="2"/>
  <c r="G113" i="2"/>
  <c r="J113" i="2"/>
  <c r="G114" i="2" a="1"/>
  <c r="I114" i="2"/>
  <c r="H114" i="2"/>
  <c r="G114" i="2"/>
  <c r="J114" i="2"/>
  <c r="G115" i="2" a="1"/>
  <c r="I115" i="2"/>
  <c r="H115" i="2"/>
  <c r="G115" i="2"/>
  <c r="J115" i="2"/>
  <c r="G116" i="2" a="1"/>
  <c r="I116" i="2"/>
  <c r="H116" i="2"/>
  <c r="G116" i="2"/>
  <c r="J116" i="2"/>
  <c r="G117" i="2" a="1"/>
  <c r="I117" i="2"/>
  <c r="H117" i="2"/>
  <c r="G117" i="2"/>
  <c r="J117" i="2"/>
  <c r="G118" i="2" a="1"/>
  <c r="I118" i="2"/>
  <c r="H118" i="2"/>
  <c r="G118" i="2"/>
  <c r="J118" i="2"/>
  <c r="G119" i="2" a="1"/>
  <c r="I119" i="2"/>
  <c r="H119" i="2"/>
  <c r="G119" i="2"/>
  <c r="J119" i="2"/>
  <c r="G120" i="2" a="1"/>
  <c r="I120" i="2"/>
  <c r="H120" i="2"/>
  <c r="G120" i="2"/>
  <c r="J120" i="2"/>
  <c r="G121" i="2" a="1"/>
  <c r="I121" i="2"/>
  <c r="H121" i="2"/>
  <c r="G121" i="2"/>
  <c r="J121" i="2"/>
  <c r="G122" i="2" a="1"/>
  <c r="I122" i="2"/>
  <c r="H122" i="2"/>
  <c r="G122" i="2"/>
  <c r="J122" i="2"/>
  <c r="G123" i="2" a="1"/>
  <c r="I123" i="2"/>
  <c r="H123" i="2"/>
  <c r="G123" i="2"/>
  <c r="J123" i="2"/>
  <c r="G124" i="2" a="1"/>
  <c r="I124" i="2"/>
  <c r="H124" i="2"/>
  <c r="G124" i="2"/>
  <c r="J124" i="2"/>
  <c r="G125" i="2" a="1"/>
  <c r="I125" i="2"/>
  <c r="H125" i="2"/>
  <c r="G125" i="2"/>
  <c r="J125" i="2"/>
  <c r="C101" i="2" a="1"/>
  <c r="C101" i="2"/>
  <c r="G95" i="2" a="1"/>
  <c r="G95" i="2"/>
  <c r="H95" i="2"/>
  <c r="D95" i="2"/>
  <c r="C91" i="2"/>
  <c r="D85" i="2"/>
  <c r="C82" i="2"/>
  <c r="C81" i="2"/>
  <c r="C80" i="2"/>
  <c r="C79" i="2"/>
  <c r="H69" i="2"/>
  <c r="D69" i="2"/>
  <c r="E59" i="2" a="1"/>
  <c r="E59" i="2"/>
  <c r="C65" i="2"/>
  <c r="D59" i="2"/>
  <c r="F12" i="2"/>
  <c r="E12" i="2"/>
  <c r="D12" i="2"/>
  <c r="G12" i="2"/>
  <c r="D4" i="2"/>
  <c r="C56" i="2"/>
  <c r="C55" i="2"/>
  <c r="C54" i="2"/>
  <c r="C53" i="2"/>
  <c r="E4" i="2"/>
  <c r="F4" i="2"/>
  <c r="G4" i="2"/>
  <c r="D10" i="2"/>
  <c r="E10" i="2"/>
  <c r="F10" i="2"/>
  <c r="G10" i="2"/>
  <c r="D11" i="2"/>
  <c r="E11" i="2"/>
  <c r="F11" i="2"/>
  <c r="G11" i="2"/>
  <c r="D13" i="2"/>
  <c r="E13" i="2"/>
  <c r="F13" i="2"/>
  <c r="G13" i="2"/>
  <c r="D18" i="2"/>
  <c r="E18" i="2"/>
  <c r="F18" i="2"/>
  <c r="G18" i="2"/>
  <c r="D19" i="2"/>
  <c r="E19" i="2"/>
  <c r="F19" i="2"/>
  <c r="G19" i="2"/>
  <c r="D20" i="2"/>
  <c r="E20" i="2"/>
  <c r="F20" i="2"/>
  <c r="G20" i="2"/>
  <c r="D21" i="2"/>
  <c r="E21" i="2"/>
  <c r="F21" i="2"/>
  <c r="G21" i="2"/>
  <c r="D26" i="2"/>
  <c r="E26" i="2"/>
  <c r="F26" i="2"/>
  <c r="G26" i="2"/>
  <c r="D27" i="2"/>
  <c r="E27" i="2"/>
  <c r="F27" i="2"/>
  <c r="G27" i="2"/>
  <c r="D28" i="2"/>
  <c r="E28" i="2"/>
  <c r="F28" i="2"/>
  <c r="G28" i="2"/>
  <c r="D48" i="2"/>
  <c r="E48" i="2"/>
  <c r="F48" i="2"/>
  <c r="G48" i="2"/>
  <c r="C90" i="2"/>
  <c r="F95" i="2"/>
  <c r="F69" i="2"/>
  <c r="D105" i="2" a="1"/>
  <c r="D105" i="2"/>
  <c r="D125" i="2" a="1"/>
  <c r="D125" i="2"/>
  <c r="D124" i="2" a="1"/>
  <c r="D124" i="2"/>
  <c r="D123" i="2" a="1"/>
  <c r="D123" i="2"/>
  <c r="D122" i="2" a="1"/>
  <c r="D122" i="2"/>
  <c r="D121" i="2" a="1"/>
  <c r="D121" i="2"/>
  <c r="D120" i="2" a="1"/>
  <c r="D120" i="2"/>
  <c r="D119" i="2" a="1"/>
  <c r="D119" i="2"/>
  <c r="D118" i="2" a="1"/>
  <c r="D118" i="2"/>
  <c r="D117" i="2" a="1"/>
  <c r="D117" i="2"/>
  <c r="D116" i="2" a="1"/>
  <c r="D116" i="2"/>
  <c r="D115" i="2" a="1"/>
  <c r="D115" i="2"/>
  <c r="D114" i="2" a="1"/>
  <c r="D114" i="2"/>
  <c r="D113" i="2" a="1"/>
  <c r="D113" i="2"/>
  <c r="D112" i="2" a="1"/>
  <c r="D112" i="2"/>
  <c r="D111" i="2" a="1"/>
  <c r="D111" i="2"/>
  <c r="D110" i="2" a="1"/>
  <c r="D110" i="2"/>
  <c r="D109" i="2" a="1"/>
  <c r="D109" i="2"/>
  <c r="D108" i="2" a="1"/>
  <c r="D108" i="2"/>
  <c r="D107" i="2" a="1"/>
  <c r="D107" i="2"/>
  <c r="D106" i="2" a="1"/>
  <c r="D106" i="2"/>
  <c r="F151" i="2" a="1"/>
  <c r="F151" i="2"/>
  <c r="H151" i="2"/>
  <c r="F161" i="2"/>
  <c r="H161" i="2"/>
  <c r="C170" i="2"/>
  <c r="C171" i="2"/>
  <c r="E171" i="2"/>
  <c r="C187" i="2"/>
  <c r="E187" i="2"/>
  <c r="C186" i="2"/>
  <c r="E186" i="2"/>
  <c r="C185" i="2"/>
  <c r="E185" i="2"/>
  <c r="C184" i="2"/>
  <c r="E184" i="2"/>
  <c r="C183" i="2"/>
  <c r="E183" i="2"/>
  <c r="C182" i="2"/>
  <c r="E182" i="2"/>
  <c r="C181" i="2"/>
  <c r="E181" i="2"/>
  <c r="C180" i="2"/>
  <c r="E180" i="2"/>
  <c r="C179" i="2"/>
  <c r="E179" i="2"/>
  <c r="C178" i="2"/>
  <c r="E178" i="2"/>
  <c r="C177" i="2"/>
  <c r="E177" i="2"/>
  <c r="C176" i="2"/>
  <c r="E176" i="2"/>
  <c r="C175" i="2"/>
  <c r="E175" i="2"/>
  <c r="C174" i="2"/>
  <c r="E174" i="2"/>
  <c r="C173" i="2"/>
  <c r="E173" i="2"/>
  <c r="C172" i="2"/>
  <c r="E172" i="2"/>
  <c r="C64" i="2"/>
  <c r="G202" i="2"/>
  <c r="G201" i="2"/>
</calcChain>
</file>

<file path=xl/sharedStrings.xml><?xml version="1.0" encoding="utf-8"?>
<sst xmlns="http://schemas.openxmlformats.org/spreadsheetml/2006/main" count="186" uniqueCount="69">
  <si>
    <t>Date</t>
  </si>
  <si>
    <t>Boeing</t>
  </si>
  <si>
    <t>Nordstrom</t>
  </si>
  <si>
    <t>Starbucks</t>
  </si>
  <si>
    <t>Microsoft</t>
  </si>
  <si>
    <t>Mu</t>
  </si>
  <si>
    <t>Var</t>
  </si>
  <si>
    <t>SD</t>
  </si>
  <si>
    <t>Covariance</t>
  </si>
  <si>
    <t>Correlation</t>
  </si>
  <si>
    <t>SE(mu)</t>
  </si>
  <si>
    <t>SE(Var)</t>
  </si>
  <si>
    <t>SE(SD)</t>
  </si>
  <si>
    <t>SR</t>
  </si>
  <si>
    <t>rf</t>
  </si>
  <si>
    <t>Q1</t>
  </si>
  <si>
    <t>Q2</t>
  </si>
  <si>
    <t>a)</t>
  </si>
  <si>
    <t>Mu Vector</t>
  </si>
  <si>
    <t>Q3</t>
  </si>
  <si>
    <t>Sigma</t>
  </si>
  <si>
    <t>asset</t>
  </si>
  <si>
    <t>mvec</t>
  </si>
  <si>
    <t>Constraint</t>
  </si>
  <si>
    <t>Var(Rp,m)</t>
  </si>
  <si>
    <t>SD[Gmin]</t>
  </si>
  <si>
    <t>E[Gmin]</t>
  </si>
  <si>
    <t>Q4</t>
  </si>
  <si>
    <t>Vector</t>
  </si>
  <si>
    <t>E[x]</t>
  </si>
  <si>
    <t>Target Return</t>
  </si>
  <si>
    <t>Var(Rp,v)</t>
  </si>
  <si>
    <t>Q5</t>
  </si>
  <si>
    <t>Q6</t>
  </si>
  <si>
    <t>a</t>
  </si>
  <si>
    <t>1-a</t>
  </si>
  <si>
    <t>E[R]</t>
  </si>
  <si>
    <t>Q7</t>
  </si>
  <si>
    <t>Q8</t>
  </si>
  <si>
    <t>Asset</t>
  </si>
  <si>
    <t>E[r] - rf</t>
  </si>
  <si>
    <t>Slope</t>
  </si>
  <si>
    <t>Q9</t>
  </si>
  <si>
    <t>Q10</t>
  </si>
  <si>
    <t>Tangency + T Bills</t>
  </si>
  <si>
    <t>x</t>
  </si>
  <si>
    <t>Sd[X]</t>
  </si>
  <si>
    <t>Q11</t>
  </si>
  <si>
    <t>Q12</t>
  </si>
  <si>
    <t>1% Var</t>
  </si>
  <si>
    <t>5% Var</t>
  </si>
  <si>
    <t>E[x}</t>
  </si>
  <si>
    <t>SD[x]</t>
  </si>
  <si>
    <t>$</t>
  </si>
  <si>
    <t>Gmin</t>
  </si>
  <si>
    <t>The SE(mu) for starbucks is the largest, this is due to the largest SD. If we had more observations, we could reduce this error.</t>
  </si>
  <si>
    <t>The SE's for boeing are the lowest for the opposite reason, it has the lowest SD</t>
  </si>
  <si>
    <t>Here it is not clear that there is a clear risk and return tradeoff</t>
  </si>
  <si>
    <t>As risk goes up returns do not go up in a linear fashion</t>
  </si>
  <si>
    <t>This is a sign we can get better returns for the same amount of risk</t>
  </si>
  <si>
    <t>Microsoft has the highest Sharpe Ratio</t>
  </si>
  <si>
    <t>Boeing is liekly heavily weighted because it has the lowest standard deviation</t>
  </si>
  <si>
    <t>The next most weight is in microsoft likely because it has the highest return</t>
  </si>
  <si>
    <t>The other two help diversify the returns, by investing in different sectors</t>
  </si>
  <si>
    <t>To achieve the same return, without shortselling we would invest in the asset (MSFT)</t>
  </si>
  <si>
    <t>Yes there is a negative weight in Nordstrom, so when short sells are restricted it is a binding constraint</t>
  </si>
  <si>
    <t>This is the global min portfolio, so it doesn't change even if we don't enable shortsells therefore it is not a binding constraint</t>
  </si>
  <si>
    <t>There are no short sells therefore it is not a binding constraint</t>
  </si>
  <si>
    <t>Yes there are negative weights (see nordstrom), therefore when shortsales are restricted it is a binding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</si>
</sst>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%"/>
    <numFmt numFmtId="165" formatCode="0.00000%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7" fontId="0" fillId="0" borderId="0" xfId="0" applyNumberFormat="1"/>
    <xf numFmtId="9" fontId="0" fillId="0" borderId="0" xfId="1" applyFon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0" fontId="0" fillId="0" borderId="0" xfId="0" applyNumberFormat="1"/>
    <xf numFmtId="1" fontId="0" fillId="0" borderId="0" xfId="0" applyNumberFormat="1"/>
    <xf numFmtId="0" fontId="5" fillId="0" borderId="0" xfId="0" applyFont="1"/>
    <xf numFmtId="164" fontId="0" fillId="0" borderId="0" xfId="0" applyNumberFormat="1"/>
    <xf numFmtId="166" fontId="0" fillId="0" borderId="0" xfId="0" applyNumberFormat="1"/>
    <xf numFmtId="44" fontId="0" fillId="0" borderId="0" xfId="2" applyFont="1"/>
    <xf numFmtId="0" fontId="0" fillId="0" borderId="0" xfId="0" applyAlignment="1">
      <alignment horizontal="center"/>
    </xf>
  </cellXfs>
  <cellStyles count="7"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Return Tradeoff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(Sheet1!$D$5,Sheet1!$G$5,Sheet1!$E$5,Sheet1!$F$5,Sheet1!$C$65)</c:f>
              <c:numCache>
                <c:formatCode>0.000%</c:formatCode>
                <c:ptCount val="5"/>
                <c:pt idx="0">
                  <c:v>0.080473030944577</c:v>
                </c:pt>
                <c:pt idx="1">
                  <c:v>0.100609198502316</c:v>
                </c:pt>
                <c:pt idx="2">
                  <c:v>0.105456033476977</c:v>
                </c:pt>
                <c:pt idx="3">
                  <c:v>0.142169641608525</c:v>
                </c:pt>
                <c:pt idx="4" formatCode="0.00%">
                  <c:v>0.0592707269167206</c:v>
                </c:pt>
              </c:numCache>
            </c:numRef>
          </c:xVal>
          <c:yVal>
            <c:numRef>
              <c:f>(Sheet1!$D$3,Sheet1!$G$3,Sheet1!$E$3,Sheet1!$F$3,Sheet1!$C$64)</c:f>
              <c:numCache>
                <c:formatCode>0.000%</c:formatCode>
                <c:ptCount val="5"/>
                <c:pt idx="0">
                  <c:v>0.0113004194237288</c:v>
                </c:pt>
                <c:pt idx="1">
                  <c:v>0.0427118299491525</c:v>
                </c:pt>
                <c:pt idx="2">
                  <c:v>0.00154506455932203</c:v>
                </c:pt>
                <c:pt idx="3">
                  <c:v>0.0284608474745763</c:v>
                </c:pt>
                <c:pt idx="4" formatCode="0.00%">
                  <c:v>0.0184612013857811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31664"/>
        <c:axId val="178570784"/>
      </c:scatterChart>
      <c:valAx>
        <c:axId val="17933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0784"/>
        <c:crosses val="autoZero"/>
        <c:crossBetween val="midCat"/>
      </c:valAx>
      <c:valAx>
        <c:axId val="1785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Markowitz Bullet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Markowitz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Sheet1!$F$105:$F$125</c:f>
              <c:numCache>
                <c:formatCode>General</c:formatCode>
                <c:ptCount val="21"/>
                <c:pt idx="0">
                  <c:v>0.0592707269167206</c:v>
                </c:pt>
                <c:pt idx="1">
                  <c:v>0.0596732983357627</c:v>
                </c:pt>
                <c:pt idx="2">
                  <c:v>0.0608650430420669</c:v>
                </c:pt>
                <c:pt idx="3">
                  <c:v>0.0628010498317315</c:v>
                </c:pt>
                <c:pt idx="4">
                  <c:v>0.0654152713105576</c:v>
                </c:pt>
                <c:pt idx="5">
                  <c:v>0.0686302487720345</c:v>
                </c:pt>
                <c:pt idx="6">
                  <c:v>0.0723659577259921</c:v>
                </c:pt>
                <c:pt idx="7">
                  <c:v>0.0765461958159912</c:v>
                </c:pt>
                <c:pt idx="8">
                  <c:v>0.0811022553040993</c:v>
                </c:pt>
                <c:pt idx="9">
                  <c:v>0.0859744089955483</c:v>
                </c:pt>
                <c:pt idx="10">
                  <c:v>0.0911119621897562</c:v>
                </c:pt>
                <c:pt idx="11">
                  <c:v>0.0964725234002541</c:v>
                </c:pt>
                <c:pt idx="12">
                  <c:v>0.10202094566102</c:v>
                </c:pt>
                <c:pt idx="13">
                  <c:v>0.107728206153896</c:v>
                </c:pt>
                <c:pt idx="14">
                  <c:v>0.113570361071519</c:v>
                </c:pt>
                <c:pt idx="15">
                  <c:v>0.119527632336231</c:v>
                </c:pt>
                <c:pt idx="16">
                  <c:v>0.125583638803414</c:v>
                </c:pt>
                <c:pt idx="17">
                  <c:v>0.131724763212993</c:v>
                </c:pt>
                <c:pt idx="18">
                  <c:v>0.137939637585223</c:v>
                </c:pt>
                <c:pt idx="19">
                  <c:v>0.14421872782679</c:v>
                </c:pt>
                <c:pt idx="20">
                  <c:v>0.150553999481994</c:v>
                </c:pt>
              </c:numCache>
            </c:numRef>
          </c:xVal>
          <c:yVal>
            <c:numRef>
              <c:f>Sheet1!$D$105:$D$125</c:f>
              <c:numCache>
                <c:formatCode>General</c:formatCode>
                <c:ptCount val="21"/>
                <c:pt idx="0">
                  <c:v>0.0184612013857811</c:v>
                </c:pt>
                <c:pt idx="1">
                  <c:v>0.0208862642424809</c:v>
                </c:pt>
                <c:pt idx="2">
                  <c:v>0.0233113270991807</c:v>
                </c:pt>
                <c:pt idx="3">
                  <c:v>0.0257363899558804</c:v>
                </c:pt>
                <c:pt idx="4">
                  <c:v>0.0281614528125802</c:v>
                </c:pt>
                <c:pt idx="5">
                  <c:v>0.0305865156692799</c:v>
                </c:pt>
                <c:pt idx="6">
                  <c:v>0.0330115785259797</c:v>
                </c:pt>
                <c:pt idx="7">
                  <c:v>0.0354366413826794</c:v>
                </c:pt>
                <c:pt idx="8">
                  <c:v>0.0378617042393792</c:v>
                </c:pt>
                <c:pt idx="9">
                  <c:v>0.040286767096079</c:v>
                </c:pt>
                <c:pt idx="10">
                  <c:v>0.0427118299527787</c:v>
                </c:pt>
                <c:pt idx="11">
                  <c:v>0.0451368928094785</c:v>
                </c:pt>
                <c:pt idx="12">
                  <c:v>0.0475619556661782</c:v>
                </c:pt>
                <c:pt idx="13">
                  <c:v>0.049987018522878</c:v>
                </c:pt>
                <c:pt idx="14">
                  <c:v>0.0524120813795777</c:v>
                </c:pt>
                <c:pt idx="15">
                  <c:v>0.0548371442362775</c:v>
                </c:pt>
                <c:pt idx="16">
                  <c:v>0.0572622070929773</c:v>
                </c:pt>
                <c:pt idx="17">
                  <c:v>0.059687269949677</c:v>
                </c:pt>
                <c:pt idx="18">
                  <c:v>0.0621123328063768</c:v>
                </c:pt>
                <c:pt idx="19">
                  <c:v>0.0645373956630765</c:v>
                </c:pt>
                <c:pt idx="20">
                  <c:v>0.0669624585197763</c:v>
                </c:pt>
              </c:numCache>
            </c:numRef>
          </c:yVal>
          <c:smooth val="1"/>
        </c:ser>
        <c:ser>
          <c:idx val="1"/>
          <c:order val="1"/>
          <c:tx>
            <c:v>Global 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Sheet1!$C$65</c:f>
              <c:numCache>
                <c:formatCode>0.00%</c:formatCode>
                <c:ptCount val="1"/>
                <c:pt idx="0">
                  <c:v>0.0592707269167206</c:v>
                </c:pt>
              </c:numCache>
            </c:numRef>
          </c:xVal>
          <c:yVal>
            <c:numRef>
              <c:f>Sheet1!$C$64</c:f>
              <c:numCache>
                <c:formatCode>0.00%</c:formatCode>
                <c:ptCount val="1"/>
                <c:pt idx="0">
                  <c:v>0.0184612013857811</c:v>
                </c:pt>
              </c:numCache>
            </c:numRef>
          </c:yVal>
          <c:smooth val="1"/>
        </c:ser>
        <c:ser>
          <c:idx val="2"/>
          <c:order val="2"/>
          <c:tx>
            <c:v>Efficient Portfolio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Sheet1!$H$69</c:f>
              <c:numCache>
                <c:formatCode>General</c:formatCode>
                <c:ptCount val="1"/>
                <c:pt idx="0">
                  <c:v>0.0911119621897562</c:v>
                </c:pt>
              </c:numCache>
            </c:numRef>
          </c:xVal>
          <c:yVal>
            <c:numRef>
              <c:f>Sheet1!$F$69</c:f>
              <c:numCache>
                <c:formatCode>General</c:formatCode>
                <c:ptCount val="1"/>
                <c:pt idx="0">
                  <c:v>0.0427118299527787</c:v>
                </c:pt>
              </c:numCache>
            </c:numRef>
          </c:yVal>
          <c:smooth val="1"/>
        </c:ser>
        <c:ser>
          <c:idx val="3"/>
          <c:order val="3"/>
          <c:tx>
            <c:v>"Sharpe Ratio"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Sheet1!$D$170:$D$187</c:f>
              <c:numCache>
                <c:formatCode>0%</c:formatCode>
                <c:ptCount val="18"/>
                <c:pt idx="0">
                  <c:v>0.0</c:v>
                </c:pt>
                <c:pt idx="1">
                  <c:v>0.0108984965445528</c:v>
                </c:pt>
                <c:pt idx="2">
                  <c:v>0.0217969930891056</c:v>
                </c:pt>
                <c:pt idx="3">
                  <c:v>0.0326954896336584</c:v>
                </c:pt>
                <c:pt idx="4">
                  <c:v>0.0435939861782112</c:v>
                </c:pt>
                <c:pt idx="5">
                  <c:v>0.054492482722764</c:v>
                </c:pt>
                <c:pt idx="6">
                  <c:v>0.0653909792673168</c:v>
                </c:pt>
                <c:pt idx="7">
                  <c:v>0.0762894758118696</c:v>
                </c:pt>
                <c:pt idx="8">
                  <c:v>0.0871879723564224</c:v>
                </c:pt>
                <c:pt idx="9">
                  <c:v>0.0980864689009752</c:v>
                </c:pt>
                <c:pt idx="10">
                  <c:v>0.108984965445528</c:v>
                </c:pt>
                <c:pt idx="11">
                  <c:v>0.119883461990081</c:v>
                </c:pt>
                <c:pt idx="12">
                  <c:v>0.130781958534634</c:v>
                </c:pt>
                <c:pt idx="13">
                  <c:v>0.141680455079186</c:v>
                </c:pt>
                <c:pt idx="14">
                  <c:v>0.152578951623739</c:v>
                </c:pt>
                <c:pt idx="15">
                  <c:v>0.163477448168292</c:v>
                </c:pt>
                <c:pt idx="16">
                  <c:v>0.174375944712845</c:v>
                </c:pt>
                <c:pt idx="17">
                  <c:v>0.185274441257398</c:v>
                </c:pt>
              </c:numCache>
            </c:numRef>
          </c:xVal>
          <c:yVal>
            <c:numRef>
              <c:f>Sheet1!$C$170:$C$187</c:f>
              <c:numCache>
                <c:formatCode>0%</c:formatCode>
                <c:ptCount val="18"/>
                <c:pt idx="0">
                  <c:v>0.005</c:v>
                </c:pt>
                <c:pt idx="1">
                  <c:v>0.00955131449993082</c:v>
                </c:pt>
                <c:pt idx="2">
                  <c:v>0.0141026289998616</c:v>
                </c:pt>
                <c:pt idx="3">
                  <c:v>0.0186539434997925</c:v>
                </c:pt>
                <c:pt idx="4">
                  <c:v>0.0232052579997233</c:v>
                </c:pt>
                <c:pt idx="5">
                  <c:v>0.0277565724996541</c:v>
                </c:pt>
                <c:pt idx="6">
                  <c:v>0.032307886999585</c:v>
                </c:pt>
                <c:pt idx="7">
                  <c:v>0.0368592014995158</c:v>
                </c:pt>
                <c:pt idx="8">
                  <c:v>0.0414105159994466</c:v>
                </c:pt>
                <c:pt idx="9">
                  <c:v>0.0459618304993774</c:v>
                </c:pt>
                <c:pt idx="10">
                  <c:v>0.0505131449993082</c:v>
                </c:pt>
                <c:pt idx="11">
                  <c:v>0.0550644594992391</c:v>
                </c:pt>
                <c:pt idx="12">
                  <c:v>0.0596157739991699</c:v>
                </c:pt>
                <c:pt idx="13">
                  <c:v>0.0641670884991007</c:v>
                </c:pt>
                <c:pt idx="14">
                  <c:v>0.0687184029990316</c:v>
                </c:pt>
                <c:pt idx="15">
                  <c:v>0.0732697174989624</c:v>
                </c:pt>
                <c:pt idx="16">
                  <c:v>0.0778210319988932</c:v>
                </c:pt>
                <c:pt idx="17">
                  <c:v>0.082372346498824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09680"/>
        <c:axId val="178613952"/>
      </c:scatterChart>
      <c:valAx>
        <c:axId val="1786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13952"/>
        <c:crosses val="autoZero"/>
        <c:crossBetween val="midCat"/>
      </c:valAx>
      <c:valAx>
        <c:axId val="1786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0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806450</xdr:colOff>
      <xdr:row>29</xdr:row>
      <xdr:rowOff>196850</xdr:rowOff>
    </xdr:from>
    <xdr:to>
      <xdr:col>7</xdr:col>
      <xdr:colOff>774700</xdr:colOff>
      <xdr:row>43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279400</xdr:colOff>
      <xdr:row>127</xdr:row>
      <xdr:rowOff>0</xdr:rowOff>
    </xdr:from>
    <xdr:to>
      <xdr:col>10</xdr:col>
      <xdr:colOff>254000</xdr:colOff>
      <xdr:row>146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C34" workbookViewId="0">
      <selection activeCell="F49" sqref="F1:O49"/>
    </sheetView>
  </sheetViews>
  <sheetFormatPr baseColWidth="10" defaultRowHeight="16" x14ac:dyDescent="0.2"/>
  <cols>
    <col min="7" max="7" width="10" bestFit="1" customWidth="1"/>
    <col min="8" max="8" width="9.1640625" bestFit="1" customWidth="1"/>
    <col min="9" max="9" width="10" bestFit="1" customWidth="1"/>
    <col min="10" max="11" width="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34759</v>
      </c>
      <c r="B2">
        <v>0.152986072</v>
      </c>
      <c r="C2">
        <v>-3.6153005000000002E-2</v>
      </c>
      <c r="D2">
        <v>5.2135669999999997E-3</v>
      </c>
      <c r="E2">
        <v>0.121301354</v>
      </c>
    </row>
    <row r="3" spans="1:5" x14ac:dyDescent="0.2">
      <c r="A3" s="1">
        <v>34790</v>
      </c>
      <c r="B3">
        <v>2.2992859000000001E-2</v>
      </c>
      <c r="C3">
        <v>-5.6796793999999998E-2</v>
      </c>
      <c r="D3">
        <v>-2.1053408999999999E-2</v>
      </c>
      <c r="E3">
        <v>0.139234622</v>
      </c>
    </row>
    <row r="4" spans="1:5" x14ac:dyDescent="0.2">
      <c r="A4" s="1">
        <v>34820</v>
      </c>
      <c r="B4">
        <v>6.8082155000000005E-2</v>
      </c>
      <c r="C4">
        <v>7.8207541000000005E-2</v>
      </c>
      <c r="D4">
        <v>0.21244482100000001</v>
      </c>
      <c r="E4">
        <v>3.5293765999999997E-2</v>
      </c>
    </row>
    <row r="5" spans="1:5" x14ac:dyDescent="0.2">
      <c r="A5" s="1">
        <v>34851</v>
      </c>
      <c r="B5">
        <v>6.1746977000000002E-2</v>
      </c>
      <c r="C5">
        <v>-3.0162729999999999E-3</v>
      </c>
      <c r="D5">
        <v>0.203596782</v>
      </c>
      <c r="E5">
        <v>6.5005425000000006E-2</v>
      </c>
    </row>
    <row r="6" spans="1:5" x14ac:dyDescent="0.2">
      <c r="A6" s="1">
        <v>34881</v>
      </c>
      <c r="B6">
        <v>6.7527004000000002E-2</v>
      </c>
      <c r="C6">
        <v>-2.7569065E-2</v>
      </c>
      <c r="D6">
        <v>4.7965358E-2</v>
      </c>
      <c r="E6">
        <v>1.379957E-3</v>
      </c>
    </row>
    <row r="7" spans="1:5" x14ac:dyDescent="0.2">
      <c r="A7" s="1">
        <v>34912</v>
      </c>
      <c r="B7">
        <v>-4.5808827000000003E-2</v>
      </c>
      <c r="C7">
        <v>2.7675498E-2</v>
      </c>
      <c r="D7">
        <v>6.7872071000000006E-2</v>
      </c>
      <c r="E7">
        <v>2.1858794000000001E-2</v>
      </c>
    </row>
    <row r="8" spans="1:5" x14ac:dyDescent="0.2">
      <c r="A8" s="1">
        <v>34943</v>
      </c>
      <c r="B8">
        <v>6.4296332999999997E-2</v>
      </c>
      <c r="C8">
        <v>1.2049674E-2</v>
      </c>
      <c r="D8">
        <v>-5.4582909999999998E-2</v>
      </c>
      <c r="E8">
        <v>-2.1858794000000001E-2</v>
      </c>
    </row>
    <row r="9" spans="1:5" x14ac:dyDescent="0.2">
      <c r="A9" s="1">
        <v>34973</v>
      </c>
      <c r="B9">
        <v>-4.1129636999999997E-2</v>
      </c>
      <c r="C9">
        <v>-0.11909642600000001</v>
      </c>
      <c r="D9">
        <v>3.5654900000000003E-2</v>
      </c>
      <c r="E9">
        <v>9.9820334999999996E-2</v>
      </c>
    </row>
    <row r="10" spans="1:5" x14ac:dyDescent="0.2">
      <c r="A10" s="1">
        <v>35004</v>
      </c>
      <c r="B10">
        <v>0.106696717</v>
      </c>
      <c r="C10">
        <v>6.0447094E-2</v>
      </c>
      <c r="D10">
        <v>7.3652910000000002E-2</v>
      </c>
      <c r="E10">
        <v>-0.13782861199999999</v>
      </c>
    </row>
    <row r="11" spans="1:5" x14ac:dyDescent="0.2">
      <c r="A11" s="1">
        <v>35034</v>
      </c>
      <c r="B11">
        <v>7.2758184000000004E-2</v>
      </c>
      <c r="C11">
        <v>3.1351054000000003E-2</v>
      </c>
      <c r="D11">
        <v>-5.9347360000000004E-3</v>
      </c>
      <c r="E11">
        <v>7.1548469999999998E-3</v>
      </c>
    </row>
    <row r="12" spans="1:5" x14ac:dyDescent="0.2">
      <c r="A12" s="1">
        <v>35065</v>
      </c>
      <c r="B12">
        <v>-1.1226887E-2</v>
      </c>
      <c r="C12">
        <v>-3.1351054000000003E-2</v>
      </c>
      <c r="D12">
        <v>-0.22612417900000001</v>
      </c>
      <c r="E12">
        <v>5.2712224000000002E-2</v>
      </c>
    </row>
    <row r="13" spans="1:5" x14ac:dyDescent="0.2">
      <c r="A13" s="1">
        <v>35096</v>
      </c>
      <c r="B13">
        <v>4.5715035000000001E-2</v>
      </c>
      <c r="C13">
        <v>0.142366772</v>
      </c>
      <c r="D13">
        <v>5.0920090000000001E-2</v>
      </c>
      <c r="E13">
        <v>6.4746607999999997E-2</v>
      </c>
    </row>
    <row r="14" spans="1:5" x14ac:dyDescent="0.2">
      <c r="A14" s="1">
        <v>35125</v>
      </c>
      <c r="B14">
        <v>6.5596172999999994E-2</v>
      </c>
      <c r="C14">
        <v>7.0836600999999999E-2</v>
      </c>
      <c r="D14">
        <v>0.279667059</v>
      </c>
      <c r="E14">
        <v>4.3984652999999999E-2</v>
      </c>
    </row>
    <row r="15" spans="1:5" x14ac:dyDescent="0.2">
      <c r="A15" s="1">
        <v>35156</v>
      </c>
      <c r="B15">
        <v>-5.3345084000000001E-2</v>
      </c>
      <c r="C15">
        <v>4.9094722E-2</v>
      </c>
      <c r="D15">
        <v>0.151470404</v>
      </c>
      <c r="E15">
        <v>9.3654326999999996E-2</v>
      </c>
    </row>
    <row r="16" spans="1:5" x14ac:dyDescent="0.2">
      <c r="A16" s="1">
        <v>35186</v>
      </c>
      <c r="B16">
        <v>3.7345006E-2</v>
      </c>
      <c r="C16">
        <v>4.9465309999999997E-3</v>
      </c>
      <c r="D16">
        <v>0</v>
      </c>
      <c r="E16">
        <v>4.7429578999999999E-2</v>
      </c>
    </row>
    <row r="17" spans="1:5" x14ac:dyDescent="0.2">
      <c r="A17" s="1">
        <v>35217</v>
      </c>
      <c r="B17">
        <v>2.1755395E-2</v>
      </c>
      <c r="C17">
        <v>-0.13633635199999999</v>
      </c>
      <c r="D17">
        <v>4.0637645999999999E-2</v>
      </c>
      <c r="E17">
        <v>1.1507391E-2</v>
      </c>
    </row>
    <row r="18" spans="1:5" x14ac:dyDescent="0.2">
      <c r="A18" s="1">
        <v>35247</v>
      </c>
      <c r="B18">
        <v>1.5658430000000001E-2</v>
      </c>
      <c r="C18">
        <v>-6.9798399999999997E-2</v>
      </c>
      <c r="D18">
        <v>-8.2996920000000002E-2</v>
      </c>
      <c r="E18">
        <v>-1.8904765E-2</v>
      </c>
    </row>
    <row r="19" spans="1:5" x14ac:dyDescent="0.2">
      <c r="A19" s="1">
        <v>35278</v>
      </c>
      <c r="B19">
        <v>2.2346945E-2</v>
      </c>
      <c r="C19">
        <v>-5.8866383000000001E-2</v>
      </c>
      <c r="D19">
        <v>0.23080642400000001</v>
      </c>
      <c r="E19">
        <v>3.8484591999999998E-2</v>
      </c>
    </row>
    <row r="20" spans="1:5" x14ac:dyDescent="0.2">
      <c r="A20" s="1">
        <v>35309</v>
      </c>
      <c r="B20">
        <v>4.3251464000000003E-2</v>
      </c>
      <c r="C20">
        <v>-2.5975905000000001E-2</v>
      </c>
      <c r="D20">
        <v>7.6045990000000001E-3</v>
      </c>
      <c r="E20">
        <v>7.3744990999999996E-2</v>
      </c>
    </row>
    <row r="21" spans="1:5" x14ac:dyDescent="0.2">
      <c r="A21" s="1">
        <v>35339</v>
      </c>
      <c r="B21">
        <v>9.2164980000000001E-3</v>
      </c>
      <c r="C21">
        <v>-5.2330626999999998E-2</v>
      </c>
      <c r="D21">
        <v>-1.5267472000000001E-2</v>
      </c>
      <c r="E21">
        <v>3.9945145000000001E-2</v>
      </c>
    </row>
    <row r="22" spans="1:5" x14ac:dyDescent="0.2">
      <c r="A22" s="1">
        <v>35370</v>
      </c>
      <c r="B22">
        <v>4.1083399E-2</v>
      </c>
      <c r="C22">
        <v>0.190433783</v>
      </c>
      <c r="D22">
        <v>6.3335875E-2</v>
      </c>
      <c r="E22">
        <v>0.13364941899999999</v>
      </c>
    </row>
    <row r="23" spans="1:5" x14ac:dyDescent="0.2">
      <c r="A23" s="1">
        <v>35400</v>
      </c>
      <c r="B23">
        <v>6.9245222999999995E-2</v>
      </c>
      <c r="C23">
        <v>-0.20498860299999999</v>
      </c>
      <c r="D23">
        <v>-0.190295503</v>
      </c>
      <c r="E23">
        <v>5.2006472999999998E-2</v>
      </c>
    </row>
    <row r="24" spans="1:5" x14ac:dyDescent="0.2">
      <c r="A24" s="1">
        <v>35431</v>
      </c>
      <c r="B24">
        <v>5.8512920000000001E-3</v>
      </c>
      <c r="C24">
        <v>4.6518166E-2</v>
      </c>
      <c r="D24">
        <v>0.17940610300000001</v>
      </c>
      <c r="E24">
        <v>0.210662936</v>
      </c>
    </row>
    <row r="25" spans="1:5" x14ac:dyDescent="0.2">
      <c r="A25" s="1">
        <v>35462</v>
      </c>
      <c r="B25">
        <v>-5.1478645000000003E-2</v>
      </c>
      <c r="C25">
        <v>-6.7314829999999999E-3</v>
      </c>
      <c r="D25">
        <v>-1.8416727000000001E-2</v>
      </c>
      <c r="E25">
        <v>-4.5120435E-2</v>
      </c>
    </row>
    <row r="26" spans="1:5" x14ac:dyDescent="0.2">
      <c r="A26" s="1">
        <v>35490</v>
      </c>
      <c r="B26">
        <v>-3.1193539999999999E-2</v>
      </c>
      <c r="C26">
        <v>3.0149829999999999E-2</v>
      </c>
      <c r="D26">
        <v>-0.126651238</v>
      </c>
      <c r="E26">
        <v>-6.1465231000000002E-2</v>
      </c>
    </row>
    <row r="27" spans="1:5" x14ac:dyDescent="0.2">
      <c r="A27" s="1">
        <v>35521</v>
      </c>
      <c r="B27">
        <v>0</v>
      </c>
      <c r="C27">
        <v>3.5658834E-2</v>
      </c>
      <c r="D27">
        <v>8.4034109999999995E-3</v>
      </c>
      <c r="E27">
        <v>0.28152711600000002</v>
      </c>
    </row>
    <row r="28" spans="1:5" x14ac:dyDescent="0.2">
      <c r="A28" s="1">
        <v>35551</v>
      </c>
      <c r="B28">
        <v>6.6201507000000007E-2</v>
      </c>
      <c r="C28">
        <v>0.20388151500000001</v>
      </c>
      <c r="D28">
        <v>5.2965536000000001E-2</v>
      </c>
      <c r="E28">
        <v>2.0367303E-2</v>
      </c>
    </row>
    <row r="29" spans="1:5" x14ac:dyDescent="0.2">
      <c r="A29" s="1">
        <v>35582</v>
      </c>
      <c r="B29">
        <v>7.0921059999999999E-3</v>
      </c>
      <c r="C29">
        <v>2.1890707999999998E-2</v>
      </c>
      <c r="D29">
        <v>0.21197281900000001</v>
      </c>
      <c r="E29">
        <v>1.8973693999999999E-2</v>
      </c>
    </row>
    <row r="30" spans="1:5" x14ac:dyDescent="0.2">
      <c r="A30" s="1">
        <v>35612</v>
      </c>
      <c r="B30">
        <v>0.100756372</v>
      </c>
      <c r="C30">
        <v>0.14446219299999999</v>
      </c>
      <c r="D30">
        <v>5.0088591000000002E-2</v>
      </c>
      <c r="E30">
        <v>0.11216208900000001</v>
      </c>
    </row>
    <row r="31" spans="1:5" x14ac:dyDescent="0.2">
      <c r="A31" s="1">
        <v>35643</v>
      </c>
      <c r="B31">
        <v>-7.4026588000000004E-2</v>
      </c>
      <c r="C31">
        <v>3.3866272000000003E-2</v>
      </c>
      <c r="D31">
        <v>1.523111E-3</v>
      </c>
      <c r="E31">
        <v>-6.7195222999999998E-2</v>
      </c>
    </row>
    <row r="32" spans="1:5" x14ac:dyDescent="0.2">
      <c r="A32" s="1">
        <v>35674</v>
      </c>
      <c r="B32">
        <v>-1.147428E-3</v>
      </c>
      <c r="C32">
        <v>8.5941978000000002E-2</v>
      </c>
      <c r="D32">
        <v>1.962088E-2</v>
      </c>
      <c r="E32">
        <v>9.4366700000000003E-4</v>
      </c>
    </row>
    <row r="33" spans="1:5" x14ac:dyDescent="0.2">
      <c r="A33" s="1">
        <v>35704</v>
      </c>
      <c r="B33">
        <v>-0.12585210799999999</v>
      </c>
      <c r="C33">
        <v>-4.0004811000000001E-2</v>
      </c>
      <c r="D33">
        <v>-0.236685385</v>
      </c>
      <c r="E33">
        <v>-1.7631343000000001E-2</v>
      </c>
    </row>
    <row r="34" spans="1:5" x14ac:dyDescent="0.2">
      <c r="A34" s="1">
        <v>35735</v>
      </c>
      <c r="B34">
        <v>0.101446894</v>
      </c>
      <c r="C34">
        <v>-3.5035575999999999E-2</v>
      </c>
      <c r="D34">
        <v>5.5262679000000002E-2</v>
      </c>
      <c r="E34">
        <v>8.4765267000000005E-2</v>
      </c>
    </row>
    <row r="35" spans="1:5" x14ac:dyDescent="0.2">
      <c r="A35" s="1">
        <v>35765</v>
      </c>
      <c r="B35">
        <v>-8.2104255000000001E-2</v>
      </c>
      <c r="C35">
        <v>2.3037325000000001E-2</v>
      </c>
      <c r="D35">
        <v>9.5635966000000003E-2</v>
      </c>
      <c r="E35">
        <v>-9.0551203999999996E-2</v>
      </c>
    </row>
    <row r="36" spans="1:5" x14ac:dyDescent="0.2">
      <c r="A36" s="1">
        <v>35796</v>
      </c>
      <c r="B36">
        <v>-2.7185684000000002E-2</v>
      </c>
      <c r="C36">
        <v>-0.17120217400000001</v>
      </c>
      <c r="D36">
        <v>-4.8385815999999998E-2</v>
      </c>
      <c r="E36">
        <v>0.143456061</v>
      </c>
    </row>
    <row r="37" spans="1:5" x14ac:dyDescent="0.2">
      <c r="A37" s="1">
        <v>35827</v>
      </c>
      <c r="B37">
        <v>0.130244948</v>
      </c>
      <c r="C37">
        <v>0.122112734</v>
      </c>
      <c r="D37">
        <v>7.8858782000000002E-2</v>
      </c>
      <c r="E37">
        <v>0.12764835199999999</v>
      </c>
    </row>
    <row r="38" spans="1:5" x14ac:dyDescent="0.2">
      <c r="A38" s="1">
        <v>35855</v>
      </c>
      <c r="B38">
        <v>-3.9957627000000003E-2</v>
      </c>
      <c r="C38">
        <v>0.106885231</v>
      </c>
      <c r="D38">
        <v>0.135701553</v>
      </c>
      <c r="E38">
        <v>5.4532878999999999E-2</v>
      </c>
    </row>
    <row r="39" spans="1:5" x14ac:dyDescent="0.2">
      <c r="A39" s="1">
        <v>35886</v>
      </c>
      <c r="B39">
        <v>-4.0373758000000003E-2</v>
      </c>
      <c r="C39">
        <v>2.5145836000000001E-2</v>
      </c>
      <c r="D39">
        <v>6.0221067000000003E-2</v>
      </c>
      <c r="E39">
        <v>6.9589700000000001E-3</v>
      </c>
    </row>
    <row r="40" spans="1:5" x14ac:dyDescent="0.2">
      <c r="A40" s="1">
        <v>35916</v>
      </c>
      <c r="B40">
        <v>-4.7292373999999998E-2</v>
      </c>
      <c r="C40">
        <v>9.8403956000000001E-2</v>
      </c>
      <c r="D40">
        <v>-2.6007819999999998E-3</v>
      </c>
      <c r="E40">
        <v>-6.0755837E-2</v>
      </c>
    </row>
    <row r="41" spans="1:5" x14ac:dyDescent="0.2">
      <c r="A41" s="1">
        <v>35947</v>
      </c>
      <c r="B41">
        <v>-6.9087428000000006E-2</v>
      </c>
      <c r="C41">
        <v>6.9513433999999999E-2</v>
      </c>
      <c r="D41">
        <v>0.10731360700000001</v>
      </c>
      <c r="E41">
        <v>0.24515567699999999</v>
      </c>
    </row>
    <row r="42" spans="1:5" x14ac:dyDescent="0.2">
      <c r="A42" s="1">
        <v>35977</v>
      </c>
      <c r="B42">
        <v>-0.13815059099999999</v>
      </c>
      <c r="C42">
        <v>-0.21288006300000001</v>
      </c>
      <c r="D42">
        <v>-0.24382562799999999</v>
      </c>
      <c r="E42">
        <v>1.4315497E-2</v>
      </c>
    </row>
    <row r="43" spans="1:5" x14ac:dyDescent="0.2">
      <c r="A43" s="1">
        <v>36008</v>
      </c>
      <c r="B43">
        <v>-0.22677260799999999</v>
      </c>
      <c r="C43">
        <v>-3.9624139000000003E-2</v>
      </c>
      <c r="D43">
        <v>-0.28272245099999999</v>
      </c>
      <c r="E43">
        <v>-0.136214952</v>
      </c>
    </row>
    <row r="44" spans="1:5" x14ac:dyDescent="0.2">
      <c r="A44" s="1">
        <v>36039</v>
      </c>
      <c r="B44">
        <v>0.103542021</v>
      </c>
      <c r="C44">
        <v>-0.190283603</v>
      </c>
      <c r="D44">
        <v>0.13674997999999999</v>
      </c>
      <c r="E44">
        <v>0.13734949799999999</v>
      </c>
    </row>
    <row r="45" spans="1:5" x14ac:dyDescent="0.2">
      <c r="A45" s="1">
        <v>36069</v>
      </c>
      <c r="B45">
        <v>9.0494959999999999E-2</v>
      </c>
      <c r="C45">
        <v>9.8516494999999996E-2</v>
      </c>
      <c r="D45">
        <v>0.18116672</v>
      </c>
      <c r="E45">
        <v>-3.8788324999999998E-2</v>
      </c>
    </row>
    <row r="46" spans="1:5" x14ac:dyDescent="0.2">
      <c r="A46" s="1">
        <v>36100</v>
      </c>
      <c r="B46">
        <v>7.8378701999999995E-2</v>
      </c>
      <c r="C46">
        <v>0.31248422999999997</v>
      </c>
      <c r="D46">
        <v>6.1471864000000001E-2</v>
      </c>
      <c r="E46">
        <v>0.141761892</v>
      </c>
    </row>
    <row r="47" spans="1:5" x14ac:dyDescent="0.2">
      <c r="A47" s="1">
        <v>36130</v>
      </c>
      <c r="B47">
        <v>-0.21930670499999999</v>
      </c>
      <c r="C47">
        <v>-7.1273202999999993E-2</v>
      </c>
      <c r="D47">
        <v>0.19622624399999999</v>
      </c>
      <c r="E47">
        <v>0.12820287699999999</v>
      </c>
    </row>
    <row r="48" spans="1:5" x14ac:dyDescent="0.2">
      <c r="A48" s="1">
        <v>36161</v>
      </c>
      <c r="B48">
        <v>6.1302522999999998E-2</v>
      </c>
      <c r="C48">
        <v>0.18232301300000001</v>
      </c>
      <c r="D48">
        <v>-7.5138346999999994E-2</v>
      </c>
      <c r="E48">
        <v>0.23256205199999999</v>
      </c>
    </row>
    <row r="49" spans="1:5" x14ac:dyDescent="0.2">
      <c r="A49" s="1">
        <v>36192</v>
      </c>
      <c r="B49">
        <v>2.6667785999999999E-2</v>
      </c>
      <c r="C49">
        <v>-3.1670352999999998E-2</v>
      </c>
      <c r="D49">
        <v>1.5487638E-2</v>
      </c>
      <c r="E49">
        <v>-0.153317694</v>
      </c>
    </row>
    <row r="50" spans="1:5" x14ac:dyDescent="0.2">
      <c r="A50" s="1">
        <v>36220</v>
      </c>
      <c r="B50">
        <v>-4.6686299000000001E-2</v>
      </c>
      <c r="C50">
        <v>1.5408280999999999E-2</v>
      </c>
      <c r="D50">
        <v>5.9650709000000003E-2</v>
      </c>
      <c r="E50">
        <v>0.177313199</v>
      </c>
    </row>
    <row r="51" spans="1:5" x14ac:dyDescent="0.2">
      <c r="A51" s="1">
        <v>36251</v>
      </c>
      <c r="B51">
        <v>0.17802269400000001</v>
      </c>
      <c r="C51">
        <v>-0.14982700099999999</v>
      </c>
      <c r="D51">
        <v>0.27479313</v>
      </c>
      <c r="E51">
        <v>-9.7334542999999996E-2</v>
      </c>
    </row>
    <row r="52" spans="1:5" x14ac:dyDescent="0.2">
      <c r="A52" s="1">
        <v>36281</v>
      </c>
      <c r="B52">
        <v>3.8001363000000003E-2</v>
      </c>
      <c r="C52">
        <v>1.1257967000000001E-2</v>
      </c>
      <c r="D52">
        <v>-1.6934809999999999E-3</v>
      </c>
      <c r="E52">
        <v>-7.7160880000000003E-3</v>
      </c>
    </row>
    <row r="53" spans="1:5" x14ac:dyDescent="0.2">
      <c r="A53" s="1">
        <v>36312</v>
      </c>
      <c r="B53">
        <v>4.5032603999999997E-2</v>
      </c>
      <c r="C53">
        <v>-5.7985904999999997E-2</v>
      </c>
      <c r="D53">
        <v>1.8472398000000001E-2</v>
      </c>
      <c r="E53">
        <v>0.111307168</v>
      </c>
    </row>
    <row r="54" spans="1:5" x14ac:dyDescent="0.2">
      <c r="A54" s="1">
        <v>36342</v>
      </c>
      <c r="B54">
        <v>3.0771381E-2</v>
      </c>
      <c r="C54">
        <v>-6.3544014999999995E-2</v>
      </c>
      <c r="D54">
        <v>-0.47970108</v>
      </c>
      <c r="E54">
        <v>-4.9726153000000002E-2</v>
      </c>
    </row>
    <row r="55" spans="1:5" x14ac:dyDescent="0.2">
      <c r="A55" s="1">
        <v>36373</v>
      </c>
      <c r="B55">
        <v>1.6652870000000001E-3</v>
      </c>
      <c r="C55">
        <v>-0.10216616100000001</v>
      </c>
      <c r="D55">
        <v>-1.6260521E-2</v>
      </c>
      <c r="E55">
        <v>7.5719408000000002E-2</v>
      </c>
    </row>
    <row r="56" spans="1:5" x14ac:dyDescent="0.2">
      <c r="A56" s="1">
        <v>36404</v>
      </c>
      <c r="B56">
        <v>-6.1141114000000003E-2</v>
      </c>
      <c r="C56">
        <v>-4.7466906000000003E-2</v>
      </c>
      <c r="D56">
        <v>8.0040689999999998E-2</v>
      </c>
      <c r="E56">
        <v>-2.1843872E-2</v>
      </c>
    </row>
    <row r="57" spans="1:5" x14ac:dyDescent="0.2">
      <c r="A57" s="1">
        <v>36434</v>
      </c>
      <c r="B57">
        <v>7.7557987999999994E-2</v>
      </c>
      <c r="C57">
        <v>-7.9464254999999998E-2</v>
      </c>
      <c r="D57">
        <v>9.2672008E-2</v>
      </c>
      <c r="E57">
        <v>2.1843872E-2</v>
      </c>
    </row>
    <row r="58" spans="1:5" x14ac:dyDescent="0.2">
      <c r="A58" s="1">
        <v>36465</v>
      </c>
      <c r="B58">
        <v>-0.122442331</v>
      </c>
      <c r="C58">
        <v>0.112173182</v>
      </c>
      <c r="D58">
        <v>-2.3256862E-2</v>
      </c>
      <c r="E58">
        <v>-1.6509334000000001E-2</v>
      </c>
    </row>
    <row r="59" spans="1:5" x14ac:dyDescent="0.2">
      <c r="A59" s="1">
        <v>36495</v>
      </c>
      <c r="B59">
        <v>1.9801998000000001E-2</v>
      </c>
      <c r="C59">
        <v>-5.5441447999999997E-2</v>
      </c>
      <c r="D59">
        <v>-9.1083829000000005E-2</v>
      </c>
      <c r="E59">
        <v>0.248660138</v>
      </c>
    </row>
    <row r="60" spans="1:5" x14ac:dyDescent="0.2">
      <c r="A60" s="1">
        <v>36526</v>
      </c>
      <c r="B60">
        <v>7.1301969000000007E-2</v>
      </c>
      <c r="C60">
        <v>-0.17900165800000001</v>
      </c>
      <c r="D60">
        <v>0.27731928500000003</v>
      </c>
      <c r="E60">
        <v>-0.176343742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2"/>
  <sheetViews>
    <sheetView tabSelected="1" topLeftCell="A27" zoomScale="116" workbookViewId="0">
      <selection activeCell="J43" sqref="J43"/>
    </sheetView>
  </sheetViews>
  <sheetFormatPr baseColWidth="10" defaultRowHeight="16" x14ac:dyDescent="0.2"/>
  <cols>
    <col min="3" max="3" width="23.83203125" bestFit="1" customWidth="1"/>
    <col min="4" max="4" width="12.1640625" bestFit="1" customWidth="1"/>
    <col min="5" max="5" width="12.6640625" bestFit="1" customWidth="1"/>
    <col min="6" max="6" width="14.1640625" bestFit="1" customWidth="1"/>
    <col min="7" max="7" width="12.6640625" bestFit="1" customWidth="1"/>
    <col min="9" max="9" width="12.1640625" bestFit="1" customWidth="1"/>
  </cols>
  <sheetData>
    <row r="2" spans="1:7" x14ac:dyDescent="0.2">
      <c r="A2" t="s">
        <v>15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C3" t="s">
        <v>5</v>
      </c>
      <c r="D3" s="4">
        <f>AVERAGE(Data!B$2:B$60)</f>
        <v>1.1300419423728815E-2</v>
      </c>
      <c r="E3" s="4">
        <f>AVERAGE(Data!C$2:C$60)</f>
        <v>1.545064559322033E-3</v>
      </c>
      <c r="F3" s="4">
        <f>AVERAGE(Data!D$2:D$60)</f>
        <v>2.8460847474576275E-2</v>
      </c>
      <c r="G3" s="4">
        <f>AVERAGE(Data!E$2:E$60)</f>
        <v>4.2711829949152541E-2</v>
      </c>
    </row>
    <row r="4" spans="1:7" x14ac:dyDescent="0.2">
      <c r="C4" t="s">
        <v>6</v>
      </c>
      <c r="D4" s="4">
        <f>_xlfn.VAR.S(Data!B2:B60)</f>
        <v>6.4759087094068439E-3</v>
      </c>
      <c r="E4" s="4">
        <f>_xlfn.VAR.S(Data!C2:C60)</f>
        <v>1.1120974996697225E-2</v>
      </c>
      <c r="F4" s="4">
        <f>_xlfn.VAR.S(Data!D2:D60)</f>
        <v>2.0212206995096505E-2</v>
      </c>
      <c r="G4" s="4">
        <f>_xlfn.VAR.S(Data!E2:E60)</f>
        <v>1.0122210823278459E-2</v>
      </c>
    </row>
    <row r="5" spans="1:7" x14ac:dyDescent="0.2">
      <c r="C5" t="s">
        <v>7</v>
      </c>
      <c r="D5" s="4">
        <f>_xlfn.STDEV.S(Data!B2:B60)</f>
        <v>8.0473030944576973E-2</v>
      </c>
      <c r="E5" s="4">
        <f>_xlfn.STDEV.S(Data!C2:C60)</f>
        <v>0.10545603347697667</v>
      </c>
      <c r="F5" s="4">
        <f>_xlfn.STDEV.S(Data!D2:D60)</f>
        <v>0.14216964160852522</v>
      </c>
      <c r="G5" s="4">
        <f>_xlfn.STDEV.S(Data!E2:E60)</f>
        <v>0.10060919850231617</v>
      </c>
    </row>
    <row r="8" spans="1:7" x14ac:dyDescent="0.2">
      <c r="C8" s="12" t="s">
        <v>8</v>
      </c>
      <c r="D8" s="12"/>
      <c r="E8" s="12"/>
      <c r="F8" s="12"/>
      <c r="G8" s="12"/>
    </row>
    <row r="9" spans="1:7" x14ac:dyDescent="0.2">
      <c r="D9" t="s">
        <v>1</v>
      </c>
      <c r="E9" t="s">
        <v>2</v>
      </c>
      <c r="F9" t="s">
        <v>3</v>
      </c>
      <c r="G9" t="s">
        <v>4</v>
      </c>
    </row>
    <row r="10" spans="1:7" x14ac:dyDescent="0.2">
      <c r="C10" t="s">
        <v>1</v>
      </c>
      <c r="D10" s="5">
        <f>_xlfn.COVARIANCE.S(Data!$B$2:$B$60,Data!B2:B60)</f>
        <v>6.4759087094068421E-3</v>
      </c>
      <c r="E10" s="5">
        <f>_xlfn.COVARIANCE.S(Data!$B$2:$B$60,Data!C2:C60)</f>
        <v>8.6997941582056515E-4</v>
      </c>
      <c r="F10" s="5">
        <f>_xlfn.COVARIANCE.S(Data!$B$2:$B$60,Data!D2:D60)</f>
        <v>3.473484138488153E-3</v>
      </c>
      <c r="G10" s="5">
        <f>_xlfn.COVARIANCE.S(Data!$B$2:$B$60,Data!E2:E60)</f>
        <v>6.9256280742839647E-4</v>
      </c>
    </row>
    <row r="11" spans="1:7" x14ac:dyDescent="0.2">
      <c r="C11" t="s">
        <v>2</v>
      </c>
      <c r="D11" s="5">
        <f>_xlfn.COVARIANCE.S(Data!$C$2:$C$60,Data!B2:B60)</f>
        <v>8.6997941582056515E-4</v>
      </c>
      <c r="E11" s="5">
        <f>_xlfn.COVARIANCE.S(Data!$C$2:$C$60,Data!C2:C60)</f>
        <v>1.1120974996697229E-2</v>
      </c>
      <c r="F11" s="5">
        <f>_xlfn.COVARIANCE.S(Data!$C$2:$C$60,Data!D2:D60)</f>
        <v>2.6361271682676418E-3</v>
      </c>
      <c r="G11" s="5">
        <f>_xlfn.COVARIANCE.S(Data!$C$2:$C$60,Data!E2:E60)</f>
        <v>1.8502817969748286E-3</v>
      </c>
    </row>
    <row r="12" spans="1:7" x14ac:dyDescent="0.2">
      <c r="C12" t="s">
        <v>3</v>
      </c>
      <c r="D12" s="5">
        <f>_xlfn.COVARIANCE.S(Data!$D$2:$D$60,Data!B2:B60)</f>
        <v>3.473484138488153E-3</v>
      </c>
      <c r="E12" s="5">
        <f>_xlfn.COVARIANCE.S(Data!$D$2:$D$60,Data!C2:C60)</f>
        <v>2.6361271682676418E-3</v>
      </c>
      <c r="F12" s="5">
        <f>_xlfn.COVARIANCE.S(Data!$D$2:$D$60,Data!D2:D60)</f>
        <v>2.0212206995096505E-2</v>
      </c>
      <c r="G12" s="5">
        <f>_xlfn.COVARIANCE.S(Data!$D$2:$D$60,Data!E2:E60)</f>
        <v>1.1305060703158721E-3</v>
      </c>
    </row>
    <row r="13" spans="1:7" x14ac:dyDescent="0.2">
      <c r="C13" t="s">
        <v>4</v>
      </c>
      <c r="D13" s="5">
        <f>_xlfn.COVARIANCE.S(Data!$E$2:$E$60,Data!B2:B60)</f>
        <v>6.9256280742839647E-4</v>
      </c>
      <c r="E13" s="5">
        <f>_xlfn.COVARIANCE.S(Data!$E$2:$E$60,Data!C2:C60)</f>
        <v>1.8502817969748286E-3</v>
      </c>
      <c r="F13" s="5">
        <f>_xlfn.COVARIANCE.S(Data!$E$2:$E$60,Data!D2:D60)</f>
        <v>1.1305060703158721E-3</v>
      </c>
      <c r="G13" s="5">
        <f>_xlfn.COVARIANCE.S(Data!$E$2:$E$60,Data!E2:E60)</f>
        <v>1.0122210823278464E-2</v>
      </c>
    </row>
    <row r="16" spans="1:7" x14ac:dyDescent="0.2">
      <c r="C16" s="12" t="s">
        <v>9</v>
      </c>
      <c r="D16" s="12"/>
      <c r="E16" s="12"/>
      <c r="F16" s="12"/>
      <c r="G16" s="12"/>
    </row>
    <row r="17" spans="1:9" x14ac:dyDescent="0.2">
      <c r="D17" t="s">
        <v>1</v>
      </c>
      <c r="E17" t="s">
        <v>2</v>
      </c>
      <c r="F17" t="s">
        <v>3</v>
      </c>
      <c r="G17" t="s">
        <v>4</v>
      </c>
    </row>
    <row r="18" spans="1:9" x14ac:dyDescent="0.2">
      <c r="C18" t="s">
        <v>1</v>
      </c>
      <c r="D18" s="2">
        <f>CORREL(Data!$B$2:$B$60,Data!B2:B60)</f>
        <v>1</v>
      </c>
      <c r="E18" s="2">
        <f>CORREL(Data!$B$2:$B$60,Data!C2:C60)</f>
        <v>0.10251494569868883</v>
      </c>
      <c r="F18" s="2">
        <f>CORREL(Data!$B$2:$B$60,Data!D2:D60)</f>
        <v>0.30360442178357988</v>
      </c>
      <c r="G18" s="2">
        <f>CORREL(Data!$B$2:$B$60,Data!E2:E60)</f>
        <v>8.5540368500131816E-2</v>
      </c>
    </row>
    <row r="19" spans="1:9" x14ac:dyDescent="0.2">
      <c r="C19" t="s">
        <v>2</v>
      </c>
      <c r="D19" s="2">
        <f>CORREL(Data!$C$2:$C$60,Data!B2:B60)</f>
        <v>0.10251494569868883</v>
      </c>
      <c r="E19" s="2">
        <f>CORREL(Data!$C$2:$C$60,Data!C2:C60)</f>
        <v>0.99999999999999989</v>
      </c>
      <c r="F19" s="2">
        <f>CORREL(Data!$C$2:$C$60,Data!D2:D60)</f>
        <v>0.17582800814562258</v>
      </c>
      <c r="G19" s="2">
        <f>CORREL(Data!$C$2:$C$60,Data!E2:E60)</f>
        <v>0.17439288201248038</v>
      </c>
    </row>
    <row r="20" spans="1:9" x14ac:dyDescent="0.2">
      <c r="C20" t="s">
        <v>3</v>
      </c>
      <c r="D20" s="2">
        <f>CORREL(Data!$D$2:$D$60,Data!B2:B60)</f>
        <v>0.30360442178357988</v>
      </c>
      <c r="E20" s="2">
        <f>CORREL(Data!$D$2:$D$60,Data!C2:C60)</f>
        <v>0.17582800814562258</v>
      </c>
      <c r="F20" s="2">
        <f>CORREL(Data!$D$2:$D$60,Data!D2:D60)</f>
        <v>1.0000000000000002</v>
      </c>
      <c r="G20" s="2">
        <f>CORREL(Data!$D$2:$D$60,Data!E2:E60)</f>
        <v>7.9036616619948666E-2</v>
      </c>
    </row>
    <row r="21" spans="1:9" x14ac:dyDescent="0.2">
      <c r="C21" t="s">
        <v>4</v>
      </c>
      <c r="D21" s="2">
        <f>CORREL(Data!$E$2:$E$60,Data!B2:B60)</f>
        <v>8.5540368500131816E-2</v>
      </c>
      <c r="E21" s="2">
        <f>CORREL(Data!$E$2:$E$60,Data!C2:C60)</f>
        <v>0.17439288201248038</v>
      </c>
      <c r="F21" s="2">
        <f>CORREL(Data!$E$2:$E$60,Data!D2:D60)</f>
        <v>7.9036616619948666E-2</v>
      </c>
      <c r="G21" s="2">
        <f>CORREL(Data!$E$2:$E$60,Data!E2:E60)</f>
        <v>1.0000000000000002</v>
      </c>
    </row>
    <row r="25" spans="1:9" x14ac:dyDescent="0.2">
      <c r="D25" t="s">
        <v>1</v>
      </c>
      <c r="E25" t="s">
        <v>2</v>
      </c>
      <c r="F25" t="s">
        <v>3</v>
      </c>
      <c r="G25" t="s">
        <v>4</v>
      </c>
    </row>
    <row r="26" spans="1:9" x14ac:dyDescent="0.2">
      <c r="C26" t="s">
        <v>10</v>
      </c>
      <c r="D26" s="4">
        <f>D5/COUNT(Data!$B$2:$B$60)</f>
        <v>1.3639496770267285E-3</v>
      </c>
      <c r="E26" s="4">
        <f>E5/COUNT(Data!$B$2:$B$60)</f>
        <v>1.7873903979148589E-3</v>
      </c>
      <c r="F26" s="4">
        <f>F5/COUNT(Data!$B$2:$B$60)</f>
        <v>2.4096549425173764E-3</v>
      </c>
      <c r="G26" s="4">
        <f>G5/COUNT(Data!$B$2:$B$60)</f>
        <v>1.70524065258163E-3</v>
      </c>
      <c r="I26" t="s">
        <v>55</v>
      </c>
    </row>
    <row r="27" spans="1:9" x14ac:dyDescent="0.2">
      <c r="C27" t="s">
        <v>12</v>
      </c>
      <c r="D27" s="4">
        <f>D5/SQRT(2*COUNT(Data!$B$2:$B$60))</f>
        <v>7.4081429712923898E-3</v>
      </c>
      <c r="E27" s="4">
        <f>E5/SQRT(2*COUNT(Data!$B$2:$B$60))</f>
        <v>9.7080147723140591E-3</v>
      </c>
      <c r="F27" s="4">
        <f>F5/SQRT(2*COUNT(Data!$B$2:$B$60))</f>
        <v>1.3087776350050968E-2</v>
      </c>
      <c r="G27" s="4">
        <f>G5/SQRT(2*COUNT(Data!$B$2:$B$60))</f>
        <v>9.2618274468326284E-3</v>
      </c>
      <c r="I27" t="s">
        <v>56</v>
      </c>
    </row>
    <row r="28" spans="1:9" x14ac:dyDescent="0.2">
      <c r="C28" t="s">
        <v>11</v>
      </c>
      <c r="D28" s="4">
        <f>D5/(COUNT(Data!$B$2:$B$60)/2)</f>
        <v>2.7278993540534569E-3</v>
      </c>
      <c r="E28" s="4">
        <f>E5/(COUNT(Data!$B$2:$B$60)/2)</f>
        <v>3.5747807958297177E-3</v>
      </c>
      <c r="F28" s="4">
        <f>F5/(COUNT(Data!$B$2:$B$60)/2)</f>
        <v>4.8193098850347529E-3</v>
      </c>
      <c r="G28" s="4">
        <f>G5/(COUNT(Data!$B$2:$B$60)/2)</f>
        <v>3.41048130516326E-3</v>
      </c>
    </row>
    <row r="31" spans="1:9" x14ac:dyDescent="0.2">
      <c r="A31" t="s">
        <v>16</v>
      </c>
      <c r="I31" t="s">
        <v>57</v>
      </c>
    </row>
    <row r="32" spans="1:9" x14ac:dyDescent="0.2">
      <c r="I32" t="s">
        <v>58</v>
      </c>
    </row>
    <row r="33" spans="1:10" x14ac:dyDescent="0.2">
      <c r="I33" t="s">
        <v>59</v>
      </c>
    </row>
    <row r="47" spans="1:10" x14ac:dyDescent="0.2">
      <c r="A47" t="s">
        <v>17</v>
      </c>
      <c r="D47" t="s">
        <v>1</v>
      </c>
      <c r="E47" t="s">
        <v>2</v>
      </c>
      <c r="F47" t="s">
        <v>3</v>
      </c>
      <c r="G47" t="s">
        <v>4</v>
      </c>
      <c r="I47" t="s">
        <v>14</v>
      </c>
      <c r="J47">
        <v>5.0000000000000001E-3</v>
      </c>
    </row>
    <row r="48" spans="1:10" x14ac:dyDescent="0.2">
      <c r="C48" t="s">
        <v>13</v>
      </c>
      <c r="D48" s="6">
        <f>(D3-$J$47)/D5</f>
        <v>7.8292309234232915E-2</v>
      </c>
      <c r="E48" s="6">
        <f>(E3-$J$47)/E5</f>
        <v>-3.2761856545953386E-2</v>
      </c>
      <c r="F48" s="6">
        <f>(F3-$J$47)/F5</f>
        <v>0.1650200929617413</v>
      </c>
      <c r="G48" s="6">
        <f>(G3-$J$47)/G5</f>
        <v>0.37483481143410918</v>
      </c>
    </row>
    <row r="49" spans="1:9" x14ac:dyDescent="0.2">
      <c r="D49" t="s">
        <v>60</v>
      </c>
    </row>
    <row r="52" spans="1:9" x14ac:dyDescent="0.2">
      <c r="A52" t="s">
        <v>19</v>
      </c>
      <c r="C52" t="s">
        <v>18</v>
      </c>
      <c r="E52" t="s">
        <v>20</v>
      </c>
      <c r="F52" t="s">
        <v>1</v>
      </c>
      <c r="G52" t="s">
        <v>2</v>
      </c>
      <c r="H52" t="s">
        <v>3</v>
      </c>
      <c r="I52" t="s">
        <v>4</v>
      </c>
    </row>
    <row r="53" spans="1:9" x14ac:dyDescent="0.2">
      <c r="B53" t="s">
        <v>1</v>
      </c>
      <c r="C53" s="4">
        <f>AVERAGE(Data!B$2:B$60)</f>
        <v>1.1300419423728815E-2</v>
      </c>
      <c r="E53" t="s">
        <v>1</v>
      </c>
      <c r="F53">
        <v>6.4759087094068421E-3</v>
      </c>
      <c r="G53">
        <v>8.6997941582056515E-4</v>
      </c>
      <c r="H53">
        <v>3.473484138488153E-3</v>
      </c>
      <c r="I53">
        <v>6.9256280742839647E-4</v>
      </c>
    </row>
    <row r="54" spans="1:9" x14ac:dyDescent="0.2">
      <c r="B54" t="s">
        <v>2</v>
      </c>
      <c r="C54" s="4">
        <f>AVERAGE(Data!C$2:C$60)</f>
        <v>1.545064559322033E-3</v>
      </c>
      <c r="E54" t="s">
        <v>2</v>
      </c>
      <c r="F54">
        <v>8.6997941582056515E-4</v>
      </c>
      <c r="G54">
        <v>1.1120974996697229E-2</v>
      </c>
      <c r="H54">
        <v>2.6361271682676418E-3</v>
      </c>
      <c r="I54">
        <v>1.8502817969748286E-3</v>
      </c>
    </row>
    <row r="55" spans="1:9" x14ac:dyDescent="0.2">
      <c r="B55" t="s">
        <v>3</v>
      </c>
      <c r="C55" s="4">
        <f>AVERAGE(Data!D$2:D$60)</f>
        <v>2.8460847474576275E-2</v>
      </c>
      <c r="E55" t="s">
        <v>3</v>
      </c>
      <c r="F55">
        <v>3.473484138488153E-3</v>
      </c>
      <c r="G55">
        <v>2.6361271682676418E-3</v>
      </c>
      <c r="H55">
        <v>2.0212206995096505E-2</v>
      </c>
      <c r="I55">
        <v>1.1305060703158721E-3</v>
      </c>
    </row>
    <row r="56" spans="1:9" x14ac:dyDescent="0.2">
      <c r="B56" t="s">
        <v>4</v>
      </c>
      <c r="C56" s="4">
        <f>AVERAGE(Data!E$2:E$60)</f>
        <v>4.2711829949152541E-2</v>
      </c>
      <c r="E56" t="s">
        <v>4</v>
      </c>
      <c r="F56">
        <v>6.9256280742839647E-4</v>
      </c>
      <c r="G56">
        <v>1.8502817969748286E-3</v>
      </c>
      <c r="H56">
        <v>1.1305060703158721E-3</v>
      </c>
      <c r="I56">
        <v>1.0122210823278464E-2</v>
      </c>
    </row>
    <row r="58" spans="1:9" x14ac:dyDescent="0.2">
      <c r="B58" t="s">
        <v>21</v>
      </c>
      <c r="C58" t="s">
        <v>22</v>
      </c>
      <c r="D58" t="s">
        <v>23</v>
      </c>
      <c r="E58" t="s">
        <v>24</v>
      </c>
      <c r="F58" t="s">
        <v>61</v>
      </c>
    </row>
    <row r="59" spans="1:9" x14ac:dyDescent="0.2">
      <c r="B59" t="s">
        <v>1</v>
      </c>
      <c r="C59">
        <v>0.45620459546672831</v>
      </c>
      <c r="D59" s="7">
        <f>SUM(C59:C62)</f>
        <v>1</v>
      </c>
      <c r="E59">
        <f t="array" ref="E59">MMULT(TRANSPOSE(C59:C62),MMULT(F53:I56,C59:C62))</f>
        <v>3.5130190692364751E-3</v>
      </c>
      <c r="F59" t="s">
        <v>62</v>
      </c>
    </row>
    <row r="60" spans="1:9" x14ac:dyDescent="0.2">
      <c r="B60" t="s">
        <v>2</v>
      </c>
      <c r="C60">
        <v>0.22325198190028317</v>
      </c>
      <c r="F60" t="s">
        <v>63</v>
      </c>
    </row>
    <row r="61" spans="1:9" x14ac:dyDescent="0.2">
      <c r="B61" t="s">
        <v>3</v>
      </c>
      <c r="C61">
        <v>5.1227118634092447E-2</v>
      </c>
      <c r="F61" t="s">
        <v>67</v>
      </c>
    </row>
    <row r="62" spans="1:9" x14ac:dyDescent="0.2">
      <c r="B62" t="s">
        <v>4</v>
      </c>
      <c r="C62">
        <v>0.26931630399889617</v>
      </c>
    </row>
    <row r="64" spans="1:9" x14ac:dyDescent="0.2">
      <c r="B64" t="s">
        <v>26</v>
      </c>
      <c r="C64" s="3">
        <f>SUMPRODUCT(C59:C62,C53:C56)</f>
        <v>1.8461201385781147E-2</v>
      </c>
    </row>
    <row r="65" spans="1:9" x14ac:dyDescent="0.2">
      <c r="B65" t="s">
        <v>25</v>
      </c>
      <c r="C65" s="3">
        <f>SQRT(E59)</f>
        <v>5.927072691672066E-2</v>
      </c>
    </row>
    <row r="68" spans="1:9" x14ac:dyDescent="0.2">
      <c r="A68" t="s">
        <v>27</v>
      </c>
      <c r="C68" t="s">
        <v>28</v>
      </c>
      <c r="D68" t="s">
        <v>23</v>
      </c>
      <c r="E68" t="s">
        <v>30</v>
      </c>
      <c r="F68" t="s">
        <v>29</v>
      </c>
      <c r="G68" t="s">
        <v>31</v>
      </c>
      <c r="H68" t="s">
        <v>7</v>
      </c>
    </row>
    <row r="69" spans="1:9" x14ac:dyDescent="0.2">
      <c r="B69" t="s">
        <v>1</v>
      </c>
      <c r="C69">
        <v>0.14035196711978515</v>
      </c>
      <c r="D69">
        <f>SUM(C69:C72)</f>
        <v>1.0000000007841758</v>
      </c>
      <c r="E69">
        <v>4.2711829949152541E-2</v>
      </c>
      <c r="F69">
        <f>SUMPRODUCT(C69:C72,C53:C56)</f>
        <v>4.2711829952778717E-2</v>
      </c>
      <c r="G69">
        <f t="array" ref="G69">MMULT(TRANSPOSE(C69:C72),MMULT(F53:I56,C69:C72))</f>
        <v>8.3013896540675685E-3</v>
      </c>
      <c r="H69">
        <f>SQRT(G69)</f>
        <v>9.1111962189756229E-2</v>
      </c>
    </row>
    <row r="70" spans="1:9" x14ac:dyDescent="0.2">
      <c r="B70" t="s">
        <v>2</v>
      </c>
      <c r="C70">
        <v>-0.18522974259985941</v>
      </c>
    </row>
    <row r="71" spans="1:9" x14ac:dyDescent="0.2">
      <c r="B71" t="s">
        <v>3</v>
      </c>
      <c r="C71">
        <v>0.22571469266646538</v>
      </c>
      <c r="E71" t="s">
        <v>68</v>
      </c>
    </row>
    <row r="72" spans="1:9" x14ac:dyDescent="0.2">
      <c r="B72" t="s">
        <v>4</v>
      </c>
      <c r="C72">
        <v>0.81916308359778467</v>
      </c>
    </row>
    <row r="75" spans="1:9" x14ac:dyDescent="0.2">
      <c r="B75" t="s">
        <v>8</v>
      </c>
      <c r="C75">
        <f t="array" ref="C75">MMULT(MMULT(TRANSPOSE(C59:C62),F53:I56),C69:C72)</f>
        <v>3.5130177313706565E-3</v>
      </c>
    </row>
    <row r="78" spans="1:9" x14ac:dyDescent="0.2">
      <c r="A78" t="s">
        <v>32</v>
      </c>
      <c r="C78" t="s">
        <v>18</v>
      </c>
      <c r="E78" t="s">
        <v>20</v>
      </c>
      <c r="F78" t="s">
        <v>1</v>
      </c>
      <c r="G78" t="s">
        <v>2</v>
      </c>
      <c r="H78" t="s">
        <v>3</v>
      </c>
      <c r="I78" t="s">
        <v>4</v>
      </c>
    </row>
    <row r="79" spans="1:9" x14ac:dyDescent="0.2">
      <c r="B79" t="s">
        <v>1</v>
      </c>
      <c r="C79" s="4">
        <f>AVERAGE(Data!B$2:B$60)</f>
        <v>1.1300419423728815E-2</v>
      </c>
      <c r="E79" t="s">
        <v>1</v>
      </c>
      <c r="F79">
        <v>6.4759087094068421E-3</v>
      </c>
      <c r="G79">
        <v>8.6997941582056515E-4</v>
      </c>
      <c r="H79">
        <v>3.473484138488153E-3</v>
      </c>
      <c r="I79">
        <v>6.9256280742839647E-4</v>
      </c>
    </row>
    <row r="80" spans="1:9" x14ac:dyDescent="0.2">
      <c r="B80" t="s">
        <v>2</v>
      </c>
      <c r="C80" s="4">
        <f>AVERAGE(Data!C$2:C$60)</f>
        <v>1.545064559322033E-3</v>
      </c>
      <c r="E80" t="s">
        <v>2</v>
      </c>
      <c r="F80">
        <v>8.6997941582056515E-4</v>
      </c>
      <c r="G80">
        <v>1.1120974996697229E-2</v>
      </c>
      <c r="H80">
        <v>2.6361271682676418E-3</v>
      </c>
      <c r="I80">
        <v>1.8502817969748286E-3</v>
      </c>
    </row>
    <row r="81" spans="2:9" x14ac:dyDescent="0.2">
      <c r="B81" t="s">
        <v>3</v>
      </c>
      <c r="C81" s="4">
        <f>AVERAGE(Data!D$2:D$60)</f>
        <v>2.8460847474576275E-2</v>
      </c>
      <c r="E81" t="s">
        <v>3</v>
      </c>
      <c r="F81">
        <v>3.473484138488153E-3</v>
      </c>
      <c r="G81">
        <v>2.6361271682676418E-3</v>
      </c>
      <c r="H81">
        <v>2.0212206995096505E-2</v>
      </c>
      <c r="I81">
        <v>1.1305060703158721E-3</v>
      </c>
    </row>
    <row r="82" spans="2:9" x14ac:dyDescent="0.2">
      <c r="B82" t="s">
        <v>4</v>
      </c>
      <c r="C82" s="4">
        <f>AVERAGE(Data!E$2:E$60)</f>
        <v>4.2711829949152541E-2</v>
      </c>
      <c r="E82" t="s">
        <v>4</v>
      </c>
      <c r="F82">
        <v>6.9256280742839647E-4</v>
      </c>
      <c r="G82">
        <v>1.8502817969748286E-3</v>
      </c>
      <c r="H82">
        <v>1.1305060703158721E-3</v>
      </c>
      <c r="I82">
        <v>1.0122210823278464E-2</v>
      </c>
    </row>
    <row r="84" spans="2:9" x14ac:dyDescent="0.2">
      <c r="B84" t="s">
        <v>21</v>
      </c>
      <c r="C84" t="s">
        <v>22</v>
      </c>
      <c r="D84" t="s">
        <v>23</v>
      </c>
      <c r="E84" t="s">
        <v>24</v>
      </c>
    </row>
    <row r="85" spans="2:9" x14ac:dyDescent="0.2">
      <c r="B85" t="s">
        <v>1</v>
      </c>
      <c r="C85">
        <v>0.45620459546672831</v>
      </c>
      <c r="D85" s="7">
        <f>SUM(C85:C88)</f>
        <v>1</v>
      </c>
      <c r="E85">
        <f t="array" ref="E85">MMULT(TRANSPOSE(C85:C88),MMULT(F79:I82,C85:C88))</f>
        <v>3.5130190692364751E-3</v>
      </c>
      <c r="F85" t="s">
        <v>66</v>
      </c>
    </row>
    <row r="86" spans="2:9" x14ac:dyDescent="0.2">
      <c r="B86" t="s">
        <v>2</v>
      </c>
      <c r="C86">
        <v>0.22325198190028317</v>
      </c>
    </row>
    <row r="87" spans="2:9" x14ac:dyDescent="0.2">
      <c r="B87" t="s">
        <v>3</v>
      </c>
      <c r="C87">
        <v>5.1227118634092447E-2</v>
      </c>
    </row>
    <row r="88" spans="2:9" x14ac:dyDescent="0.2">
      <c r="B88" t="s">
        <v>4</v>
      </c>
      <c r="C88">
        <v>0.26931630399889617</v>
      </c>
    </row>
    <row r="90" spans="2:9" x14ac:dyDescent="0.2">
      <c r="B90" t="s">
        <v>26</v>
      </c>
      <c r="C90" s="3">
        <f>SUMPRODUCT(C85:C88,C79:C82)</f>
        <v>1.8461201385781147E-2</v>
      </c>
    </row>
    <row r="91" spans="2:9" x14ac:dyDescent="0.2">
      <c r="B91" t="s">
        <v>25</v>
      </c>
      <c r="C91" s="3">
        <f>SQRT(E85)</f>
        <v>5.927072691672066E-2</v>
      </c>
    </row>
    <row r="94" spans="2:9" x14ac:dyDescent="0.2">
      <c r="C94" t="s">
        <v>28</v>
      </c>
      <c r="D94" t="s">
        <v>23</v>
      </c>
      <c r="E94" t="s">
        <v>30</v>
      </c>
      <c r="F94" t="s">
        <v>29</v>
      </c>
      <c r="G94" t="s">
        <v>31</v>
      </c>
      <c r="H94" t="s">
        <v>7</v>
      </c>
    </row>
    <row r="95" spans="2:9" x14ac:dyDescent="0.2">
      <c r="B95" t="s">
        <v>1</v>
      </c>
      <c r="C95">
        <v>0</v>
      </c>
      <c r="D95">
        <f>SUM(C95:C98)</f>
        <v>1</v>
      </c>
      <c r="E95">
        <v>4.2711829949152541E-2</v>
      </c>
      <c r="F95">
        <f>SUMPRODUCT(C95:C98,C79:C82)</f>
        <v>4.2711829949152541E-2</v>
      </c>
      <c r="G95">
        <f t="array" ref="G95">MMULT(TRANSPOSE(C95:C98),MMULT(F79:I82,C95:C98))</f>
        <v>1.0122210823278464E-2</v>
      </c>
      <c r="H95">
        <f>SQRT(G95)</f>
        <v>0.1006091985023162</v>
      </c>
    </row>
    <row r="96" spans="2:9" x14ac:dyDescent="0.2">
      <c r="B96" t="s">
        <v>2</v>
      </c>
      <c r="C96">
        <v>0</v>
      </c>
      <c r="F96" t="s">
        <v>64</v>
      </c>
    </row>
    <row r="97" spans="1:10" x14ac:dyDescent="0.2">
      <c r="B97" t="s">
        <v>3</v>
      </c>
      <c r="C97">
        <v>0</v>
      </c>
    </row>
    <row r="98" spans="1:10" x14ac:dyDescent="0.2">
      <c r="B98" t="s">
        <v>4</v>
      </c>
      <c r="C98">
        <v>1</v>
      </c>
    </row>
    <row r="101" spans="1:10" x14ac:dyDescent="0.2">
      <c r="B101" t="s">
        <v>8</v>
      </c>
      <c r="C101">
        <f t="array" ref="C101">MMULT(MMULT(TRANSPOSE(C85:C88),F79:I82),C95:C98)</f>
        <v>3.5130183894504338E-3</v>
      </c>
    </row>
    <row r="104" spans="1:10" x14ac:dyDescent="0.2">
      <c r="A104" t="s">
        <v>33</v>
      </c>
      <c r="B104" t="s">
        <v>34</v>
      </c>
      <c r="C104" t="s">
        <v>35</v>
      </c>
      <c r="D104" t="s">
        <v>36</v>
      </c>
      <c r="E104" t="s">
        <v>6</v>
      </c>
      <c r="F104" t="s">
        <v>7</v>
      </c>
      <c r="G104" t="s">
        <v>1</v>
      </c>
      <c r="H104" t="s">
        <v>2</v>
      </c>
      <c r="I104" t="s">
        <v>3</v>
      </c>
      <c r="J104" t="s">
        <v>4</v>
      </c>
    </row>
    <row r="105" spans="1:10" x14ac:dyDescent="0.2">
      <c r="B105">
        <v>1</v>
      </c>
      <c r="C105">
        <f>1-B105</f>
        <v>0</v>
      </c>
      <c r="D105">
        <f t="array" ref="D105">SUMPRODUCT(G105:J105,TRANSPOSE($C$79:$C$82))</f>
        <v>1.8461201385781147E-2</v>
      </c>
      <c r="E105">
        <f>B105^2*$E$85+C105^2*$G$69+2*B105*C105*$C$75</f>
        <v>3.5130190692364751E-3</v>
      </c>
      <c r="F105">
        <f>SQRT(E105)</f>
        <v>5.927072691672066E-2</v>
      </c>
      <c r="G105">
        <f t="array" ref="G105:J105">TRANSPOSE($B105*$C$85:$C$88+$C105*$C$69:$C$72)</f>
        <v>0.45620459546672831</v>
      </c>
      <c r="H105">
        <v>0.22325198190028317</v>
      </c>
      <c r="I105">
        <v>5.1227118634092447E-2</v>
      </c>
      <c r="J105">
        <v>0.26931630399889617</v>
      </c>
    </row>
    <row r="106" spans="1:10" x14ac:dyDescent="0.2">
      <c r="B106">
        <f>B105-0.1</f>
        <v>0.9</v>
      </c>
      <c r="C106">
        <f t="shared" ref="C106:C125" si="0">1-B106</f>
        <v>9.9999999999999978E-2</v>
      </c>
      <c r="D106">
        <f t="array" ref="D106">SUMPRODUCT(G106:J106,TRANSPOSE($C$79:$C$82))</f>
        <v>2.0886264242480905E-2</v>
      </c>
      <c r="E106">
        <f t="shared" ref="E106:E125" si="1">B106^2*$E$85+C106^2*$G$69+2*B106*C106*$C$75</f>
        <v>3.5609025342689389E-3</v>
      </c>
      <c r="F106">
        <f t="shared" ref="F106:F125" si="2">SQRT(E106)</f>
        <v>5.9673298335762695E-2</v>
      </c>
      <c r="G106">
        <f t="array" ref="G106:J106">TRANSPOSE($B106*$C$85:$C$88+$C106*$C$69:$C$72)</f>
        <v>0.424619332632034</v>
      </c>
      <c r="H106">
        <v>0.18240380945026891</v>
      </c>
      <c r="I106">
        <v>6.8675876037329733E-2</v>
      </c>
      <c r="J106">
        <v>0.32430098195878498</v>
      </c>
    </row>
    <row r="107" spans="1:10" x14ac:dyDescent="0.2">
      <c r="B107">
        <f t="shared" ref="B107:B125" si="3">B106-0.1</f>
        <v>0.8</v>
      </c>
      <c r="C107">
        <f t="shared" si="0"/>
        <v>0.19999999999999996</v>
      </c>
      <c r="D107">
        <f t="array" ref="D107">SUMPRODUCT(G107:J107,TRANSPOSE($C$79:$C$82))</f>
        <v>2.331132709918066E-2</v>
      </c>
      <c r="E107">
        <f t="shared" si="1"/>
        <v>3.7045534645126568E-3</v>
      </c>
      <c r="F107">
        <f t="shared" si="2"/>
        <v>6.0865043042066906E-2</v>
      </c>
      <c r="G107">
        <f t="array" ref="G107:J107">TRANSPOSE($B107*$C$85:$C$88+$C107*$C$69:$C$72)</f>
        <v>0.39303406979733968</v>
      </c>
      <c r="H107">
        <v>0.14155563700025467</v>
      </c>
      <c r="I107">
        <v>8.6124633440567033E-2</v>
      </c>
      <c r="J107">
        <v>0.37928565991867386</v>
      </c>
    </row>
    <row r="108" spans="1:10" x14ac:dyDescent="0.2">
      <c r="B108">
        <f t="shared" si="3"/>
        <v>0.70000000000000007</v>
      </c>
      <c r="C108">
        <f t="shared" si="0"/>
        <v>0.29999999999999993</v>
      </c>
      <c r="D108">
        <f t="array" ref="D108">SUMPRODUCT(G108:J108,TRANSPOSE($C$79:$C$82))</f>
        <v>2.5736389955880418E-2</v>
      </c>
      <c r="E108">
        <f t="shared" si="1"/>
        <v>3.9439718599676293E-3</v>
      </c>
      <c r="F108">
        <f t="shared" si="2"/>
        <v>6.2801049831731556E-2</v>
      </c>
      <c r="G108">
        <f t="array" ref="G108:J108">TRANSPOSE($B108*$C$85:$C$88+$C108*$C$69:$C$72)</f>
        <v>0.36144880696264536</v>
      </c>
      <c r="H108">
        <v>0.10070746455024043</v>
      </c>
      <c r="I108">
        <v>0.10357339084380432</v>
      </c>
      <c r="J108">
        <v>0.43427033787856267</v>
      </c>
    </row>
    <row r="109" spans="1:10" x14ac:dyDescent="0.2">
      <c r="B109">
        <f t="shared" si="3"/>
        <v>0.60000000000000009</v>
      </c>
      <c r="C109">
        <f t="shared" si="0"/>
        <v>0.39999999999999991</v>
      </c>
      <c r="D109">
        <f t="array" ref="D109">SUMPRODUCT(G109:J109,TRANSPOSE($C$79:$C$82))</f>
        <v>2.8161452812580177E-2</v>
      </c>
      <c r="E109">
        <f t="shared" si="1"/>
        <v>4.2791577206338569E-3</v>
      </c>
      <c r="F109">
        <f t="shared" si="2"/>
        <v>6.5415271310557577E-2</v>
      </c>
      <c r="G109">
        <f t="array" ref="G109:J109">TRANSPOSE($B109*$C$85:$C$88+$C109*$C$69:$C$72)</f>
        <v>0.3298635441279511</v>
      </c>
      <c r="H109">
        <v>5.9859292100226183E-2</v>
      </c>
      <c r="I109">
        <v>0.12102214824704161</v>
      </c>
      <c r="J109">
        <v>0.48925501583845155</v>
      </c>
    </row>
    <row r="110" spans="1:10" x14ac:dyDescent="0.2">
      <c r="B110">
        <f t="shared" si="3"/>
        <v>0.50000000000000011</v>
      </c>
      <c r="C110">
        <f t="shared" si="0"/>
        <v>0.49999999999999989</v>
      </c>
      <c r="D110">
        <f t="array" ref="D110">SUMPRODUCT(G110:J110,TRANSPOSE($C$79:$C$82))</f>
        <v>3.0586515669279932E-2</v>
      </c>
      <c r="E110">
        <f t="shared" si="1"/>
        <v>4.7101110465113385E-3</v>
      </c>
      <c r="F110">
        <f t="shared" si="2"/>
        <v>6.8630248772034469E-2</v>
      </c>
      <c r="G110">
        <f t="array" ref="G110:J110">TRANSPOSE($B110*$C$85:$C$88+$C110*$C$69:$C$72)</f>
        <v>0.29827828129325679</v>
      </c>
      <c r="H110">
        <v>1.9011119650211919E-2</v>
      </c>
      <c r="I110">
        <v>0.13847090565027889</v>
      </c>
      <c r="J110">
        <v>0.54423969379834036</v>
      </c>
    </row>
    <row r="111" spans="1:10" x14ac:dyDescent="0.2">
      <c r="B111">
        <f t="shared" si="3"/>
        <v>0.40000000000000013</v>
      </c>
      <c r="C111">
        <f t="shared" si="0"/>
        <v>0.59999999999999987</v>
      </c>
      <c r="D111">
        <f t="array" ref="D111">SUMPRODUCT(G111:J111,TRANSPOSE($C$79:$C$82))</f>
        <v>3.301157852597969E-2</v>
      </c>
      <c r="E111">
        <f t="shared" si="1"/>
        <v>5.2368318376000752E-3</v>
      </c>
      <c r="F111">
        <f t="shared" si="2"/>
        <v>7.2365957725992094E-2</v>
      </c>
      <c r="G111">
        <f t="array" ref="G111:J111">TRANSPOSE($B111*$C$85:$C$88+$C111*$C$69:$C$72)</f>
        <v>0.26669301845856247</v>
      </c>
      <c r="H111">
        <v>-2.1837052799802331E-2</v>
      </c>
      <c r="I111">
        <v>0.15591966305351621</v>
      </c>
      <c r="J111">
        <v>0.59922437175822918</v>
      </c>
    </row>
    <row r="112" spans="1:10" x14ac:dyDescent="0.2">
      <c r="B112">
        <f t="shared" si="3"/>
        <v>0.30000000000000016</v>
      </c>
      <c r="C112">
        <f t="shared" si="0"/>
        <v>0.69999999999999984</v>
      </c>
      <c r="D112">
        <f t="array" ref="D112">SUMPRODUCT(G112:J112,TRANSPOSE($C$79:$C$82))</f>
        <v>3.5436641382679442E-2</v>
      </c>
      <c r="E112">
        <f t="shared" si="1"/>
        <v>5.859320093900066E-3</v>
      </c>
      <c r="F112">
        <f t="shared" si="2"/>
        <v>7.6546195815991189E-2</v>
      </c>
      <c r="G112">
        <f t="array" ref="G112:J112">TRANSPOSE($B112*$C$85:$C$88+$C112*$C$69:$C$72)</f>
        <v>0.23510775562386815</v>
      </c>
      <c r="H112">
        <v>-6.2685225249816581E-2</v>
      </c>
      <c r="I112">
        <v>0.17336842045675346</v>
      </c>
      <c r="J112">
        <v>0.654209049718118</v>
      </c>
    </row>
    <row r="113" spans="1:10" x14ac:dyDescent="0.2">
      <c r="B113">
        <f t="shared" si="3"/>
        <v>0.20000000000000015</v>
      </c>
      <c r="C113">
        <f t="shared" si="0"/>
        <v>0.79999999999999982</v>
      </c>
      <c r="D113">
        <f t="array" ref="D113">SUMPRODUCT(G113:J113,TRANSPOSE($C$79:$C$82))</f>
        <v>3.78617042393792E-2</v>
      </c>
      <c r="E113">
        <f t="shared" si="1"/>
        <v>6.577575815411311E-3</v>
      </c>
      <c r="F113">
        <f t="shared" si="2"/>
        <v>8.1102255304099355E-2</v>
      </c>
      <c r="G113">
        <f t="array" ref="G113:J113">TRANSPOSE($B113*$C$85:$C$88+$C113*$C$69:$C$72)</f>
        <v>0.20352249278917384</v>
      </c>
      <c r="H113">
        <v>-0.10353339769983083</v>
      </c>
      <c r="I113">
        <v>0.19081717785999075</v>
      </c>
      <c r="J113">
        <v>0.70919372767800692</v>
      </c>
    </row>
    <row r="114" spans="1:10" x14ac:dyDescent="0.2">
      <c r="B114">
        <f t="shared" si="3"/>
        <v>0.10000000000000014</v>
      </c>
      <c r="C114">
        <f t="shared" si="0"/>
        <v>0.89999999999999991</v>
      </c>
      <c r="D114">
        <f t="array" ref="D114">SUMPRODUCT(G114:J114,TRANSPOSE($C$79:$C$82))</f>
        <v>4.0286767096078958E-2</v>
      </c>
      <c r="E114">
        <f t="shared" si="1"/>
        <v>7.3915990021338135E-3</v>
      </c>
      <c r="F114">
        <f t="shared" si="2"/>
        <v>8.5974408995548285E-2</v>
      </c>
      <c r="G114">
        <f t="array" ref="G114:J114">TRANSPOSE($B114*$C$85:$C$88+$C114*$C$69:$C$72)</f>
        <v>0.17193722995447952</v>
      </c>
      <c r="H114">
        <v>-0.14438157014984512</v>
      </c>
      <c r="I114">
        <v>0.20826593526322809</v>
      </c>
      <c r="J114">
        <v>0.76417840563789574</v>
      </c>
    </row>
    <row r="115" spans="1:10" x14ac:dyDescent="0.2">
      <c r="B115">
        <v>0</v>
      </c>
      <c r="C115">
        <f t="shared" si="0"/>
        <v>1</v>
      </c>
      <c r="D115">
        <f t="array" ref="D115">SUMPRODUCT(G115:J115,TRANSPOSE($C$79:$C$82))</f>
        <v>4.2711829952778717E-2</v>
      </c>
      <c r="E115">
        <f t="shared" si="1"/>
        <v>8.3013896540675685E-3</v>
      </c>
      <c r="F115">
        <f t="shared" si="2"/>
        <v>9.1111962189756229E-2</v>
      </c>
      <c r="G115">
        <f t="array" ref="G115:J115">TRANSPOSE($B115*$C$85:$C$88+$C115*$C$69:$C$72)</f>
        <v>0.14035196711978515</v>
      </c>
      <c r="H115">
        <v>-0.18522974259985941</v>
      </c>
      <c r="I115">
        <v>0.22571469266646538</v>
      </c>
      <c r="J115">
        <v>0.81916308359778467</v>
      </c>
    </row>
    <row r="116" spans="1:10" x14ac:dyDescent="0.2">
      <c r="B116">
        <f t="shared" si="3"/>
        <v>-0.1</v>
      </c>
      <c r="C116">
        <f t="shared" si="0"/>
        <v>1.1000000000000001</v>
      </c>
      <c r="D116">
        <f t="array" ref="D116">SUMPRODUCT(G116:J116,TRANSPOSE($C$79:$C$82))</f>
        <v>4.5136892809478482E-2</v>
      </c>
      <c r="E116">
        <f t="shared" si="1"/>
        <v>9.3069477712125794E-3</v>
      </c>
      <c r="F116">
        <f t="shared" si="2"/>
        <v>9.6472523400254126E-2</v>
      </c>
      <c r="G116">
        <f t="array" ref="G116:J116">TRANSPOSE($B116*$C$85:$C$88+$C116*$C$69:$C$72)</f>
        <v>0.10876670428509085</v>
      </c>
      <c r="H116">
        <v>-0.22607791504987368</v>
      </c>
      <c r="I116">
        <v>0.24316345006970269</v>
      </c>
      <c r="J116">
        <v>0.8741477615576736</v>
      </c>
    </row>
    <row r="117" spans="1:10" x14ac:dyDescent="0.2">
      <c r="B117">
        <f t="shared" si="3"/>
        <v>-0.2</v>
      </c>
      <c r="C117">
        <f t="shared" si="0"/>
        <v>1.2</v>
      </c>
      <c r="D117">
        <f t="array" ref="D117">SUMPRODUCT(G117:J117,TRANSPOSE($C$79:$C$82))</f>
        <v>4.7561955666178227E-2</v>
      </c>
      <c r="E117">
        <f t="shared" si="1"/>
        <v>1.040827335356884E-2</v>
      </c>
      <c r="F117">
        <f t="shared" si="2"/>
        <v>0.10202094566102021</v>
      </c>
      <c r="G117">
        <f t="array" ref="G117:J117">TRANSPOSE($B117*$C$85:$C$88+$C117*$C$69:$C$72)</f>
        <v>7.7181441450396515E-2</v>
      </c>
      <c r="H117">
        <v>-0.26692608749988789</v>
      </c>
      <c r="I117">
        <v>0.26061220747293995</v>
      </c>
      <c r="J117">
        <v>0.9291324395175623</v>
      </c>
    </row>
    <row r="118" spans="1:10" x14ac:dyDescent="0.2">
      <c r="B118">
        <f t="shared" si="3"/>
        <v>-0.30000000000000004</v>
      </c>
      <c r="C118">
        <f t="shared" si="0"/>
        <v>1.3</v>
      </c>
      <c r="D118">
        <f t="array" ref="D118">SUMPRODUCT(G118:J118,TRANSPOSE($C$79:$C$82))</f>
        <v>4.9987018522877999E-2</v>
      </c>
      <c r="E118">
        <f t="shared" si="1"/>
        <v>1.1605366401136363E-2</v>
      </c>
      <c r="F118">
        <f t="shared" si="2"/>
        <v>0.10772820615389622</v>
      </c>
      <c r="G118">
        <f t="array" ref="G118:J118">TRANSPOSE($B118*$C$85:$C$88+$C118*$C$69:$C$72)</f>
        <v>4.5596178615702171E-2</v>
      </c>
      <c r="H118">
        <v>-0.30777425994990221</v>
      </c>
      <c r="I118">
        <v>0.27806096487617726</v>
      </c>
      <c r="J118">
        <v>0.98411711747745134</v>
      </c>
    </row>
    <row r="119" spans="1:10" x14ac:dyDescent="0.2">
      <c r="B119">
        <f t="shared" si="3"/>
        <v>-0.4</v>
      </c>
      <c r="C119">
        <f t="shared" si="0"/>
        <v>1.4</v>
      </c>
      <c r="D119">
        <f t="array" ref="D119">SUMPRODUCT(G119:J119,TRANSPOSE($C$79:$C$82))</f>
        <v>5.2412081379577743E-2</v>
      </c>
      <c r="E119">
        <f t="shared" si="1"/>
        <v>1.2898226913915133E-2</v>
      </c>
      <c r="F119">
        <f t="shared" si="2"/>
        <v>0.11357036107151872</v>
      </c>
      <c r="G119">
        <f t="array" ref="G119:J119">TRANSPOSE($B119*$C$85:$C$88+$C119*$C$69:$C$72)</f>
        <v>1.4010915781007854E-2</v>
      </c>
      <c r="H119">
        <v>-0.34862243239991642</v>
      </c>
      <c r="I119">
        <v>0.29550972227941452</v>
      </c>
      <c r="J119">
        <v>1.03910179543734</v>
      </c>
    </row>
    <row r="120" spans="1:10" x14ac:dyDescent="0.2">
      <c r="B120">
        <f t="shared" si="3"/>
        <v>-0.5</v>
      </c>
      <c r="C120">
        <f t="shared" si="0"/>
        <v>1.5</v>
      </c>
      <c r="D120">
        <f t="array" ref="D120">SUMPRODUCT(G120:J120,TRANSPOSE($C$79:$C$82))</f>
        <v>5.4837144236277509E-2</v>
      </c>
      <c r="E120">
        <f t="shared" si="1"/>
        <v>1.4286854891905162E-2</v>
      </c>
      <c r="F120">
        <f t="shared" si="2"/>
        <v>0.11952763233623079</v>
      </c>
      <c r="G120">
        <f t="array" ref="G120:J120">TRANSPOSE($B120*$C$85:$C$88+$C120*$C$69:$C$72)</f>
        <v>-1.7574347053686434E-2</v>
      </c>
      <c r="H120">
        <v>-0.38947060484993068</v>
      </c>
      <c r="I120">
        <v>0.31295847968265184</v>
      </c>
      <c r="J120">
        <v>1.0940864733972289</v>
      </c>
    </row>
    <row r="121" spans="1:10" x14ac:dyDescent="0.2">
      <c r="B121">
        <f t="shared" si="3"/>
        <v>-0.6</v>
      </c>
      <c r="C121">
        <f t="shared" si="0"/>
        <v>1.6</v>
      </c>
      <c r="D121">
        <f t="array" ref="D121">SUMPRODUCT(G121:J121,TRANSPOSE($C$79:$C$82))</f>
        <v>5.7262207092977267E-2</v>
      </c>
      <c r="E121">
        <f t="shared" si="1"/>
        <v>1.577125033510645E-2</v>
      </c>
      <c r="F121">
        <f t="shared" si="2"/>
        <v>0.12558363880341439</v>
      </c>
      <c r="G121">
        <f t="array" ref="G121:J121">TRANSPOSE($B121*$C$85:$C$88+$C121*$C$69:$C$72)</f>
        <v>-4.9159609888380723E-2</v>
      </c>
      <c r="H121">
        <v>-0.430318777299945</v>
      </c>
      <c r="I121">
        <v>0.33040723708588915</v>
      </c>
      <c r="J121">
        <v>1.1490711513571179</v>
      </c>
    </row>
    <row r="122" spans="1:10" x14ac:dyDescent="0.2">
      <c r="B122">
        <f t="shared" si="3"/>
        <v>-0.7</v>
      </c>
      <c r="C122">
        <f t="shared" si="0"/>
        <v>1.7</v>
      </c>
      <c r="D122">
        <f t="array" ref="D122">SUMPRODUCT(G122:J122,TRANSPOSE($C$79:$C$82))</f>
        <v>5.9687269949677019E-2</v>
      </c>
      <c r="E122">
        <f t="shared" si="1"/>
        <v>1.7351413243518979E-2</v>
      </c>
      <c r="F122">
        <f t="shared" si="2"/>
        <v>0.13172476321299265</v>
      </c>
      <c r="G122">
        <f t="array" ref="G122:J122">TRANSPOSE($B122*$C$85:$C$88+$C122*$C$69:$C$72)</f>
        <v>-8.074487272307504E-2</v>
      </c>
      <c r="H122">
        <v>-0.47116694974995921</v>
      </c>
      <c r="I122">
        <v>0.34785599448912641</v>
      </c>
      <c r="J122">
        <v>1.2040558293170065</v>
      </c>
    </row>
    <row r="123" spans="1:10" x14ac:dyDescent="0.2">
      <c r="B123">
        <f t="shared" si="3"/>
        <v>-0.79999999999999993</v>
      </c>
      <c r="C123">
        <f t="shared" si="0"/>
        <v>1.7999999999999998</v>
      </c>
      <c r="D123">
        <f t="array" ref="D123">SUMPRODUCT(G123:J123,TRANSPOSE($C$79:$C$82))</f>
        <v>6.211233280637677E-2</v>
      </c>
      <c r="E123">
        <f t="shared" si="1"/>
        <v>1.9027343617142773E-2</v>
      </c>
      <c r="F123">
        <f t="shared" si="2"/>
        <v>0.1379396375852234</v>
      </c>
      <c r="G123">
        <f t="array" ref="G123:J123">TRANSPOSE($B123*$C$85:$C$88+$C123*$C$69:$C$72)</f>
        <v>-0.11233013555776938</v>
      </c>
      <c r="H123">
        <v>-0.51201512219997347</v>
      </c>
      <c r="I123">
        <v>0.36530475189236372</v>
      </c>
      <c r="J123">
        <v>1.2590405072768953</v>
      </c>
    </row>
    <row r="124" spans="1:10" x14ac:dyDescent="0.2">
      <c r="B124">
        <f t="shared" si="3"/>
        <v>-0.89999999999999991</v>
      </c>
      <c r="C124">
        <f t="shared" si="0"/>
        <v>1.9</v>
      </c>
      <c r="D124">
        <f t="array" ref="D124">SUMPRODUCT(G124:J124,TRANSPOSE($C$79:$C$82))</f>
        <v>6.4537395663076536E-2</v>
      </c>
      <c r="E124">
        <f t="shared" si="1"/>
        <v>2.0799041455977822E-2</v>
      </c>
      <c r="F124">
        <f t="shared" si="2"/>
        <v>0.14421872782679032</v>
      </c>
      <c r="G124">
        <f t="array" ref="G124:J124">TRANSPOSE($B124*$C$85:$C$88+$C124*$C$69:$C$72)</f>
        <v>-0.14391539839246364</v>
      </c>
      <c r="H124">
        <v>-0.55286329464998774</v>
      </c>
      <c r="I124">
        <v>0.38275350929560104</v>
      </c>
      <c r="J124">
        <v>1.3140251852367844</v>
      </c>
    </row>
    <row r="125" spans="1:10" x14ac:dyDescent="0.2">
      <c r="B125">
        <f t="shared" si="3"/>
        <v>-0.99999999999999989</v>
      </c>
      <c r="C125">
        <f t="shared" si="0"/>
        <v>2</v>
      </c>
      <c r="D125">
        <f t="array" ref="D125">SUMPRODUCT(G125:J125,TRANSPOSE($C$79:$C$82))</f>
        <v>6.6962458519776294E-2</v>
      </c>
      <c r="E125">
        <f t="shared" si="1"/>
        <v>2.2666506760024126E-2</v>
      </c>
      <c r="F125">
        <f t="shared" si="2"/>
        <v>0.15055399948199358</v>
      </c>
      <c r="G125">
        <f t="array" ref="G125:J125">TRANSPOSE($B125*$C$85:$C$88+$C125*$C$69:$C$72)</f>
        <v>-0.17550066122715796</v>
      </c>
      <c r="H125">
        <v>-0.593711467100002</v>
      </c>
      <c r="I125">
        <v>0.40020226669883829</v>
      </c>
      <c r="J125">
        <v>1.3690098631966732</v>
      </c>
    </row>
    <row r="128" spans="1:10" x14ac:dyDescent="0.2">
      <c r="A128" t="s">
        <v>37</v>
      </c>
    </row>
    <row r="149" spans="1:8" x14ac:dyDescent="0.2">
      <c r="A149" t="s">
        <v>38</v>
      </c>
    </row>
    <row r="150" spans="1:8" x14ac:dyDescent="0.2">
      <c r="B150" t="s">
        <v>14</v>
      </c>
      <c r="D150" t="s">
        <v>39</v>
      </c>
      <c r="E150" t="s">
        <v>28</v>
      </c>
      <c r="F150" t="s">
        <v>40</v>
      </c>
      <c r="G150" t="s">
        <v>6</v>
      </c>
      <c r="H150" t="s">
        <v>41</v>
      </c>
    </row>
    <row r="151" spans="1:8" x14ac:dyDescent="0.2">
      <c r="B151">
        <v>5.0000000000000001E-3</v>
      </c>
      <c r="D151" t="s">
        <v>1</v>
      </c>
      <c r="E151">
        <v>3.8759992789360258E-2</v>
      </c>
      <c r="F151">
        <f t="array" ref="F151">MMULT(TRANSPOSE($E$151:$E$154),$C$79:$C$82)-$B$151</f>
        <v>4.551314499930826E-2</v>
      </c>
      <c r="G151">
        <f t="array" ref="G151">MMULT(TRANSPOSE($E$151:$E$154),MMULT($F$79:$I$82,$E$151:$E$154))</f>
        <v>1.1877722693162941E-2</v>
      </c>
      <c r="H151">
        <f>F151/SQRT(G151)</f>
        <v>0.41760939055448215</v>
      </c>
    </row>
    <row r="152" spans="1:8" x14ac:dyDescent="0.2">
      <c r="D152" t="s">
        <v>2</v>
      </c>
      <c r="E152">
        <v>-0.31662831899521726</v>
      </c>
    </row>
    <row r="153" spans="1:8" x14ac:dyDescent="0.2">
      <c r="D153" t="s">
        <v>3</v>
      </c>
      <c r="E153">
        <v>0.28178707225216415</v>
      </c>
      <c r="G153" t="s">
        <v>65</v>
      </c>
    </row>
    <row r="154" spans="1:8" x14ac:dyDescent="0.2">
      <c r="D154" t="s">
        <v>4</v>
      </c>
      <c r="E154">
        <v>0.99608125395369285</v>
      </c>
    </row>
    <row r="155" spans="1:8" x14ac:dyDescent="0.2">
      <c r="E155">
        <f>SUM(E151:E154)</f>
        <v>1</v>
      </c>
    </row>
    <row r="160" spans="1:8" x14ac:dyDescent="0.2">
      <c r="A160" t="s">
        <v>42</v>
      </c>
      <c r="B160" t="s">
        <v>14</v>
      </c>
      <c r="D160" t="s">
        <v>39</v>
      </c>
      <c r="E160" t="s">
        <v>28</v>
      </c>
      <c r="F160" t="s">
        <v>40</v>
      </c>
      <c r="G160" t="s">
        <v>6</v>
      </c>
      <c r="H160" t="s">
        <v>41</v>
      </c>
    </row>
    <row r="161" spans="1:8" x14ac:dyDescent="0.2">
      <c r="B161">
        <v>5.0000000000000001E-3</v>
      </c>
      <c r="D161" t="s">
        <v>1</v>
      </c>
      <c r="E161">
        <v>1.7142027008747288E-2</v>
      </c>
      <c r="F161">
        <f>SUMPRODUCT(E161:E164,C79:C82)-B161</f>
        <v>3.4270745525444936E-2</v>
      </c>
      <c r="G161">
        <f t="array" ref="G161">MMULT(TRANSPOSE($E$161:$E$164),MMULT($F$79:$I$82,$E$161:$E$164))</f>
        <v>7.3873868799549406E-3</v>
      </c>
      <c r="H161">
        <f>F161/SQRT(G161)</f>
        <v>0.39872928163834465</v>
      </c>
    </row>
    <row r="162" spans="1:8" x14ac:dyDescent="0.2">
      <c r="D162" t="s">
        <v>2</v>
      </c>
      <c r="E162">
        <v>0</v>
      </c>
    </row>
    <row r="163" spans="1:8" x14ac:dyDescent="0.2">
      <c r="D163" t="s">
        <v>3</v>
      </c>
      <c r="E163">
        <v>0.20367923273193433</v>
      </c>
    </row>
    <row r="164" spans="1:8" x14ac:dyDescent="0.2">
      <c r="D164" t="s">
        <v>4</v>
      </c>
      <c r="E164">
        <v>0.77917874025931821</v>
      </c>
    </row>
    <row r="165" spans="1:8" x14ac:dyDescent="0.2">
      <c r="E165">
        <f>SUM(E161:E164)</f>
        <v>0.99999999999999978</v>
      </c>
    </row>
    <row r="168" spans="1:8" x14ac:dyDescent="0.2">
      <c r="A168" t="s">
        <v>43</v>
      </c>
      <c r="C168" t="s">
        <v>44</v>
      </c>
    </row>
    <row r="169" spans="1:8" x14ac:dyDescent="0.2">
      <c r="B169" t="s">
        <v>45</v>
      </c>
      <c r="C169" t="s">
        <v>29</v>
      </c>
      <c r="D169" t="s">
        <v>46</v>
      </c>
      <c r="E169" t="s">
        <v>41</v>
      </c>
    </row>
    <row r="170" spans="1:8" x14ac:dyDescent="0.2">
      <c r="B170">
        <v>0</v>
      </c>
      <c r="C170" s="2">
        <f>$B$161+B170*$F$151</f>
        <v>5.0000000000000001E-3</v>
      </c>
      <c r="D170" s="2">
        <f>B170*SQRT($G$151)</f>
        <v>0</v>
      </c>
    </row>
    <row r="171" spans="1:8" x14ac:dyDescent="0.2">
      <c r="B171" s="8">
        <f>B170+0.1</f>
        <v>0.1</v>
      </c>
      <c r="C171" s="2">
        <f>$B$161+B171*$F$151</f>
        <v>9.5513144999308259E-3</v>
      </c>
      <c r="D171" s="2">
        <f>B171*SQRT($G$151)</f>
        <v>1.0898496544552804E-2</v>
      </c>
      <c r="E171">
        <f>(C171-$B$161)/D171</f>
        <v>0.4176093905544821</v>
      </c>
    </row>
    <row r="172" spans="1:8" x14ac:dyDescent="0.2">
      <c r="B172" s="8">
        <f t="shared" ref="B172:B187" si="4">B171+0.1</f>
        <v>0.2</v>
      </c>
      <c r="C172" s="2">
        <f>$B$161+B172*$F$151</f>
        <v>1.4102628999861651E-2</v>
      </c>
      <c r="D172" s="2">
        <f>B172*SQRT($G$151)</f>
        <v>2.1796993089105609E-2</v>
      </c>
      <c r="E172">
        <f t="shared" ref="E172:E187" si="5">(C172-$B$161)/D172</f>
        <v>0.41760939055448204</v>
      </c>
    </row>
    <row r="173" spans="1:8" x14ac:dyDescent="0.2">
      <c r="B173" s="8">
        <f t="shared" si="4"/>
        <v>0.30000000000000004</v>
      </c>
      <c r="C173" s="2">
        <f t="shared" ref="C173:C187" si="6">$B$161+B173*$F$151</f>
        <v>1.8653943499792481E-2</v>
      </c>
      <c r="D173" s="2">
        <f t="shared" ref="D173:D187" si="7">B173*SQRT($G$151)</f>
        <v>3.2695489633658412E-2</v>
      </c>
      <c r="E173">
        <f t="shared" si="5"/>
        <v>0.41760939055448221</v>
      </c>
    </row>
    <row r="174" spans="1:8" x14ac:dyDescent="0.2">
      <c r="B174" s="8">
        <f t="shared" si="4"/>
        <v>0.4</v>
      </c>
      <c r="C174" s="2">
        <f t="shared" si="6"/>
        <v>2.3205257999723304E-2</v>
      </c>
      <c r="D174" s="2">
        <f t="shared" si="7"/>
        <v>4.3593986178211218E-2</v>
      </c>
      <c r="E174">
        <f t="shared" si="5"/>
        <v>0.4176093905544821</v>
      </c>
    </row>
    <row r="175" spans="1:8" x14ac:dyDescent="0.2">
      <c r="B175" s="8">
        <f t="shared" si="4"/>
        <v>0.5</v>
      </c>
      <c r="C175" s="2">
        <f t="shared" si="6"/>
        <v>2.7756572499654131E-2</v>
      </c>
      <c r="D175" s="2">
        <f t="shared" si="7"/>
        <v>5.4492482722764017E-2</v>
      </c>
      <c r="E175">
        <f t="shared" si="5"/>
        <v>0.41760939055448215</v>
      </c>
    </row>
    <row r="176" spans="1:8" x14ac:dyDescent="0.2">
      <c r="B176" s="8">
        <f t="shared" si="4"/>
        <v>0.6</v>
      </c>
      <c r="C176" s="2">
        <f t="shared" si="6"/>
        <v>3.2307886999584957E-2</v>
      </c>
      <c r="D176" s="2">
        <f t="shared" si="7"/>
        <v>6.5390979267316823E-2</v>
      </c>
      <c r="E176">
        <f t="shared" si="5"/>
        <v>0.41760939055448215</v>
      </c>
    </row>
    <row r="177" spans="1:10" x14ac:dyDescent="0.2">
      <c r="B177" s="8">
        <f t="shared" si="4"/>
        <v>0.7</v>
      </c>
      <c r="C177" s="2">
        <f t="shared" si="6"/>
        <v>3.6859201499515777E-2</v>
      </c>
      <c r="D177" s="2">
        <f t="shared" si="7"/>
        <v>7.6289475811869623E-2</v>
      </c>
      <c r="E177">
        <f t="shared" si="5"/>
        <v>0.41760939055448215</v>
      </c>
    </row>
    <row r="178" spans="1:10" x14ac:dyDescent="0.2">
      <c r="B178" s="8">
        <f t="shared" si="4"/>
        <v>0.79999999999999993</v>
      </c>
      <c r="C178" s="2">
        <f t="shared" si="6"/>
        <v>4.1410515999446604E-2</v>
      </c>
      <c r="D178" s="2">
        <f t="shared" si="7"/>
        <v>8.7187972356422422E-2</v>
      </c>
      <c r="E178">
        <f t="shared" si="5"/>
        <v>0.41760939055448215</v>
      </c>
    </row>
    <row r="179" spans="1:10" x14ac:dyDescent="0.2">
      <c r="B179" s="8">
        <f t="shared" si="4"/>
        <v>0.89999999999999991</v>
      </c>
      <c r="C179" s="2">
        <f t="shared" si="6"/>
        <v>4.596183049937743E-2</v>
      </c>
      <c r="D179" s="2">
        <f t="shared" si="7"/>
        <v>9.8086468900975221E-2</v>
      </c>
      <c r="E179">
        <f t="shared" si="5"/>
        <v>0.41760939055448221</v>
      </c>
    </row>
    <row r="180" spans="1:10" x14ac:dyDescent="0.2">
      <c r="B180" s="8">
        <f t="shared" si="4"/>
        <v>0.99999999999999989</v>
      </c>
      <c r="C180" s="2">
        <f t="shared" si="6"/>
        <v>5.051314499930825E-2</v>
      </c>
      <c r="D180" s="2">
        <f t="shared" si="7"/>
        <v>0.10898496544552802</v>
      </c>
      <c r="E180">
        <f t="shared" si="5"/>
        <v>0.41760939055448215</v>
      </c>
    </row>
    <row r="181" spans="1:10" x14ac:dyDescent="0.2">
      <c r="B181" s="8">
        <f t="shared" si="4"/>
        <v>1.0999999999999999</v>
      </c>
      <c r="C181" s="2">
        <f t="shared" si="6"/>
        <v>5.5064459499239077E-2</v>
      </c>
      <c r="D181" s="2">
        <f t="shared" si="7"/>
        <v>0.11988346199008082</v>
      </c>
      <c r="E181">
        <f t="shared" si="5"/>
        <v>0.41760939055448215</v>
      </c>
    </row>
    <row r="182" spans="1:10" x14ac:dyDescent="0.2">
      <c r="B182" s="8">
        <f t="shared" si="4"/>
        <v>1.2</v>
      </c>
      <c r="C182" s="2">
        <f t="shared" si="6"/>
        <v>5.961577399916991E-2</v>
      </c>
      <c r="D182" s="2">
        <f t="shared" si="7"/>
        <v>0.13078195853463365</v>
      </c>
      <c r="E182">
        <f t="shared" si="5"/>
        <v>0.41760939055448215</v>
      </c>
    </row>
    <row r="183" spans="1:10" x14ac:dyDescent="0.2">
      <c r="B183" s="8">
        <f t="shared" si="4"/>
        <v>1.3</v>
      </c>
      <c r="C183" s="2">
        <f t="shared" si="6"/>
        <v>6.4167088499100744E-2</v>
      </c>
      <c r="D183" s="2">
        <f t="shared" si="7"/>
        <v>0.14168045507918645</v>
      </c>
      <c r="E183">
        <f t="shared" si="5"/>
        <v>0.41760939055448221</v>
      </c>
    </row>
    <row r="184" spans="1:10" x14ac:dyDescent="0.2">
      <c r="B184" s="8">
        <f t="shared" si="4"/>
        <v>1.4000000000000001</v>
      </c>
      <c r="C184" s="2">
        <f t="shared" si="6"/>
        <v>6.8718402999031578E-2</v>
      </c>
      <c r="D184" s="2">
        <f t="shared" si="7"/>
        <v>0.15257895162373927</v>
      </c>
      <c r="E184">
        <f t="shared" si="5"/>
        <v>0.41760939055448215</v>
      </c>
    </row>
    <row r="185" spans="1:10" x14ac:dyDescent="0.2">
      <c r="B185" s="8">
        <f t="shared" si="4"/>
        <v>1.5000000000000002</v>
      </c>
      <c r="C185" s="2">
        <f t="shared" si="6"/>
        <v>7.3269717498962397E-2</v>
      </c>
      <c r="D185" s="2">
        <f t="shared" si="7"/>
        <v>0.16347744816829207</v>
      </c>
      <c r="E185">
        <f t="shared" si="5"/>
        <v>0.41760939055448215</v>
      </c>
    </row>
    <row r="186" spans="1:10" x14ac:dyDescent="0.2">
      <c r="B186" s="8">
        <f t="shared" si="4"/>
        <v>1.6000000000000003</v>
      </c>
      <c r="C186" s="2">
        <f t="shared" si="6"/>
        <v>7.7821031998893231E-2</v>
      </c>
      <c r="D186" s="2">
        <f t="shared" si="7"/>
        <v>0.1743759447128449</v>
      </c>
      <c r="E186">
        <f t="shared" si="5"/>
        <v>0.4176093905544821</v>
      </c>
    </row>
    <row r="187" spans="1:10" x14ac:dyDescent="0.2">
      <c r="B187" s="8">
        <f t="shared" si="4"/>
        <v>1.7000000000000004</v>
      </c>
      <c r="C187" s="2">
        <f t="shared" si="6"/>
        <v>8.2372346498824064E-2</v>
      </c>
      <c r="D187" s="2">
        <f t="shared" si="7"/>
        <v>0.1852744412573977</v>
      </c>
      <c r="E187">
        <f t="shared" si="5"/>
        <v>0.41760939055448215</v>
      </c>
    </row>
    <row r="190" spans="1:10" x14ac:dyDescent="0.2">
      <c r="A190" t="s">
        <v>47</v>
      </c>
      <c r="B190" t="s">
        <v>45</v>
      </c>
      <c r="C190" t="s">
        <v>51</v>
      </c>
      <c r="D190" t="s">
        <v>52</v>
      </c>
      <c r="E190" t="s">
        <v>41</v>
      </c>
    </row>
    <row r="191" spans="1:10" x14ac:dyDescent="0.2">
      <c r="B191">
        <f>D191/SQRT(G151)</f>
        <v>1.3044885689263559</v>
      </c>
      <c r="C191">
        <f>E191*D191+0.005</f>
        <v>6.4371377387485371E-2</v>
      </c>
      <c r="D191" s="9">
        <f>F5</f>
        <v>0.14216964160852522</v>
      </c>
      <c r="E191">
        <v>0.41760939055448215</v>
      </c>
      <c r="F191" s="6"/>
      <c r="I191" s="10"/>
      <c r="J191" s="3"/>
    </row>
    <row r="197" spans="1:7" x14ac:dyDescent="0.2">
      <c r="B197" t="s">
        <v>53</v>
      </c>
    </row>
    <row r="198" spans="1:7" x14ac:dyDescent="0.2">
      <c r="A198" t="s">
        <v>48</v>
      </c>
      <c r="B198">
        <v>50000</v>
      </c>
    </row>
    <row r="200" spans="1:7" x14ac:dyDescent="0.2">
      <c r="C200" t="s">
        <v>1</v>
      </c>
      <c r="D200" t="s">
        <v>2</v>
      </c>
      <c r="E200" t="s">
        <v>3</v>
      </c>
      <c r="F200" t="s">
        <v>4</v>
      </c>
      <c r="G200" t="s">
        <v>54</v>
      </c>
    </row>
    <row r="201" spans="1:7" x14ac:dyDescent="0.2">
      <c r="B201" t="s">
        <v>49</v>
      </c>
      <c r="C201" s="11">
        <f>(D$3+D$5*-2.326)*$B$198</f>
        <v>-8793.9925276678605</v>
      </c>
      <c r="D201" s="11">
        <f t="shared" ref="D201:F201" si="8">(E3+E5*-2.326)*$B$198</f>
        <v>-12187.283465406284</v>
      </c>
      <c r="E201" s="11">
        <f t="shared" si="8"/>
        <v>-15111.28694534267</v>
      </c>
      <c r="F201" s="11">
        <f t="shared" si="8"/>
        <v>-9565.2582883617451</v>
      </c>
      <c r="G201" s="11">
        <f>(C64+C65*-2.326)*B198</f>
        <v>-5970.125471125556</v>
      </c>
    </row>
    <row r="202" spans="1:7" x14ac:dyDescent="0.2">
      <c r="B202" t="s">
        <v>50</v>
      </c>
      <c r="C202" s="11">
        <f>(D$3+D$5*-1.645)*$B$198</f>
        <v>-6053.8858240050158</v>
      </c>
      <c r="D202" s="11">
        <f t="shared" ref="D202:F202" si="9">(E$3+E$5*-1.645)*$B$198</f>
        <v>-8596.5055255152292</v>
      </c>
      <c r="E202" s="11">
        <f t="shared" si="9"/>
        <v>-10270.410648572386</v>
      </c>
      <c r="F202" s="11">
        <f t="shared" si="9"/>
        <v>-6139.5150793578778</v>
      </c>
      <c r="G202" s="11">
        <f>(C64+C65*-1.645)*B198</f>
        <v>-3951.9572196112172</v>
      </c>
    </row>
  </sheetData>
  <mergeCells count="2">
    <mergeCell ref="C8:G8"/>
    <mergeCell ref="C16:G16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2017-08-06T19:52:29Z</dcterms:created>
  <dcterms:modified xsi:type="dcterms:W3CDTF">2017-08-10T03:07:54Z</dcterms:modified>
</cp:coreProperties>
</file>